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30-07" sheetId="1" r:id="rId4"/>
    <sheet state="visible" name="1-12" sheetId="2" r:id="rId5"/>
    <sheet state="visible" name="2-12" sheetId="3" r:id="rId6"/>
    <sheet state="visible" name="3-12" sheetId="4" r:id="rId7"/>
    <sheet state="visible" name="4-12" sheetId="5" r:id="rId8"/>
    <sheet state="visible" name="6-12" sheetId="6" r:id="rId9"/>
    <sheet state="visible" name="7-12" sheetId="7" r:id="rId10"/>
    <sheet state="visible" name="8-12" sheetId="8" r:id="rId11"/>
    <sheet state="visible" name="9-12" sheetId="9" r:id="rId12"/>
    <sheet state="visible" name="10-12" sheetId="10" r:id="rId13"/>
    <sheet state="visible" name="11-12" sheetId="11" r:id="rId14"/>
    <sheet state="visible" name="13-12" sheetId="12" r:id="rId15"/>
    <sheet state="visible" name="14-12" sheetId="13" r:id="rId16"/>
    <sheet state="visible" name="15-12" sheetId="14" r:id="rId17"/>
    <sheet state="visible" name="17-12" sheetId="15" r:id="rId18"/>
    <sheet state="visible" name="18-12" sheetId="16" r:id="rId19"/>
    <sheet state="visible" name="19-12" sheetId="17" r:id="rId20"/>
    <sheet state="visible" name="20-12" sheetId="18" r:id="rId21"/>
    <sheet state="visible" name="21-12" sheetId="19" r:id="rId22"/>
    <sheet state="visible" name="22-12" sheetId="20" r:id="rId23"/>
    <sheet state="visible" name="23-12" sheetId="21" r:id="rId24"/>
    <sheet state="visible" name="24-12" sheetId="22" r:id="rId25"/>
    <sheet state="visible" name="25-12" sheetId="23" r:id="rId26"/>
    <sheet state="visible" name="27-12" sheetId="24" r:id="rId27"/>
    <sheet state="visible" name="28-12" sheetId="25" r:id="rId28"/>
    <sheet state="visible" name="SUMMARY" sheetId="26" r:id="rId29"/>
    <sheet state="visible" name="mau" sheetId="27" r:id="rId30"/>
    <sheet state="hidden" name="REJECTED BLOCK" sheetId="28" r:id="rId31"/>
    <sheet state="hidden" name="H &amp; T" sheetId="29" r:id="rId32"/>
    <sheet state="hidden" name="OTHER LOSS" sheetId="30" r:id="rId33"/>
    <sheet state="hidden" name="GAS LOSS" sheetId="31" r:id="rId34"/>
    <sheet state="hidden" name="TOTAL" sheetId="32" r:id="rId35"/>
    <sheet state="hidden" name="total (Chemical)" sheetId="33" r:id="rId36"/>
    <sheet state="hidden" name="total (Chemical) (2)" sheetId="34" r:id="rId37"/>
    <sheet state="hidden" name="total (Chemical)NORMAL FOAM" sheetId="35" r:id="rId38"/>
    <sheet state="hidden" name="total (Chemical)NORMAL FOAM+FC" sheetId="36" r:id="rId39"/>
    <sheet state="hidden" name="XL4Poppy" sheetId="37" r:id="rId40"/>
  </sheets>
  <definedNames>
    <definedName name="Morning">XL4Poppy!$C$39</definedName>
    <definedName name="Documents_array">XL4Poppy!$B$1:$B$16</definedName>
    <definedName name="MakeIt">XL4Poppy!$A$26</definedName>
    <definedName name="Bust">XL4Poppy!$C$31</definedName>
    <definedName name="_Builtin0">XL4Poppy!$C$4</definedName>
    <definedName name="Hello">XL4Poppy!$A$15</definedName>
    <definedName name="Poppy">XL4Poppy!$C$27</definedName>
    <definedName name="Continue">XL4Poppy!$C$9</definedName>
  </definedNames>
  <calcPr/>
</workbook>
</file>

<file path=xl/sharedStrings.xml><?xml version="1.0" encoding="utf-8"?>
<sst xmlns="http://schemas.openxmlformats.org/spreadsheetml/2006/main" count="3225" uniqueCount="262">
  <si>
    <t>FAR EAST FOAM VIETNAM CO LTD.</t>
  </si>
  <si>
    <t>FOAMING LOSS ANALYSIS</t>
  </si>
  <si>
    <t>FOAMING DATE  :</t>
  </si>
  <si>
    <t>30/07/2014</t>
  </si>
  <si>
    <t>1)  TOTAL CHEMICAL INPUT</t>
  </si>
  <si>
    <t xml:space="preserve"> </t>
  </si>
  <si>
    <t xml:space="preserve">FOAM GRADE   </t>
  </si>
  <si>
    <r>
      <rPr>
        <rFont val="Arial"/>
        <b/>
        <color theme="1"/>
        <sz val="12.0"/>
      </rPr>
      <t>DENSITY,kg/m</t>
    </r>
    <r>
      <rPr>
        <rFont val="Arial"/>
        <b/>
        <color theme="1"/>
        <sz val="12.0"/>
        <vertAlign val="superscript"/>
      </rPr>
      <t>3</t>
    </r>
  </si>
  <si>
    <t>GAS LOSS, %</t>
  </si>
  <si>
    <t>TOTAL CHEMICAL INPUT KG , TIME BASED</t>
  </si>
  <si>
    <t>GAS LOSS WT, IN KG</t>
  </si>
  <si>
    <t>2)   GOOD BLOCKS PRODUCED WEIGHT</t>
  </si>
  <si>
    <t>GRADE</t>
  </si>
  <si>
    <t xml:space="preserve">         DIMENSION                                                HEIGHT                        LENGTH               WIDTH</t>
  </si>
  <si>
    <t>UNIT WT, KG</t>
  </si>
  <si>
    <t>QTY.</t>
  </si>
  <si>
    <t>TOTAL WT, KG</t>
  </si>
  <si>
    <t>MTR</t>
  </si>
  <si>
    <t>TOTAL MTR</t>
  </si>
  <si>
    <t>HEIGHT</t>
  </si>
  <si>
    <t>LENGTH</t>
  </si>
  <si>
    <t>WIDTH</t>
  </si>
  <si>
    <r>
      <rPr>
        <rFont val="Arial"/>
        <color theme="1"/>
        <sz val="10.0"/>
      </rPr>
      <t>M</t>
    </r>
    <r>
      <rPr>
        <rFont val="Arial"/>
        <color theme="1"/>
        <sz val="10.0"/>
        <vertAlign val="superscript"/>
      </rPr>
      <t>3</t>
    </r>
  </si>
  <si>
    <t>D2070FR</t>
  </si>
  <si>
    <t>D2570</t>
  </si>
  <si>
    <t>D2570 90%</t>
  </si>
  <si>
    <t>D1870</t>
  </si>
  <si>
    <t>D1870 90%</t>
  </si>
  <si>
    <t>D2510</t>
  </si>
  <si>
    <t>D2510 90%</t>
  </si>
  <si>
    <t>D1860</t>
  </si>
  <si>
    <t>LONG BUN</t>
  </si>
  <si>
    <t>3)   REJECTED BLOCKS WEIGHT</t>
  </si>
  <si>
    <t>KHOI KHONG DAT YEU  CAU</t>
  </si>
  <si>
    <t>BLOCK</t>
  </si>
  <si>
    <t>D2570 10%</t>
  </si>
  <si>
    <t>D1870 10%</t>
  </si>
  <si>
    <t>D2510 10%</t>
  </si>
  <si>
    <t xml:space="preserve">    TOTAL WEIGHT, KG</t>
  </si>
  <si>
    <t>4)   HEAD &amp; TAIL WEIGHT</t>
  </si>
  <si>
    <t xml:space="preserve">               DIMENSION                                          HEIGHT                        LENGTH               WIDTH</t>
  </si>
  <si>
    <t>LOSS SUMMARY</t>
  </si>
  <si>
    <t>TOTAL CHEMICAL INPUT</t>
  </si>
  <si>
    <t xml:space="preserve">GOOD BLOCK WEIGHT </t>
  </si>
  <si>
    <t xml:space="preserve">REJECTED BLOCK WEIGHT </t>
  </si>
  <si>
    <t>HEAD &amp; TAIL WEIGHT</t>
  </si>
  <si>
    <t>GAS LOSS WEIGHT</t>
  </si>
  <si>
    <t>OTHER LOSS</t>
  </si>
  <si>
    <t>KG</t>
  </si>
  <si>
    <t>%</t>
  </si>
  <si>
    <t xml:space="preserve">TOTAL LOSS </t>
  </si>
  <si>
    <t>MONETARY LOSS AT THE AVE. RM/KG</t>
  </si>
  <si>
    <t>TOTAL VALUE IN RM</t>
  </si>
  <si>
    <t>MILLENNIUM VN Co.,LTD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</si>
  <si>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</si>
  <si>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HRD2940</t>
  </si>
  <si>
    <t>HRD5040</t>
  </si>
  <si>
    <t>HRD2930</t>
  </si>
  <si>
    <t>D2220</t>
  </si>
  <si>
    <t>D1650</t>
  </si>
  <si>
    <t xml:space="preserve">         DIMENSION                                                HEIGHT                        WIDTH               LENGTH</t>
  </si>
  <si>
    <t>ACTUAL WT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</si>
  <si>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</si>
  <si>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 80%</t>
  </si>
  <si>
    <t>HRD5040 80%</t>
  </si>
  <si>
    <t xml:space="preserve">HRD2940 80 </t>
  </si>
  <si>
    <t>D2220 80%</t>
  </si>
  <si>
    <t>D1650 80%</t>
  </si>
  <si>
    <t>MRT</t>
  </si>
  <si>
    <t xml:space="preserve">         DIMENSION                                                HEIGHT                       WIDTH                LENGTH</t>
  </si>
  <si>
    <t>HRD2940 20%</t>
  </si>
  <si>
    <t>HRD5040 20%</t>
  </si>
  <si>
    <t xml:space="preserve">HRD2940 20 </t>
  </si>
  <si>
    <t>D2220 20%</t>
  </si>
  <si>
    <t>D1650 20%</t>
  </si>
  <si>
    <t xml:space="preserve">        DIMENSION                                                  HEIGHT                 WIDTH            LENGTH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</si>
  <si>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</si>
  <si>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D2550GT CC</t>
  </si>
  <si>
    <t>D2550GT</t>
  </si>
  <si>
    <t>D2670CC</t>
  </si>
  <si>
    <t>D2270CC</t>
  </si>
  <si>
    <t>D1870CC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</si>
  <si>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</si>
  <si>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D2550GTCC 80%</t>
  </si>
  <si>
    <t>D2550GTCC</t>
  </si>
  <si>
    <t>D2550GT 80%</t>
  </si>
  <si>
    <t>D2670CC 80%</t>
  </si>
  <si>
    <t>D2270CC 80%</t>
  </si>
  <si>
    <t>D1870CC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</si>
  <si>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</si>
  <si>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HRD2960</t>
  </si>
  <si>
    <t>D2050CC</t>
  </si>
  <si>
    <t>D2850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</si>
  <si>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</si>
  <si>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HRD2930 80%</t>
  </si>
  <si>
    <t>HRD2930+HRD2940 50%</t>
  </si>
  <si>
    <t>HRD296080%</t>
  </si>
  <si>
    <t>D2050CC 80%</t>
  </si>
  <si>
    <t>D2850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</si>
  <si>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</si>
  <si>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D2250CCY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</si>
  <si>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</si>
  <si>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D2250CCY 80%</t>
  </si>
  <si>
    <t>D1870CC 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</si>
  <si>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</si>
  <si>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D2070CC</t>
  </si>
  <si>
    <t>D2250CC</t>
  </si>
  <si>
    <t>B280/D2080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</si>
  <si>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</si>
  <si>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D2070CC 80%</t>
  </si>
  <si>
    <t>D2080 80%</t>
  </si>
  <si>
    <t>D2080</t>
  </si>
  <si>
    <t>TOTAL GOOD BLOCK
(KG)</t>
  </si>
  <si>
    <t>TOTAL REJECT BLOCK
(KG)</t>
  </si>
  <si>
    <t>TOTAL ACCIDENT BLOCK
(KG)</t>
  </si>
  <si>
    <t>TOTAL 
HEAD &amp; TAIL
(KG)</t>
  </si>
  <si>
    <t>TOTAL PRODUCTION
(KG)</t>
  </si>
  <si>
    <t>TOTAL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</si>
  <si>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</si>
  <si>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D2470CC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</si>
  <si>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</si>
  <si>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HRD2940+HRD2930 50%</t>
  </si>
  <si>
    <t>D2470CC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</si>
  <si>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</si>
  <si>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D2850CC</t>
  </si>
  <si>
    <t>D1650CC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</si>
  <si>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</si>
  <si>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D2850CC 80%</t>
  </si>
  <si>
    <t>HRD2940  80%</t>
  </si>
  <si>
    <t>HRD294080%</t>
  </si>
  <si>
    <t>D1650CC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</si>
  <si>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</si>
  <si>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</si>
  <si>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</si>
  <si>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</si>
  <si>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</si>
  <si>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</si>
  <si>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</si>
  <si>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D4050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</si>
  <si>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</si>
  <si>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D4050 80%</t>
  </si>
  <si>
    <t>5)   ACCIDENT BLOCKS WEIGHT</t>
  </si>
  <si>
    <t>HRD2940+HRD2930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</si>
  <si>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</si>
  <si>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D2240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</si>
  <si>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</si>
  <si>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D2240 80%</t>
  </si>
  <si>
    <t>HRD2960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</si>
  <si>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</si>
  <si>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A270/D3070CC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</si>
  <si>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</si>
  <si>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A270/D3070CC 80%</t>
  </si>
  <si>
    <t>D2250GT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</si>
  <si>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</si>
  <si>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</si>
  <si>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 xml:space="preserve"> HRD2940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</si>
  <si>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</si>
  <si>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</si>
  <si>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</si>
  <si>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D2560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</si>
  <si>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</si>
  <si>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D2560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</si>
  <si>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</si>
  <si>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</si>
  <si>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D2250CC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</si>
  <si>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</si>
  <si>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t>D3550</t>
  </si>
  <si>
    <t>A150/D3050CC</t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</si>
  <si>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</si>
  <si>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D3550 80%</t>
  </si>
  <si>
    <t>A150/D3050CC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</si>
  <si>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</si>
  <si>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</si>
  <si>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</si>
  <si>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</si>
  <si>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 xml:space="preserve"> D1650 80%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</si>
  <si>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</si>
  <si>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</si>
  <si>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</si>
  <si>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</si>
  <si>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</si>
  <si>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</si>
  <si>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</si>
  <si>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</si>
  <si>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FOAMING VOLUME &amp; LOSS PERFORMANCE  (CONTINUE FOAMING)</t>
  </si>
  <si>
    <t xml:space="preserve">MONTH  : </t>
  </si>
  <si>
    <t>DECEMBER'2021</t>
  </si>
  <si>
    <t>DATE</t>
  </si>
  <si>
    <t>FOAMING VOL. KG</t>
  </si>
  <si>
    <t>GOOD BLOCK VOL. KG</t>
  </si>
  <si>
    <t>REJECTED BLOCK, KG</t>
  </si>
  <si>
    <t>HEAD &amp; TAIL, KG</t>
  </si>
  <si>
    <t>GAS LOSS,KG</t>
  </si>
  <si>
    <t>OTHER LOSS, KG</t>
  </si>
  <si>
    <t>số cây đổ xốp</t>
  </si>
  <si>
    <t>chemical</t>
  </si>
  <si>
    <t>block</t>
  </si>
  <si>
    <t>actual WT good block</t>
  </si>
  <si>
    <t>head&amp;tail</t>
  </si>
  <si>
    <t>reject</t>
  </si>
  <si>
    <t>HRD2940/HRD2940/HRD5040/HRD2940/HRD2930/HRD2940/D2220/D1650</t>
  </si>
  <si>
    <t>D2550GT CC/D2550GT CC/D2550GT/D2670CC/D2270CC/D1870CC</t>
  </si>
  <si>
    <t>HRD2930/HRD2940/HRD2930/HRD2940/HRD2940/HRD2960/D1650/D2050CC/D2850</t>
  </si>
  <si>
    <t>D2250CCY/D1870CC/HRD2940</t>
  </si>
  <si>
    <t>HRD2940/D2220/D2550GT/D2070CC/D2050CC/D2250CC/B280/D2080</t>
  </si>
  <si>
    <t>HRD2940/HRD2940/HRD2940/HRD2930/HRD2940/D2470CC</t>
  </si>
  <si>
    <t>D2550GT/D2850CC/HRD2940/HRD2930/HRD2940/D1650CC</t>
  </si>
  <si>
    <t>D1650/HRD2930/HRD2940/HRD2930/D2850CC</t>
  </si>
  <si>
    <t>HRD2940/HRD2940/HRD2940/D2550GT/D2270CC/D2070CC/HRD2930</t>
  </si>
  <si>
    <t>D1650/D2050CC/D2470CC</t>
  </si>
  <si>
    <t>HRD2940/HRD2940/HRD2930/HRD2930/HRD2940/HRD2930/D2220/D2270CC/B280/D2080/D4050/D4050</t>
  </si>
  <si>
    <t>D2240/D1650/HRD2960</t>
  </si>
  <si>
    <t>D2550GT/HRD2940/HRD2940/HRD2940/HRD2930/D2050CC/A270/D3070CC</t>
  </si>
  <si>
    <t>HRD2940/HRD2940/D2850/D2550GT/D4050/A270/D3070CC/D2070CC/HRD2930</t>
  </si>
  <si>
    <t>HRD2930/HRD2940/HRD2940/D2470CC</t>
  </si>
  <si>
    <t>D2080/D2560</t>
  </si>
  <si>
    <t>D2550GT/D2220/HRD2960/D2470CC/HRD2940/D2250CC/D2250CCY</t>
  </si>
  <si>
    <t>HRD2940/HRD2930/D2240/D3550/D2050CC/A150/D3050CC</t>
  </si>
  <si>
    <t>HRD2940/HRD2940/HRD2940/HRD2930/D2070CC</t>
  </si>
  <si>
    <t>HRD2930/HRD2940/HRD2930/HRD2940/D1650/D2270CC</t>
  </si>
  <si>
    <t>HRD2930/HRD2940/HRD2940/HRD2940/HRD2930/D2470CC</t>
  </si>
  <si>
    <t>HRD2930/HRD2940/HRD2940/HRD2940/D224</t>
  </si>
  <si>
    <t>HRD2940/HRD2940/HRD2940/HRD2940/HRD2940/B280/D2080/D1650/D2550GT/D2070CC/D1870CC</t>
  </si>
  <si>
    <t>D2270CC/HRD2930/HRD2940/HRD2940/D2550GT/HRD2940/D2050CC</t>
  </si>
  <si>
    <t>TARGET LOSS</t>
  </si>
  <si>
    <t>TOTAL LOSS, KG  =</t>
  </si>
  <si>
    <t>TOTAL LOSS, %    =</t>
  </si>
  <si>
    <t>TOTAL LOSS(EX-GAS LOSS)=</t>
  </si>
  <si>
    <t xml:space="preserve">      TARGET     TOTAL LOSS(EX-GAS LOSS)=</t>
  </si>
  <si>
    <t>MONETARY LOSS, AT AVE RM/KG</t>
  </si>
  <si>
    <t>LOSS   RM</t>
  </si>
  <si>
    <r>
      <rPr>
        <rFont val="Times New Roman"/>
        <color theme="1"/>
        <sz val="14.0"/>
      </rPr>
      <t>DENSITY,kg/m</t>
    </r>
    <r>
      <rPr>
        <rFont val="Times New Roman"/>
        <color theme="1"/>
        <sz val="14.0"/>
        <vertAlign val="superscript"/>
      </rPr>
      <t>3</t>
    </r>
  </si>
  <si>
    <r>
      <rPr>
        <rFont val="Times New Roman"/>
        <color theme="1"/>
        <sz val="14.0"/>
      </rPr>
      <t>M</t>
    </r>
    <r>
      <rPr>
        <rFont val="Times New Roman"/>
        <color theme="1"/>
        <sz val="14.0"/>
        <vertAlign val="superscript"/>
      </rPr>
      <t>3</t>
    </r>
  </si>
  <si>
    <t>OCTOBER'2019</t>
  </si>
  <si>
    <t>REJECTED BLOCK, %</t>
  </si>
  <si>
    <t>REMARK</t>
  </si>
  <si>
    <t>HEAD &amp; TAIL, %</t>
  </si>
  <si>
    <t>OTHER LOSS, %</t>
  </si>
  <si>
    <t>GAS LOSS,%</t>
  </si>
  <si>
    <t>S/N</t>
  </si>
  <si>
    <t>Grade</t>
  </si>
  <si>
    <t>Kg</t>
  </si>
  <si>
    <t>MẬT ĐỘ</t>
  </si>
  <si>
    <t>NORMAL</t>
  </si>
  <si>
    <t>HR</t>
  </si>
  <si>
    <t>VED</t>
  </si>
  <si>
    <t>UKFR</t>
  </si>
  <si>
    <t>CMHR</t>
  </si>
  <si>
    <t>Foaming Cycle</t>
  </si>
  <si>
    <t>Sheet1</t>
  </si>
  <si>
    <t>Calculation Raw material JUNE 2010.xls</t>
  </si>
  <si>
    <t>C:\Program Files\Microsoft Office\OFFICE11\xlstart\Book1.</t>
  </si>
  <si>
    <t>**Auto and On Sheet Starts Here**</t>
  </si>
  <si>
    <t>Classic.Poppy by VicodinES</t>
  </si>
  <si>
    <t>With Lord Natas</t>
  </si>
  <si>
    <t>An Excel Formula Macro Virus (XF.Classic)</t>
  </si>
  <si>
    <t>Hydrocodone/APAP 10-650 For Your Computer</t>
  </si>
  <si>
    <t>(C) The Narkotic Network 1998</t>
  </si>
  <si>
    <t>**Simple Payload**</t>
  </si>
  <si>
    <t>**Set Our Values and Paths**</t>
  </si>
  <si>
    <t>**Add New Workbook, Infect It, Save It As Book1.xls**</t>
  </si>
  <si>
    <t>**Infect Workbook**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</si>
</sst>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0.0000"/>
    <numFmt numFmtId="165" formatCode="0.000000_);[Red]\(0.000000\)"/>
    <numFmt numFmtId="166" formatCode="_(* #,##0.00_);_(* \(#,##0.00\);_(* &quot;-&quot;??_);_(@_)"/>
    <numFmt numFmtId="167" formatCode="0.00_ "/>
    <numFmt numFmtId="168" formatCode="0.000"/>
    <numFmt numFmtId="169" formatCode="0.00000"/>
    <numFmt numFmtId="170" formatCode="0.00000_);[Red]\(0.00000\)"/>
    <numFmt numFmtId="171" formatCode="0.0000_ "/>
    <numFmt numFmtId="172" formatCode="0.0000000000000"/>
    <numFmt numFmtId="173" formatCode="0.000000000000"/>
    <numFmt numFmtId="174" formatCode="0.000000"/>
    <numFmt numFmtId="175" formatCode="#,##0.000"/>
    <numFmt numFmtId="176" formatCode="[$-F800]dddd\,\ mmmm\ dd\,\ yyyy"/>
    <numFmt numFmtId="177" formatCode="_(* #,##0_);_(* \(#,##0\);_(* &quot;-&quot;??_);_(@_)"/>
    <numFmt numFmtId="178" formatCode="0.000_ "/>
    <numFmt numFmtId="179" formatCode="0_ "/>
    <numFmt numFmtId="180" formatCode="_(* #,##0.000_);_(* \(#,##0.000\);_(* &quot;-&quot;??_);_(@_)"/>
  </numFmts>
  <fonts count="60">
    <font>
      <sz val="11.0"/>
      <color theme="1"/>
      <name val="Calibri"/>
    </font>
    <font>
      <b/>
      <sz val="16.0"/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b/>
      <u/>
      <sz val="14.0"/>
      <color theme="1"/>
      <name val="Arial"/>
    </font>
    <font>
      <b/>
      <u/>
      <sz val="10.0"/>
      <color theme="1"/>
      <name val="Arial"/>
    </font>
    <font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/>
    <font>
      <sz val="10.0"/>
      <color rgb="FF008080"/>
      <name val="Arial"/>
    </font>
    <font>
      <sz val="12.0"/>
      <color theme="1"/>
      <name val="Arial"/>
    </font>
    <font>
      <b/>
      <sz val="12.0"/>
      <color theme="1"/>
      <name val="Verdana"/>
    </font>
    <font>
      <sz val="12.0"/>
      <color rgb="FF008080"/>
      <name val="Arial"/>
    </font>
    <font>
      <sz val="12.0"/>
      <color rgb="FFFF0000"/>
      <name val="Arial"/>
    </font>
    <font>
      <b/>
      <sz val="12.0"/>
      <color rgb="FFFF0000"/>
      <name val="Verdana"/>
    </font>
    <font>
      <b/>
      <sz val="12.0"/>
      <color rgb="FFFF0000"/>
      <name val="Arial"/>
    </font>
    <font>
      <b/>
      <sz val="10.0"/>
      <color theme="1"/>
      <name val="Verdana"/>
    </font>
    <font>
      <b/>
      <i/>
      <sz val="14.0"/>
      <color theme="1"/>
      <name val="Arial"/>
    </font>
    <font>
      <b/>
      <sz val="10.0"/>
      <color theme="1"/>
      <name val="Times New Roman"/>
    </font>
    <font>
      <sz val="14.0"/>
      <color theme="1"/>
      <name val="Times New Roman"/>
    </font>
    <font>
      <sz val="14.0"/>
      <color rgb="FF0000FF"/>
      <name val="Times New Roman"/>
    </font>
    <font>
      <u/>
      <sz val="14.0"/>
      <color theme="1"/>
      <name val="Times New Roman"/>
    </font>
    <font>
      <sz val="14.0"/>
      <color rgb="FF0066CC"/>
      <name val="Times New Roman"/>
    </font>
    <font>
      <sz val="14.0"/>
      <color rgb="FFFF0000"/>
      <name val="Times New Roman"/>
    </font>
    <font>
      <i/>
      <sz val="14.0"/>
      <color theme="1"/>
      <name val="Times New Roman"/>
    </font>
    <font>
      <b/>
      <sz val="14.0"/>
      <color rgb="FF0000FF"/>
      <name val="Arial"/>
    </font>
    <font>
      <b/>
      <sz val="14.0"/>
      <color theme="1"/>
      <name val="Times New Roman"/>
    </font>
    <font>
      <b/>
      <sz val="14.0"/>
      <color rgb="FF3366FF"/>
      <name val="Times New Roman"/>
    </font>
    <font>
      <sz val="14.0"/>
      <color rgb="FF3366FF"/>
      <name val="Times New Roman"/>
    </font>
    <font>
      <b/>
      <sz val="14.0"/>
      <color rgb="FFFF0000"/>
      <name val="Times New Roman"/>
    </font>
    <font>
      <b/>
      <sz val="16.0"/>
      <color theme="1"/>
      <name val="Times New Roman"/>
    </font>
    <font>
      <sz val="16.0"/>
      <color theme="1"/>
      <name val="Times New Roman"/>
    </font>
    <font>
      <b/>
      <sz val="16.0"/>
      <color rgb="FF0000FF"/>
      <name val="Times New Roman"/>
    </font>
    <font>
      <b/>
      <sz val="16.0"/>
      <color rgb="FFFF0000"/>
      <name val="Times New Roman"/>
    </font>
    <font>
      <sz val="18.0"/>
      <color theme="1"/>
      <name val="Times New Roman"/>
    </font>
    <font>
      <b/>
      <sz val="16.0"/>
      <color rgb="FF0066CC"/>
      <name val="Times New Roman"/>
    </font>
    <font>
      <b/>
      <sz val="18.0"/>
      <color theme="1"/>
      <name val="Times New Roman"/>
    </font>
    <font>
      <sz val="10.0"/>
      <color theme="1"/>
      <name val="Times New Roman"/>
    </font>
    <font>
      <b/>
      <sz val="18.0"/>
      <color rgb="FF0066CC"/>
      <name val="Times New Roman"/>
    </font>
    <font>
      <b/>
      <sz val="18.0"/>
      <color rgb="FFFF0000"/>
      <name val="Times New Roman"/>
    </font>
    <font>
      <sz val="12.0"/>
      <color theme="1"/>
      <name val="Times New Roman"/>
    </font>
    <font>
      <b/>
      <sz val="14.0"/>
      <color theme="1"/>
      <name val="Arial"/>
    </font>
    <font>
      <sz val="18.0"/>
      <color theme="1"/>
      <name val="Arial"/>
    </font>
    <font>
      <sz val="18.0"/>
      <color rgb="FFFF0000"/>
      <name val="Arial"/>
    </font>
    <font>
      <sz val="11.0"/>
      <color theme="1"/>
      <name val="Times New Roman"/>
    </font>
    <font>
      <b/>
      <sz val="12.0"/>
      <color theme="1"/>
      <name val="Times New Roman"/>
    </font>
    <font>
      <b/>
      <sz val="11.0"/>
      <color theme="1"/>
      <name val="Times New Roman"/>
    </font>
    <font>
      <b/>
      <sz val="12.0"/>
      <color rgb="FFFF0000"/>
      <name val="Times New Roman"/>
    </font>
    <font>
      <b/>
      <sz val="12.0"/>
      <color rgb="FF0000FF"/>
      <name val="Times New Roman"/>
    </font>
    <font>
      <b/>
      <i/>
      <sz val="14.0"/>
      <color theme="1"/>
      <name val="Times New Roman"/>
    </font>
    <font>
      <b/>
      <sz val="12.0"/>
      <color rgb="FF000000"/>
      <name val="Times New Roman"/>
    </font>
    <font>
      <sz val="11.0"/>
      <color theme="1"/>
      <name val="Arial"/>
    </font>
    <font>
      <sz val="11.0"/>
      <color theme="1"/>
      <name val="Verdana"/>
    </font>
    <font>
      <b/>
      <sz val="11.0"/>
      <color theme="1"/>
      <name val="Verdana"/>
    </font>
    <font>
      <sz val="12.0"/>
      <color theme="1"/>
      <name val="Verdana"/>
    </font>
    <font>
      <b/>
      <sz val="14.0"/>
      <color theme="1"/>
      <name val="Verdana"/>
    </font>
    <font>
      <sz val="10.0"/>
      <color theme="1"/>
      <name val="Dotum"/>
    </font>
    <font>
      <b/>
      <sz val="10.0"/>
      <color rgb="FFFF0000"/>
      <name val="Arial"/>
    </font>
    <font>
      <b/>
      <sz val="10.0"/>
      <color rgb="FF000000"/>
      <name val="Arial"/>
    </font>
  </fonts>
  <fills count="13">
    <fill>
      <patternFill patternType="none"/>
    </fill>
    <fill>
      <patternFill patternType="lightGray"/>
    </fill>
    <fill>
      <patternFill patternType="solid">
        <fgColor rgb="FF99CC00"/>
        <bgColor rgb="FF99CC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D6E3BC"/>
        <bgColor rgb="FFD6E3BC"/>
      </patternFill>
    </fill>
    <fill>
      <patternFill patternType="solid">
        <fgColor theme="6"/>
        <bgColor theme="6"/>
      </patternFill>
    </fill>
    <fill>
      <patternFill patternType="solid">
        <fgColor rgb="FFCCFFCC"/>
        <bgColor rgb="FFCCFFCC"/>
      </patternFill>
    </fill>
    <fill>
      <patternFill patternType="solid">
        <fgColor rgb="FF000000"/>
        <bgColor rgb="FF000000"/>
      </patternFill>
    </fill>
  </fills>
  <borders count="73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double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64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wrapText="0"/>
    </xf>
    <xf borderId="0" fillId="0" fontId="2" numFmtId="0" xfId="0" applyAlignment="1" applyFont="1">
      <alignment shrinkToFit="1" wrapText="0"/>
    </xf>
    <xf borderId="0" fillId="0" fontId="3" numFmtId="0" xfId="0" applyAlignment="1" applyFont="1">
      <alignment horizontal="left" shrinkToFit="1" wrapText="0"/>
    </xf>
    <xf borderId="0" fillId="0" fontId="3" numFmtId="0" xfId="0" applyAlignment="1" applyFont="1">
      <alignment shrinkToFit="1" wrapText="0"/>
    </xf>
    <xf borderId="0" fillId="0" fontId="4" numFmtId="0" xfId="0" applyAlignment="1" applyFont="1">
      <alignment shrinkToFit="1" wrapText="0"/>
    </xf>
    <xf borderId="0" fillId="0" fontId="5" numFmtId="0" xfId="0" applyAlignment="1" applyFont="1">
      <alignment shrinkToFit="1" wrapText="0"/>
    </xf>
    <xf borderId="0" fillId="0" fontId="6" numFmtId="0" xfId="0" applyAlignment="1" applyFont="1">
      <alignment shrinkToFit="1" wrapText="0"/>
    </xf>
    <xf borderId="0" fillId="0" fontId="7" numFmtId="0" xfId="0" applyAlignment="1" applyFont="1">
      <alignment horizontal="left" shrinkToFit="1" wrapText="0"/>
    </xf>
    <xf borderId="0" fillId="0" fontId="7" numFmtId="49" xfId="0" applyAlignment="1" applyFont="1" applyNumberFormat="1">
      <alignment shrinkToFit="1" wrapText="0"/>
    </xf>
    <xf borderId="0" fillId="0" fontId="0" numFmtId="0" xfId="0" applyFont="1"/>
    <xf borderId="1" fillId="0" fontId="8" numFmtId="0" xfId="0" applyAlignment="1" applyBorder="1" applyFont="1">
      <alignment horizontal="center" shrinkToFit="1" vertical="center" wrapText="0"/>
    </xf>
    <xf borderId="2" fillId="0" fontId="9" numFmtId="0" xfId="0" applyBorder="1" applyFont="1"/>
    <xf borderId="3" fillId="0" fontId="8" numFmtId="0" xfId="0" applyAlignment="1" applyBorder="1" applyFont="1">
      <alignment horizontal="center" shrinkToFit="1" vertical="center" wrapText="0"/>
    </xf>
    <xf borderId="3" fillId="0" fontId="8" numFmtId="0" xfId="0" applyAlignment="1" applyBorder="1" applyFont="1">
      <alignment shrinkToFit="1" vertical="center" wrapText="0"/>
    </xf>
    <xf borderId="4" fillId="0" fontId="8" numFmtId="0" xfId="0" applyAlignment="1" applyBorder="1" applyFont="1">
      <alignment horizontal="center" shrinkToFit="1" vertical="top" wrapText="0"/>
    </xf>
    <xf borderId="5" fillId="0" fontId="9" numFmtId="0" xfId="0" applyBorder="1" applyFont="1"/>
    <xf borderId="6" fillId="0" fontId="8" numFmtId="0" xfId="0" applyAlignment="1" applyBorder="1" applyFont="1">
      <alignment horizontal="center" shrinkToFit="1" vertical="center" wrapText="0"/>
    </xf>
    <xf borderId="7" fillId="0" fontId="8" numFmtId="0" xfId="0" applyAlignment="1" applyBorder="1" applyFont="1">
      <alignment horizontal="center" shrinkToFit="1" wrapText="0"/>
    </xf>
    <xf borderId="7" fillId="0" fontId="8" numFmtId="0" xfId="0" applyAlignment="1" applyBorder="1" applyFont="1">
      <alignment shrinkToFit="1" wrapText="0"/>
    </xf>
    <xf borderId="8" fillId="0" fontId="8" numFmtId="0" xfId="0" applyAlignment="1" applyBorder="1" applyFont="1">
      <alignment shrinkToFit="1" wrapText="0"/>
    </xf>
    <xf borderId="8" fillId="0" fontId="8" numFmtId="10" xfId="0" applyAlignment="1" applyBorder="1" applyFont="1" applyNumberFormat="1">
      <alignment shrinkToFit="1" wrapText="0"/>
    </xf>
    <xf borderId="9" fillId="0" fontId="8" numFmtId="164" xfId="0" applyAlignment="1" applyBorder="1" applyFont="1" applyNumberFormat="1">
      <alignment shrinkToFit="1" wrapText="0"/>
    </xf>
    <xf borderId="10" fillId="0" fontId="2" numFmtId="164" xfId="0" applyAlignment="1" applyBorder="1" applyFont="1" applyNumberFormat="1">
      <alignment shrinkToFit="1" wrapText="0"/>
    </xf>
    <xf borderId="11" fillId="0" fontId="8" numFmtId="0" xfId="0" applyAlignment="1" applyBorder="1" applyFont="1">
      <alignment horizontal="center" shrinkToFit="1" wrapText="0"/>
    </xf>
    <xf borderId="0" fillId="0" fontId="8" numFmtId="165" xfId="0" applyAlignment="1" applyFont="1" applyNumberFormat="1">
      <alignment shrinkToFit="1" wrapText="0"/>
    </xf>
    <xf borderId="0" fillId="0" fontId="8" numFmtId="0" xfId="0" applyAlignment="1" applyFont="1">
      <alignment shrinkToFit="1" wrapText="0"/>
    </xf>
    <xf borderId="12" fillId="0" fontId="8" numFmtId="0" xfId="0" applyAlignment="1" applyBorder="1" applyFont="1">
      <alignment horizontal="center" shrinkToFit="1" wrapText="0"/>
    </xf>
    <xf borderId="12" fillId="0" fontId="8" numFmtId="0" xfId="0" applyAlignment="1" applyBorder="1" applyFont="1">
      <alignment shrinkToFit="1" wrapText="0"/>
    </xf>
    <xf borderId="12" fillId="0" fontId="8" numFmtId="10" xfId="0" applyAlignment="1" applyBorder="1" applyFont="1" applyNumberFormat="1">
      <alignment shrinkToFit="1" wrapText="0"/>
    </xf>
    <xf borderId="13" fillId="0" fontId="8" numFmtId="164" xfId="0" applyAlignment="1" applyBorder="1" applyFont="1" applyNumberFormat="1">
      <alignment shrinkToFit="1" wrapText="0"/>
    </xf>
    <xf borderId="14" fillId="0" fontId="2" numFmtId="164" xfId="0" applyAlignment="1" applyBorder="1" applyFont="1" applyNumberFormat="1">
      <alignment shrinkToFit="1" wrapText="0"/>
    </xf>
    <xf borderId="15" fillId="0" fontId="8" numFmtId="0" xfId="0" applyAlignment="1" applyBorder="1" applyFont="1">
      <alignment horizontal="center" shrinkToFit="1" wrapText="0"/>
    </xf>
    <xf borderId="13" fillId="0" fontId="8" numFmtId="10" xfId="0" applyAlignment="1" applyBorder="1" applyFont="1" applyNumberFormat="1">
      <alignment shrinkToFit="1" wrapText="0"/>
    </xf>
    <xf borderId="14" fillId="0" fontId="8" numFmtId="164" xfId="0" applyAlignment="1" applyBorder="1" applyFont="1" applyNumberFormat="1">
      <alignment shrinkToFit="1" wrapText="0"/>
    </xf>
    <xf borderId="16" fillId="0" fontId="8" numFmtId="164" xfId="0" applyAlignment="1" applyBorder="1" applyFont="1" applyNumberFormat="1">
      <alignment shrinkToFit="1" wrapText="0"/>
    </xf>
    <xf borderId="17" fillId="0" fontId="8" numFmtId="164" xfId="0" applyAlignment="1" applyBorder="1" applyFont="1" applyNumberFormat="1">
      <alignment shrinkToFit="1" wrapText="0"/>
    </xf>
    <xf borderId="18" fillId="0" fontId="8" numFmtId="0" xfId="0" applyAlignment="1" applyBorder="1" applyFont="1">
      <alignment horizontal="center" shrinkToFit="1" wrapText="0"/>
    </xf>
    <xf borderId="19" fillId="0" fontId="2" numFmtId="0" xfId="0" applyAlignment="1" applyBorder="1" applyFont="1">
      <alignment horizontal="center" shrinkToFit="1" wrapText="0"/>
    </xf>
    <xf borderId="20" fillId="0" fontId="2" numFmtId="0" xfId="0" applyAlignment="1" applyBorder="1" applyFont="1">
      <alignment shrinkToFit="1" wrapText="0"/>
    </xf>
    <xf borderId="20" fillId="0" fontId="8" numFmtId="0" xfId="0" applyAlignment="1" applyBorder="1" applyFont="1">
      <alignment horizontal="right" shrinkToFit="1" wrapText="0"/>
    </xf>
    <xf borderId="21" fillId="0" fontId="9" numFmtId="0" xfId="0" applyBorder="1" applyFont="1"/>
    <xf borderId="22" fillId="0" fontId="8" numFmtId="164" xfId="0" applyAlignment="1" applyBorder="1" applyFont="1" applyNumberFormat="1">
      <alignment horizontal="center" shrinkToFit="1" wrapText="0"/>
    </xf>
    <xf borderId="23" fillId="0" fontId="8" numFmtId="0" xfId="0" applyAlignment="1" applyBorder="1" applyFont="1">
      <alignment horizontal="center" shrinkToFit="1" wrapText="0"/>
    </xf>
    <xf borderId="24" fillId="0" fontId="3" numFmtId="0" xfId="0" applyAlignment="1" applyBorder="1" applyFont="1">
      <alignment shrinkToFit="1" wrapText="0"/>
    </xf>
    <xf borderId="25" fillId="0" fontId="3" numFmtId="0" xfId="0" applyAlignment="1" applyBorder="1" applyFont="1">
      <alignment shrinkToFit="1" wrapText="0"/>
    </xf>
    <xf borderId="26" fillId="0" fontId="3" numFmtId="0" xfId="0" applyAlignment="1" applyBorder="1" applyFont="1">
      <alignment shrinkToFit="1" wrapText="0"/>
    </xf>
    <xf borderId="27" fillId="0" fontId="3" numFmtId="0" xfId="0" applyAlignment="1" applyBorder="1" applyFont="1">
      <alignment shrinkToFit="1" wrapText="0"/>
    </xf>
    <xf borderId="25" fillId="0" fontId="9" numFmtId="0" xfId="0" applyBorder="1" applyFont="1"/>
    <xf borderId="28" fillId="0" fontId="3" numFmtId="0" xfId="0" applyAlignment="1" applyBorder="1" applyFont="1">
      <alignment shrinkToFit="1" wrapText="0"/>
    </xf>
    <xf borderId="12" fillId="0" fontId="3" numFmtId="0" xfId="0" applyAlignment="1" applyBorder="1" applyFont="1">
      <alignment shrinkToFit="1" wrapText="0"/>
    </xf>
    <xf borderId="13" fillId="0" fontId="8" numFmtId="0" xfId="0" applyAlignment="1" applyBorder="1" applyFont="1">
      <alignment horizontal="center" shrinkToFit="1" vertical="top" wrapText="0"/>
    </xf>
    <xf borderId="29" fillId="0" fontId="9" numFmtId="0" xfId="0" applyBorder="1" applyFont="1"/>
    <xf borderId="14" fillId="0" fontId="9" numFmtId="0" xfId="0" applyBorder="1" applyFont="1"/>
    <xf borderId="12" fillId="0" fontId="8" numFmtId="0" xfId="0" applyAlignment="1" applyBorder="1" applyFont="1">
      <alignment horizontal="left" shrinkToFit="1" wrapText="0"/>
    </xf>
    <xf borderId="12" fillId="0" fontId="2" numFmtId="0" xfId="0" applyAlignment="1" applyBorder="1" applyFont="1">
      <alignment shrinkToFit="1" wrapText="0"/>
    </xf>
    <xf borderId="0" fillId="0" fontId="10" numFmtId="0" xfId="0" applyAlignment="1" applyFont="1">
      <alignment shrinkToFit="1" wrapText="0"/>
    </xf>
    <xf borderId="12" fillId="0" fontId="11" numFmtId="0" xfId="0" applyAlignment="1" applyBorder="1" applyFont="1">
      <alignment horizontal="center" shrinkToFit="1" wrapText="0"/>
    </xf>
    <xf borderId="12" fillId="2" fontId="12" numFmtId="0" xfId="0" applyAlignment="1" applyBorder="1" applyFill="1" applyFont="1">
      <alignment horizontal="center" shrinkToFit="1" vertical="center" wrapText="0"/>
    </xf>
    <xf borderId="12" fillId="0" fontId="12" numFmtId="0" xfId="0" applyAlignment="1" applyBorder="1" applyFont="1">
      <alignment horizontal="center" shrinkToFit="1" vertical="center" wrapText="0"/>
    </xf>
    <xf borderId="12" fillId="0" fontId="12" numFmtId="166" xfId="0" applyAlignment="1" applyBorder="1" applyFont="1" applyNumberFormat="1">
      <alignment horizontal="center" shrinkToFit="1" vertical="center" wrapText="0"/>
    </xf>
    <xf borderId="12" fillId="0" fontId="8" numFmtId="167" xfId="0" applyAlignment="1" applyBorder="1" applyFont="1" applyNumberFormat="1">
      <alignment horizontal="center" shrinkToFit="1" wrapText="0"/>
    </xf>
    <xf borderId="30" fillId="3" fontId="11" numFmtId="0" xfId="0" applyAlignment="1" applyBorder="1" applyFill="1" applyFont="1">
      <alignment shrinkToFit="1" wrapText="0"/>
    </xf>
    <xf borderId="12" fillId="3" fontId="11" numFmtId="0" xfId="0" applyAlignment="1" applyBorder="1" applyFont="1">
      <alignment shrinkToFit="1" wrapText="0"/>
    </xf>
    <xf borderId="12" fillId="3" fontId="11" numFmtId="0" xfId="0" applyAlignment="1" applyBorder="1" applyFont="1">
      <alignment horizontal="center" shrinkToFit="1" wrapText="0"/>
    </xf>
    <xf borderId="30" fillId="3" fontId="13" numFmtId="167" xfId="0" applyAlignment="1" applyBorder="1" applyFont="1" applyNumberFormat="1">
      <alignment shrinkToFit="1" wrapText="0"/>
    </xf>
    <xf borderId="0" fillId="0" fontId="11" numFmtId="0" xfId="0" applyAlignment="1" applyFont="1">
      <alignment shrinkToFit="1" wrapText="0"/>
    </xf>
    <xf borderId="0" fillId="0" fontId="11" numFmtId="168" xfId="0" applyAlignment="1" applyFont="1" applyNumberFormat="1">
      <alignment shrinkToFit="1" wrapText="0"/>
    </xf>
    <xf borderId="30" fillId="3" fontId="13" numFmtId="0" xfId="0" applyAlignment="1" applyBorder="1" applyFont="1">
      <alignment shrinkToFit="1" wrapText="0"/>
    </xf>
    <xf borderId="12" fillId="3" fontId="14" numFmtId="0" xfId="0" applyAlignment="1" applyBorder="1" applyFont="1">
      <alignment shrinkToFit="1" wrapText="0"/>
    </xf>
    <xf borderId="30" fillId="3" fontId="11" numFmtId="167" xfId="0" applyAlignment="1" applyBorder="1" applyFont="1" applyNumberFormat="1">
      <alignment shrinkToFit="1" wrapText="0"/>
    </xf>
    <xf borderId="12" fillId="0" fontId="15" numFmtId="0" xfId="0" applyAlignment="1" applyBorder="1" applyFont="1">
      <alignment horizontal="center" shrinkToFit="1" vertical="center" wrapText="0"/>
    </xf>
    <xf borderId="12" fillId="0" fontId="15" numFmtId="166" xfId="0" applyAlignment="1" applyBorder="1" applyFont="1" applyNumberFormat="1">
      <alignment horizontal="center" shrinkToFit="1" vertical="center" wrapText="0"/>
    </xf>
    <xf borderId="12" fillId="0" fontId="16" numFmtId="167" xfId="0" applyAlignment="1" applyBorder="1" applyFont="1" applyNumberFormat="1">
      <alignment horizontal="center" shrinkToFit="1" wrapText="0"/>
    </xf>
    <xf borderId="12" fillId="4" fontId="12" numFmtId="0" xfId="0" applyAlignment="1" applyBorder="1" applyFill="1" applyFont="1">
      <alignment horizontal="center" shrinkToFit="1" vertical="center" wrapText="0"/>
    </xf>
    <xf borderId="12" fillId="4" fontId="12" numFmtId="166" xfId="0" applyAlignment="1" applyBorder="1" applyFont="1" applyNumberFormat="1">
      <alignment horizontal="center" shrinkToFit="1" vertical="center" wrapText="0"/>
    </xf>
    <xf borderId="12" fillId="4" fontId="8" numFmtId="167" xfId="0" applyAlignment="1" applyBorder="1" applyFont="1" applyNumberFormat="1">
      <alignment horizontal="center" shrinkToFit="1" wrapText="0"/>
    </xf>
    <xf borderId="31" fillId="0" fontId="8" numFmtId="0" xfId="0" applyAlignment="1" applyBorder="1" applyFont="1">
      <alignment shrinkToFit="1" wrapText="0"/>
    </xf>
    <xf borderId="32" fillId="3" fontId="11" numFmtId="0" xfId="0" applyAlignment="1" applyBorder="1" applyFont="1">
      <alignment shrinkToFit="1" wrapText="0"/>
    </xf>
    <xf borderId="31" fillId="0" fontId="3" numFmtId="0" xfId="0" applyAlignment="1" applyBorder="1" applyFont="1">
      <alignment shrinkToFit="1" wrapText="0"/>
    </xf>
    <xf borderId="31" fillId="0" fontId="3" numFmtId="168" xfId="0" applyAlignment="1" applyBorder="1" applyFont="1" applyNumberFormat="1">
      <alignment shrinkToFit="1" wrapText="0"/>
    </xf>
    <xf borderId="12" fillId="0" fontId="3" numFmtId="0" xfId="0" applyAlignment="1" applyBorder="1" applyFont="1">
      <alignment horizontal="left" shrinkToFit="1" wrapText="0"/>
    </xf>
    <xf borderId="0" fillId="0" fontId="3" numFmtId="167" xfId="0" applyAlignment="1" applyFont="1" applyNumberFormat="1">
      <alignment shrinkToFit="1" wrapText="0"/>
    </xf>
    <xf borderId="0" fillId="0" fontId="3" numFmtId="168" xfId="0" applyAlignment="1" applyFont="1" applyNumberFormat="1">
      <alignment shrinkToFit="1" wrapText="0"/>
    </xf>
    <xf borderId="33" fillId="0" fontId="3" numFmtId="0" xfId="0" applyAlignment="1" applyBorder="1" applyFont="1">
      <alignment shrinkToFit="1" wrapText="0"/>
    </xf>
    <xf borderId="3" fillId="0" fontId="8" numFmtId="0" xfId="0" applyAlignment="1" applyBorder="1" applyFont="1">
      <alignment horizontal="center" shrinkToFit="1" wrapText="0"/>
    </xf>
    <xf borderId="3" fillId="0" fontId="8" numFmtId="0" xfId="0" applyAlignment="1" applyBorder="1" applyFont="1">
      <alignment horizontal="left" shrinkToFit="1" wrapText="0"/>
    </xf>
    <xf borderId="4" fillId="0" fontId="8" numFmtId="0" xfId="0" applyAlignment="1" applyBorder="1" applyFont="1">
      <alignment horizontal="center" shrinkToFit="1" wrapText="0"/>
    </xf>
    <xf borderId="6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center" shrinkToFit="1" vertical="center" wrapText="0"/>
    </xf>
    <xf borderId="20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horizontal="left" shrinkToFit="1" wrapText="0"/>
    </xf>
    <xf borderId="34" fillId="0" fontId="2" numFmtId="167" xfId="0" applyAlignment="1" applyBorder="1" applyFont="1" applyNumberFormat="1">
      <alignment horizontal="center" shrinkToFit="1" wrapText="0"/>
    </xf>
    <xf borderId="30" fillId="3" fontId="17" numFmtId="0" xfId="0" applyAlignment="1" applyBorder="1" applyFont="1">
      <alignment horizontal="left" shrinkToFit="1" vertical="center" wrapText="0"/>
    </xf>
    <xf borderId="25" fillId="0" fontId="3" numFmtId="0" xfId="0" applyAlignment="1" applyBorder="1" applyFont="1">
      <alignment horizontal="left" shrinkToFit="1" wrapText="0"/>
    </xf>
    <xf borderId="35" fillId="0" fontId="11" numFmtId="0" xfId="0" applyAlignment="1" applyBorder="1" applyFont="1">
      <alignment horizontal="center" shrinkToFit="1" wrapText="0"/>
    </xf>
    <xf borderId="7" fillId="0" fontId="8" numFmtId="14" xfId="0" applyAlignment="1" applyBorder="1" applyFont="1" applyNumberFormat="1">
      <alignment shrinkToFit="1" wrapText="0"/>
    </xf>
    <xf borderId="12" fillId="0" fontId="8" numFmtId="2" xfId="0" applyAlignment="1" applyBorder="1" applyFont="1" applyNumberFormat="1">
      <alignment horizontal="left" shrinkToFit="1" wrapText="0"/>
    </xf>
    <xf borderId="36" fillId="0" fontId="8" numFmtId="0" xfId="0" applyAlignment="1" applyBorder="1" applyFont="1">
      <alignment horizontal="center" shrinkToFit="1" wrapText="0"/>
    </xf>
    <xf borderId="34" fillId="0" fontId="8" numFmtId="0" xfId="0" applyAlignment="1" applyBorder="1" applyFont="1">
      <alignment horizontal="center" shrinkToFit="1" wrapText="0"/>
    </xf>
    <xf borderId="30" fillId="3" fontId="12" numFmtId="0" xfId="0" applyAlignment="1" applyBorder="1" applyFont="1">
      <alignment horizontal="left" shrinkToFit="1" vertical="center" wrapText="0"/>
    </xf>
    <xf borderId="37" fillId="0" fontId="11" numFmtId="0" xfId="0" applyAlignment="1" applyBorder="1" applyFont="1">
      <alignment horizontal="center" shrinkToFit="1" wrapText="0"/>
    </xf>
    <xf borderId="13" fillId="0" fontId="8" numFmtId="0" xfId="0" applyAlignment="1" applyBorder="1" applyFont="1">
      <alignment horizontal="left" shrinkToFit="1" wrapText="0"/>
    </xf>
    <xf borderId="30" fillId="5" fontId="11" numFmtId="0" xfId="0" applyAlignment="1" applyBorder="1" applyFill="1" applyFont="1">
      <alignment horizontal="left" shrinkToFit="1" wrapText="0"/>
    </xf>
    <xf borderId="38" fillId="0" fontId="8" numFmtId="0" xfId="0" applyAlignment="1" applyBorder="1" applyFont="1">
      <alignment horizontal="center" shrinkToFit="1" wrapText="0"/>
    </xf>
    <xf borderId="39" fillId="0" fontId="8" numFmtId="0" xfId="0" applyAlignment="1" applyBorder="1" applyFont="1">
      <alignment horizontal="center" shrinkToFit="1" wrapText="0"/>
    </xf>
    <xf borderId="34" fillId="0" fontId="2" numFmtId="0" xfId="0" applyAlignment="1" applyBorder="1" applyFont="1">
      <alignment horizontal="center" shrinkToFit="1" wrapText="0"/>
    </xf>
    <xf borderId="0" fillId="0" fontId="18" numFmtId="0" xfId="0" applyAlignment="1" applyFont="1">
      <alignment shrinkToFit="1" wrapText="0"/>
    </xf>
    <xf borderId="33" fillId="0" fontId="11" numFmtId="0" xfId="0" applyAlignment="1" applyBorder="1" applyFont="1">
      <alignment shrinkToFit="1" wrapText="0"/>
    </xf>
    <xf borderId="3" fillId="0" fontId="8" numFmtId="0" xfId="0" applyAlignment="1" applyBorder="1" applyFont="1">
      <alignment horizontal="left" shrinkToFit="1" vertical="center" wrapText="0"/>
    </xf>
    <xf borderId="35" fillId="0" fontId="8" numFmtId="0" xfId="0" applyAlignment="1" applyBorder="1" applyFont="1">
      <alignment horizontal="center" shrinkToFit="1" wrapText="0"/>
    </xf>
    <xf borderId="8" fillId="0" fontId="8" numFmtId="164" xfId="0" applyAlignment="1" applyBorder="1" applyFont="1" applyNumberFormat="1">
      <alignment horizontal="center" shrinkToFit="1" wrapText="0"/>
    </xf>
    <xf borderId="8" fillId="0" fontId="8" numFmtId="167" xfId="0" applyAlignment="1" applyBorder="1" applyFont="1" applyNumberFormat="1">
      <alignment horizontal="center" shrinkToFit="1" wrapText="0"/>
    </xf>
    <xf borderId="8" fillId="0" fontId="8" numFmtId="0" xfId="0" applyAlignment="1" applyBorder="1" applyFont="1">
      <alignment horizontal="center" shrinkToFit="1" wrapText="0"/>
    </xf>
    <xf borderId="8" fillId="0" fontId="8" numFmtId="0" xfId="0" applyAlignment="1" applyBorder="1" applyFont="1">
      <alignment horizontal="left" shrinkToFit="1" wrapText="0"/>
    </xf>
    <xf borderId="11" fillId="0" fontId="8" numFmtId="164" xfId="0" applyAlignment="1" applyBorder="1" applyFont="1" applyNumberFormat="1">
      <alignment horizontal="center" shrinkToFit="1" wrapText="0"/>
    </xf>
    <xf borderId="40" fillId="0" fontId="8" numFmtId="0" xfId="0" applyAlignment="1" applyBorder="1" applyFont="1">
      <alignment horizontal="center" shrinkToFit="1" wrapText="0"/>
    </xf>
    <xf borderId="39" fillId="0" fontId="8" numFmtId="9" xfId="0" applyAlignment="1" applyBorder="1" applyFont="1" applyNumberFormat="1">
      <alignment horizontal="center" shrinkToFit="1" wrapText="0"/>
    </xf>
    <xf borderId="39" fillId="0" fontId="8" numFmtId="10" xfId="0" applyAlignment="1" applyBorder="1" applyFont="1" applyNumberFormat="1">
      <alignment horizontal="center" shrinkToFit="1" wrapText="0"/>
    </xf>
    <xf borderId="39" fillId="0" fontId="8" numFmtId="9" xfId="0" applyAlignment="1" applyBorder="1" applyFont="1" applyNumberFormat="1">
      <alignment horizontal="left" shrinkToFit="1" wrapText="0"/>
    </xf>
    <xf borderId="18" fillId="0" fontId="8" numFmtId="10" xfId="0" applyAlignment="1" applyBorder="1" applyFont="1" applyNumberFormat="1">
      <alignment horizontal="center" shrinkToFit="1" wrapText="0"/>
    </xf>
    <xf borderId="41" fillId="0" fontId="8" numFmtId="0" xfId="0" applyAlignment="1" applyBorder="1" applyFont="1">
      <alignment horizontal="center" shrinkToFit="1" wrapText="0"/>
    </xf>
    <xf borderId="0" fillId="0" fontId="11" numFmtId="0" xfId="0" applyAlignment="1" applyFont="1">
      <alignment horizontal="center" shrinkToFit="1" wrapText="0"/>
    </xf>
    <xf borderId="0" fillId="0" fontId="11" numFmtId="9" xfId="0" applyAlignment="1" applyFont="1" applyNumberFormat="1">
      <alignment horizontal="center" shrinkToFit="1" wrapText="0"/>
    </xf>
    <xf borderId="0" fillId="0" fontId="11" numFmtId="9" xfId="0" applyAlignment="1" applyFont="1" applyNumberFormat="1">
      <alignment horizontal="left" shrinkToFit="1" wrapText="0"/>
    </xf>
    <xf borderId="42" fillId="0" fontId="11" numFmtId="9" xfId="0" applyAlignment="1" applyBorder="1" applyFont="1" applyNumberFormat="1">
      <alignment horizontal="center" shrinkToFit="1" wrapText="0"/>
    </xf>
    <xf borderId="19" fillId="0" fontId="3" numFmtId="0" xfId="0" applyAlignment="1" applyBorder="1" applyFont="1">
      <alignment shrinkToFit="1" wrapText="0"/>
    </xf>
    <xf borderId="20" fillId="0" fontId="8" numFmtId="0" xfId="0" applyAlignment="1" applyBorder="1" applyFont="1">
      <alignment shrinkToFit="1" wrapText="0"/>
    </xf>
    <xf borderId="20" fillId="0" fontId="8" numFmtId="167" xfId="0" applyAlignment="1" applyBorder="1" applyFont="1" applyNumberFormat="1">
      <alignment horizontal="left" shrinkToFit="1" wrapText="0"/>
    </xf>
    <xf borderId="43" fillId="0" fontId="3" numFmtId="0" xfId="0" applyAlignment="1" applyBorder="1" applyFont="1">
      <alignment shrinkToFit="1" wrapText="0"/>
    </xf>
    <xf borderId="30" fillId="3" fontId="19" numFmtId="0" xfId="0" applyAlignment="1" applyBorder="1" applyFont="1">
      <alignment horizontal="left" shrinkToFit="1" wrapText="0"/>
    </xf>
    <xf borderId="41" fillId="0" fontId="3" numFmtId="0" xfId="0" applyAlignment="1" applyBorder="1" applyFont="1">
      <alignment shrinkToFit="1" wrapText="0"/>
    </xf>
    <xf borderId="0" fillId="0" fontId="8" numFmtId="9" xfId="0" applyAlignment="1" applyFont="1" applyNumberFormat="1">
      <alignment horizontal="left" shrinkToFit="1" wrapText="0"/>
    </xf>
    <xf borderId="42" fillId="0" fontId="3" numFmtId="0" xfId="0" applyAlignment="1" applyBorder="1" applyFont="1">
      <alignment shrinkToFit="1" wrapText="0"/>
    </xf>
    <xf borderId="41" fillId="0" fontId="11" numFmtId="0" xfId="0" applyAlignment="1" applyBorder="1" applyFont="1">
      <alignment shrinkToFit="1" wrapText="0"/>
    </xf>
    <xf borderId="0" fillId="0" fontId="11" numFmtId="0" xfId="0" applyAlignment="1" applyFont="1">
      <alignment horizontal="left" shrinkToFit="1" wrapText="0"/>
    </xf>
    <xf borderId="42" fillId="0" fontId="11" numFmtId="0" xfId="0" applyAlignment="1" applyBorder="1" applyFont="1">
      <alignment shrinkToFit="1" wrapText="0"/>
    </xf>
    <xf borderId="30" fillId="5" fontId="3" numFmtId="0" xfId="0" applyAlignment="1" applyBorder="1" applyFont="1">
      <alignment horizontal="left" shrinkToFit="1" wrapText="0"/>
    </xf>
    <xf borderId="44" fillId="0" fontId="3" numFmtId="0" xfId="0" applyAlignment="1" applyBorder="1" applyFont="1">
      <alignment shrinkToFit="1" wrapText="0"/>
    </xf>
    <xf borderId="0" fillId="0" fontId="20" numFmtId="0" xfId="0" applyAlignment="1" applyFont="1">
      <alignment shrinkToFit="1" wrapText="0"/>
    </xf>
    <xf borderId="0" fillId="0" fontId="20" numFmtId="0" xfId="0" applyAlignment="1" applyFont="1">
      <alignment horizontal="left" shrinkToFit="1" wrapText="0"/>
    </xf>
    <xf borderId="0" fillId="0" fontId="21" numFmtId="0" xfId="0" applyAlignment="1" applyFont="1">
      <alignment horizontal="center" shrinkToFit="1" wrapText="0"/>
    </xf>
    <xf borderId="0" fillId="0" fontId="22" numFmtId="0" xfId="0" applyAlignment="1" applyFont="1">
      <alignment shrinkToFit="1" wrapText="0"/>
    </xf>
    <xf borderId="0" fillId="0" fontId="20" numFmtId="14" xfId="0" applyAlignment="1" applyFont="1" applyNumberFormat="1">
      <alignment shrinkToFit="1" wrapText="0"/>
    </xf>
    <xf borderId="45" fillId="0" fontId="20" numFmtId="0" xfId="0" applyAlignment="1" applyBorder="1" applyFont="1">
      <alignment shrinkToFit="1" wrapText="0"/>
    </xf>
    <xf borderId="45" fillId="0" fontId="20" numFmtId="0" xfId="0" applyAlignment="1" applyBorder="1" applyFont="1">
      <alignment horizontal="left" shrinkToFit="1" wrapText="0"/>
    </xf>
    <xf borderId="46" fillId="0" fontId="20" numFmtId="0" xfId="0" applyAlignment="1" applyBorder="1" applyFont="1">
      <alignment horizontal="center" shrinkToFit="1" vertical="center" wrapText="0"/>
    </xf>
    <xf borderId="47" fillId="0" fontId="9" numFmtId="0" xfId="0" applyBorder="1" applyFont="1"/>
    <xf borderId="7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shrinkToFit="1" vertical="center" wrapText="0"/>
    </xf>
    <xf borderId="36" fillId="0" fontId="20" numFmtId="0" xfId="0" applyAlignment="1" applyBorder="1" applyFont="1">
      <alignment horizontal="center" shrinkToFit="1" vertical="top" wrapText="0"/>
    </xf>
    <xf borderId="45" fillId="0" fontId="9" numFmtId="0" xfId="0" applyBorder="1" applyFont="1"/>
    <xf borderId="38" fillId="0" fontId="20" numFmtId="0" xfId="0" applyAlignment="1" applyBorder="1" applyFont="1">
      <alignment horizontal="center" shrinkToFit="1" vertical="center" wrapText="0"/>
    </xf>
    <xf borderId="0" fillId="0" fontId="20" numFmtId="10" xfId="0" applyAlignment="1" applyFont="1" applyNumberFormat="1">
      <alignment shrinkToFit="1" wrapText="0"/>
    </xf>
    <xf borderId="48" fillId="0" fontId="20" numFmtId="0" xfId="0" applyAlignment="1" applyBorder="1" applyFont="1">
      <alignment horizontal="center" shrinkToFit="1" vertical="center" wrapText="0"/>
    </xf>
    <xf borderId="7" fillId="0" fontId="20" numFmtId="0" xfId="0" applyAlignment="1" applyBorder="1" applyFont="1">
      <alignment horizontal="center" shrinkToFit="1" wrapText="0"/>
    </xf>
    <xf borderId="7" fillId="0" fontId="20" numFmtId="10" xfId="0" applyAlignment="1" applyBorder="1" applyFont="1" applyNumberFormat="1">
      <alignment horizontal="center" shrinkToFit="1" wrapText="0"/>
    </xf>
    <xf borderId="7" fillId="0" fontId="20" numFmtId="164" xfId="0" applyAlignment="1" applyBorder="1" applyFont="1" applyNumberFormat="1">
      <alignment shrinkToFit="1" wrapText="0"/>
    </xf>
    <xf borderId="12" fillId="0" fontId="20" numFmtId="1" xfId="0" applyAlignment="1" applyBorder="1" applyFont="1" applyNumberFormat="1">
      <alignment shrinkToFit="1" wrapText="0"/>
    </xf>
    <xf borderId="12" fillId="0" fontId="20" numFmtId="169" xfId="0" applyAlignment="1" applyBorder="1" applyFont="1" applyNumberFormat="1">
      <alignment horizontal="center" shrinkToFit="1" wrapText="0"/>
    </xf>
    <xf borderId="0" fillId="0" fontId="23" numFmtId="170" xfId="0" applyAlignment="1" applyFont="1" applyNumberFormat="1">
      <alignment shrinkToFit="1" wrapText="0"/>
    </xf>
    <xf borderId="0" fillId="0" fontId="21" numFmtId="164" xfId="0" applyAlignment="1" applyFont="1" applyNumberFormat="1">
      <alignment horizontal="center" shrinkToFit="1" wrapText="0"/>
    </xf>
    <xf borderId="12" fillId="0" fontId="20" numFmtId="0" xfId="0" applyAlignment="1" applyBorder="1" applyFont="1">
      <alignment horizontal="center" shrinkToFit="1" wrapText="0"/>
    </xf>
    <xf borderId="12" fillId="0" fontId="20" numFmtId="10" xfId="0" applyAlignment="1" applyBorder="1" applyFont="1" applyNumberFormat="1">
      <alignment horizontal="center" shrinkToFit="1" wrapText="0"/>
    </xf>
    <xf borderId="12" fillId="0" fontId="20" numFmtId="164" xfId="0" applyAlignment="1" applyBorder="1" applyFont="1" applyNumberFormat="1">
      <alignment shrinkToFit="1" wrapText="0"/>
    </xf>
    <xf borderId="41" fillId="0" fontId="20" numFmtId="0" xfId="0" applyAlignment="1" applyBorder="1" applyFont="1">
      <alignment horizontal="center" shrinkToFit="1" wrapText="0"/>
    </xf>
    <xf borderId="49" fillId="6" fontId="20" numFmtId="0" xfId="0" applyAlignment="1" applyBorder="1" applyFill="1" applyFont="1">
      <alignment shrinkToFit="1" wrapText="0"/>
    </xf>
    <xf borderId="50" fillId="0" fontId="20" numFmtId="0" xfId="0" applyAlignment="1" applyBorder="1" applyFont="1">
      <alignment horizontal="right" shrinkToFit="1" wrapText="0"/>
    </xf>
    <xf borderId="51" fillId="0" fontId="9" numFmtId="0" xfId="0" applyBorder="1" applyFont="1"/>
    <xf borderId="52" fillId="0" fontId="21" numFmtId="164" xfId="0" applyAlignment="1" applyBorder="1" applyFont="1" applyNumberFormat="1">
      <alignment shrinkToFit="1" wrapText="0"/>
    </xf>
    <xf borderId="0" fillId="0" fontId="21" numFmtId="164" xfId="0" applyAlignment="1" applyFont="1" applyNumberFormat="1">
      <alignment shrinkToFit="1" wrapText="0"/>
    </xf>
    <xf borderId="53" fillId="0" fontId="21" numFmtId="0" xfId="0" applyAlignment="1" applyBorder="1" applyFont="1">
      <alignment shrinkToFit="1" wrapText="0"/>
    </xf>
    <xf borderId="38" fillId="0" fontId="21" numFmtId="169" xfId="0" applyAlignment="1" applyBorder="1" applyFont="1" applyNumberFormat="1">
      <alignment horizontal="center" shrinkToFit="1" wrapText="0"/>
    </xf>
    <xf borderId="0" fillId="0" fontId="21" numFmtId="170" xfId="0" applyAlignment="1" applyFont="1" applyNumberFormat="1">
      <alignment shrinkToFit="1" wrapText="0"/>
    </xf>
    <xf borderId="46" fillId="0" fontId="20" numFmtId="0" xfId="0" applyAlignment="1" applyBorder="1" applyFont="1">
      <alignment shrinkToFit="1" wrapText="0"/>
    </xf>
    <xf borderId="47" fillId="0" fontId="20" numFmtId="0" xfId="0" applyAlignment="1" applyBorder="1" applyFont="1">
      <alignment shrinkToFit="1" wrapText="0"/>
    </xf>
    <xf borderId="36" fillId="0" fontId="20" numFmtId="0" xfId="0" applyAlignment="1" applyBorder="1" applyFont="1">
      <alignment shrinkToFit="1" wrapText="0"/>
    </xf>
    <xf borderId="7" fillId="0" fontId="20" numFmtId="0" xfId="0" applyAlignment="1" applyBorder="1" applyFont="1">
      <alignment shrinkToFit="1" wrapText="0"/>
    </xf>
    <xf borderId="12" fillId="0" fontId="20" numFmtId="0" xfId="0" applyAlignment="1" applyBorder="1" applyFont="1">
      <alignment shrinkToFit="1" wrapText="0"/>
    </xf>
    <xf borderId="13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center" shrinkToFit="1" vertical="top" wrapText="0"/>
    </xf>
    <xf borderId="12" fillId="0" fontId="20" numFmtId="0" xfId="0" applyAlignment="1" applyBorder="1" applyFont="1">
      <alignment horizontal="left" shrinkToFit="1" wrapText="0"/>
    </xf>
    <xf borderId="53" fillId="0" fontId="21" numFmtId="0" xfId="0" applyAlignment="1" applyBorder="1" applyFont="1">
      <alignment horizontal="center" shrinkToFit="1" wrapText="0"/>
    </xf>
    <xf borderId="12" fillId="2" fontId="20" numFmtId="0" xfId="0" applyAlignment="1" applyBorder="1" applyFont="1">
      <alignment horizontal="center" shrinkToFit="1" vertical="center" wrapText="0"/>
    </xf>
    <xf borderId="12" fillId="4" fontId="20" numFmtId="0" xfId="0" applyAlignment="1" applyBorder="1" applyFont="1">
      <alignment horizontal="center" shrinkToFit="1" vertical="center" wrapText="0"/>
    </xf>
    <xf borderId="12" fillId="4" fontId="20" numFmtId="166" xfId="0" applyAlignment="1" applyBorder="1" applyFont="1" applyNumberFormat="1">
      <alignment horizontal="center" shrinkToFit="1" vertical="center" wrapText="0"/>
    </xf>
    <xf borderId="12" fillId="4" fontId="20" numFmtId="167" xfId="0" applyAlignment="1" applyBorder="1" applyFont="1" applyNumberFormat="1">
      <alignment horizontal="center" shrinkToFit="1" wrapText="0"/>
    </xf>
    <xf borderId="30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shrinkToFit="1" wrapText="0"/>
    </xf>
    <xf borderId="12" fillId="4" fontId="20" numFmtId="0" xfId="0" applyAlignment="1" applyBorder="1" applyFont="1">
      <alignment horizontal="center" shrinkToFit="1" wrapText="0"/>
    </xf>
    <xf borderId="53" fillId="0" fontId="20" numFmtId="171" xfId="0" applyAlignment="1" applyBorder="1" applyFont="1" applyNumberFormat="1">
      <alignment horizontal="center" shrinkToFit="1" vertical="center" wrapText="0"/>
    </xf>
    <xf borderId="0" fillId="0" fontId="20" numFmtId="166" xfId="0" applyAlignment="1" applyFont="1" applyNumberFormat="1">
      <alignment shrinkToFit="1" wrapText="0"/>
    </xf>
    <xf borderId="12" fillId="0" fontId="20" numFmtId="168" xfId="0" applyAlignment="1" applyBorder="1" applyFont="1" applyNumberFormat="1">
      <alignment shrinkToFit="1" wrapText="0"/>
    </xf>
    <xf borderId="12" fillId="0" fontId="20" numFmtId="0" xfId="0" applyAlignment="1" applyBorder="1" applyFont="1">
      <alignment horizontal="center" shrinkToFit="1" vertical="center" wrapText="0"/>
    </xf>
    <xf borderId="12" fillId="0" fontId="20" numFmtId="166" xfId="0" applyAlignment="1" applyBorder="1" applyFont="1" applyNumberFormat="1">
      <alignment horizontal="center" shrinkToFit="1" vertical="center" wrapText="0"/>
    </xf>
    <xf borderId="12" fillId="0" fontId="20" numFmtId="167" xfId="0" applyAlignment="1" applyBorder="1" applyFont="1" applyNumberFormat="1">
      <alignment horizontal="center" shrinkToFit="1" wrapText="0"/>
    </xf>
    <xf borderId="12" fillId="7" fontId="20" numFmtId="0" xfId="0" applyAlignment="1" applyBorder="1" applyFill="1" applyFont="1">
      <alignment horizontal="center" shrinkToFit="1" vertical="center" wrapText="0"/>
    </xf>
    <xf borderId="50" fillId="0" fontId="20" numFmtId="0" xfId="0" applyAlignment="1" applyBorder="1" applyFont="1">
      <alignment shrinkToFit="1" wrapText="0"/>
    </xf>
    <xf borderId="50" fillId="0" fontId="20" numFmtId="0" xfId="0" applyAlignment="1" applyBorder="1" applyFont="1">
      <alignment horizontal="center" shrinkToFit="1" wrapText="0"/>
    </xf>
    <xf borderId="12" fillId="6" fontId="20" numFmtId="0" xfId="0" applyAlignment="1" applyBorder="1" applyFont="1">
      <alignment shrinkToFit="1" wrapText="0"/>
    </xf>
    <xf borderId="12" fillId="6" fontId="20" numFmtId="0" xfId="0" applyAlignment="1" applyBorder="1" applyFont="1">
      <alignment horizontal="center" shrinkToFit="1" wrapText="0"/>
    </xf>
    <xf borderId="30" fillId="6" fontId="20" numFmtId="166" xfId="0" applyAlignment="1" applyBorder="1" applyFont="1" applyNumberFormat="1">
      <alignment shrinkToFit="1" wrapText="0"/>
    </xf>
    <xf borderId="12" fillId="6" fontId="20" numFmtId="168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wrapText="0"/>
    </xf>
    <xf borderId="12" fillId="0" fontId="21" numFmtId="167" xfId="0" applyAlignment="1" applyBorder="1" applyFont="1" applyNumberFormat="1">
      <alignment horizontal="center" shrinkToFit="1" wrapText="0"/>
    </xf>
    <xf borderId="0" fillId="0" fontId="21" numFmtId="167" xfId="0" applyAlignment="1" applyFont="1" applyNumberFormat="1">
      <alignment horizontal="center" shrinkToFit="1" wrapText="0"/>
    </xf>
    <xf borderId="12" fillId="0" fontId="21" numFmtId="0" xfId="0" applyAlignment="1" applyBorder="1" applyFont="1">
      <alignment shrinkToFit="1" wrapText="0"/>
    </xf>
    <xf borderId="12" fillId="0" fontId="21" numFmtId="0" xfId="0" applyAlignment="1" applyBorder="1" applyFont="1">
      <alignment horizontal="left" shrinkToFit="1" wrapText="0"/>
    </xf>
    <xf borderId="12" fillId="0" fontId="21" numFmtId="0" xfId="0" applyAlignment="1" applyBorder="1" applyFont="1">
      <alignment horizontal="center" shrinkToFit="1" wrapText="0"/>
    </xf>
    <xf borderId="12" fillId="0" fontId="21" numFmtId="167" xfId="0" applyAlignment="1" applyBorder="1" applyFont="1" applyNumberFormat="1">
      <alignment shrinkToFit="1" wrapText="0"/>
    </xf>
    <xf borderId="0" fillId="0" fontId="21" numFmtId="0" xfId="0" applyAlignment="1" applyFont="1">
      <alignment shrinkToFit="1" wrapText="0"/>
    </xf>
    <xf borderId="0" fillId="0" fontId="21" numFmtId="168" xfId="0" applyAlignment="1" applyFont="1" applyNumberFormat="1">
      <alignment shrinkToFit="1" wrapText="0"/>
    </xf>
    <xf borderId="0" fillId="0" fontId="23" numFmtId="167" xfId="0" applyAlignment="1" applyFont="1" applyNumberFormat="1">
      <alignment shrinkToFit="1" wrapText="0"/>
    </xf>
    <xf borderId="0" fillId="0" fontId="24" numFmtId="0" xfId="0" applyAlignment="1" applyFont="1">
      <alignment shrinkToFit="1" wrapText="0"/>
    </xf>
    <xf borderId="31" fillId="0" fontId="21" numFmtId="167" xfId="0" applyAlignment="1" applyBorder="1" applyFont="1" applyNumberFormat="1">
      <alignment shrinkToFit="1" wrapText="0"/>
    </xf>
    <xf borderId="54" fillId="6" fontId="20" numFmtId="0" xfId="0" applyAlignment="1" applyBorder="1" applyFont="1">
      <alignment horizontal="center" shrinkToFit="1" vertical="center" wrapText="0"/>
    </xf>
    <xf borderId="54" fillId="6" fontId="20" numFmtId="166" xfId="0" applyAlignment="1" applyBorder="1" applyFont="1" applyNumberFormat="1">
      <alignment horizontal="center" shrinkToFit="1" vertical="center" wrapText="0"/>
    </xf>
    <xf borderId="7" fillId="0" fontId="20" numFmtId="167" xfId="0" applyAlignment="1" applyBorder="1" applyFont="1" applyNumberFormat="1">
      <alignment horizontal="center" shrinkToFit="1" wrapText="0"/>
    </xf>
    <xf borderId="12" fillId="6" fontId="20" numFmtId="0" xfId="0" applyAlignment="1" applyBorder="1" applyFont="1">
      <alignment horizontal="center" shrinkToFit="1" vertical="center" wrapText="0"/>
    </xf>
    <xf borderId="12" fillId="6" fontId="20" numFmtId="166" xfId="0" applyAlignment="1" applyBorder="1" applyFont="1" applyNumberFormat="1">
      <alignment horizontal="center" shrinkToFit="1" vertical="center" wrapText="0"/>
    </xf>
    <xf borderId="0" fillId="0" fontId="20" numFmtId="0" xfId="0" applyAlignment="1" applyFont="1">
      <alignment horizontal="center" shrinkToFit="1" vertical="center" wrapText="0"/>
    </xf>
    <xf borderId="0" fillId="0" fontId="20" numFmtId="0" xfId="0" applyAlignment="1" applyFont="1">
      <alignment horizontal="center" shrinkToFit="1" wrapText="0"/>
    </xf>
    <xf borderId="50" fillId="0" fontId="20" numFmtId="0" xfId="0" applyAlignment="1" applyBorder="1" applyFont="1">
      <alignment horizontal="left" shrinkToFit="1" wrapText="0"/>
    </xf>
    <xf borderId="38" fillId="0" fontId="21" numFmtId="167" xfId="0" applyAlignment="1" applyBorder="1" applyFont="1" applyNumberFormat="1">
      <alignment horizontal="center" shrinkToFit="1" wrapText="0"/>
    </xf>
    <xf borderId="0" fillId="0" fontId="20" numFmtId="0" xfId="0" applyAlignment="1" applyFont="1">
      <alignment horizontal="left" shrinkToFit="1" vertical="center" wrapText="0"/>
    </xf>
    <xf borderId="14" fillId="0" fontId="20" numFmtId="0" xfId="0" applyAlignment="1" applyBorder="1" applyFont="1">
      <alignment horizontal="center" shrinkToFit="1" vertical="top" wrapText="0"/>
    </xf>
    <xf borderId="13" fillId="0" fontId="20" numFmtId="0" xfId="0" applyAlignment="1" applyBorder="1" applyFont="1">
      <alignment horizontal="center" shrinkToFit="1" wrapText="0"/>
    </xf>
    <xf borderId="12" fillId="6" fontId="20" numFmtId="2" xfId="0" applyAlignment="1" applyBorder="1" applyFont="1" applyNumberFormat="1">
      <alignment horizontal="center" shrinkToFit="1" wrapText="0"/>
    </xf>
    <xf borderId="22" fillId="0" fontId="20" numFmtId="0" xfId="0" applyAlignment="1" applyBorder="1" applyFont="1">
      <alignment shrinkToFit="1" wrapText="0"/>
    </xf>
    <xf borderId="12" fillId="6" fontId="20" numFmtId="14" xfId="0" applyAlignment="1" applyBorder="1" applyFont="1" applyNumberFormat="1">
      <alignment horizontal="center" shrinkToFit="1" wrapText="0"/>
    </xf>
    <xf borderId="12" fillId="6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horizontal="center" shrinkToFit="1" vertical="center" wrapText="0"/>
    </xf>
    <xf borderId="12" fillId="0" fontId="20" numFmtId="14" xfId="0" applyAlignment="1" applyBorder="1" applyFont="1" applyNumberFormat="1">
      <alignment shrinkToFit="1" wrapText="0"/>
    </xf>
    <xf borderId="7" fillId="0" fontId="21" numFmtId="167" xfId="0" applyAlignment="1" applyBorder="1" applyFont="1" applyNumberFormat="1">
      <alignment horizontal="center" shrinkToFit="1" wrapText="0"/>
    </xf>
    <xf borderId="7" fillId="0" fontId="21" numFmtId="0" xfId="0" applyAlignment="1" applyBorder="1" applyFont="1">
      <alignment shrinkToFit="1" wrapText="0"/>
    </xf>
    <xf borderId="0" fillId="0" fontId="25" numFmtId="0" xfId="0" applyAlignment="1" applyFont="1">
      <alignment shrinkToFit="1" wrapText="0"/>
    </xf>
    <xf borderId="33" fillId="0" fontId="20" numFmtId="0" xfId="0" applyAlignment="1" applyBorder="1" applyFont="1">
      <alignment shrinkToFit="1" wrapText="0"/>
    </xf>
    <xf borderId="3" fillId="0" fontId="20" numFmtId="0" xfId="0" applyAlignment="1" applyBorder="1" applyFont="1">
      <alignment horizontal="center" shrinkToFit="1" vertical="center" wrapText="0"/>
    </xf>
    <xf borderId="3" fillId="0" fontId="20" numFmtId="0" xfId="0" applyAlignment="1" applyBorder="1" applyFont="1">
      <alignment horizontal="left" shrinkToFit="1" vertical="center" wrapText="0"/>
    </xf>
    <xf borderId="6" fillId="0" fontId="20" numFmtId="0" xfId="0" applyAlignment="1" applyBorder="1" applyFont="1">
      <alignment horizontal="center" shrinkToFit="1" vertical="center" wrapText="0"/>
    </xf>
    <xf borderId="35" fillId="0" fontId="20" numFmtId="0" xfId="0" applyAlignment="1" applyBorder="1" applyFont="1">
      <alignment horizontal="center" shrinkToFit="1" wrapText="0"/>
    </xf>
    <xf borderId="8" fillId="0" fontId="20" numFmtId="168" xfId="0" applyAlignment="1" applyBorder="1" applyFont="1" applyNumberFormat="1">
      <alignment horizontal="center" shrinkToFit="1" wrapText="0"/>
    </xf>
    <xf borderId="8" fillId="0" fontId="20" numFmtId="167" xfId="0" applyAlignment="1" applyBorder="1" applyFont="1" applyNumberFormat="1">
      <alignment horizontal="center" shrinkToFit="1" wrapText="0"/>
    </xf>
    <xf borderId="8" fillId="0" fontId="20" numFmtId="0" xfId="0" applyAlignment="1" applyBorder="1" applyFont="1">
      <alignment horizontal="center" shrinkToFit="1" wrapText="0"/>
    </xf>
    <xf borderId="8" fillId="0" fontId="20" numFmtId="169" xfId="0" applyAlignment="1" applyBorder="1" applyFont="1" applyNumberFormat="1">
      <alignment horizontal="left" shrinkToFit="1" wrapText="0"/>
    </xf>
    <xf borderId="11" fillId="0" fontId="20" numFmtId="168" xfId="0" applyAlignment="1" applyBorder="1" applyFont="1" applyNumberFormat="1">
      <alignment horizontal="center" shrinkToFit="1" wrapText="0"/>
    </xf>
    <xf borderId="40" fillId="0" fontId="20" numFmtId="0" xfId="0" applyAlignment="1" applyBorder="1" applyFont="1">
      <alignment horizontal="center" shrinkToFit="1" wrapText="0"/>
    </xf>
    <xf borderId="39" fillId="0" fontId="20" numFmtId="0" xfId="0" applyAlignment="1" applyBorder="1" applyFont="1">
      <alignment horizontal="center" shrinkToFit="1" wrapText="0"/>
    </xf>
    <xf borderId="39" fillId="0" fontId="20" numFmtId="10" xfId="0" applyAlignment="1" applyBorder="1" applyFont="1" applyNumberFormat="1">
      <alignment horizontal="center" shrinkToFit="1" wrapText="0"/>
    </xf>
    <xf borderId="39" fillId="0" fontId="20" numFmtId="10" xfId="0" applyAlignment="1" applyBorder="1" applyFont="1" applyNumberFormat="1">
      <alignment horizontal="left" shrinkToFit="1" wrapText="0"/>
    </xf>
    <xf borderId="18" fillId="0" fontId="20" numFmtId="10" xfId="0" applyAlignment="1" applyBorder="1" applyFont="1" applyNumberFormat="1">
      <alignment horizontal="center" shrinkToFit="1" wrapText="0"/>
    </xf>
    <xf borderId="0" fillId="0" fontId="20" numFmtId="9" xfId="0" applyAlignment="1" applyFont="1" applyNumberFormat="1">
      <alignment horizontal="center" shrinkToFit="1" wrapText="0"/>
    </xf>
    <xf borderId="0" fillId="0" fontId="20" numFmtId="9" xfId="0" applyAlignment="1" applyFont="1" applyNumberFormat="1">
      <alignment horizontal="left" shrinkToFit="1" wrapText="0"/>
    </xf>
    <xf borderId="42" fillId="0" fontId="20" numFmtId="9" xfId="0" applyAlignment="1" applyBorder="1" applyFont="1" applyNumberFormat="1">
      <alignment horizontal="center" shrinkToFit="1" wrapText="0"/>
    </xf>
    <xf borderId="19" fillId="0" fontId="20" numFmtId="0" xfId="0" applyAlignment="1" applyBorder="1" applyFont="1">
      <alignment shrinkToFit="1" wrapText="0"/>
    </xf>
    <xf borderId="20" fillId="0" fontId="20" numFmtId="0" xfId="0" applyAlignment="1" applyBorder="1" applyFont="1">
      <alignment shrinkToFit="1" wrapText="0"/>
    </xf>
    <xf borderId="20" fillId="0" fontId="20" numFmtId="167" xfId="0" applyAlignment="1" applyBorder="1" applyFont="1" applyNumberFormat="1">
      <alignment horizontal="left" shrinkToFit="1" wrapText="0"/>
    </xf>
    <xf borderId="43" fillId="0" fontId="20" numFmtId="0" xfId="0" applyAlignment="1" applyBorder="1" applyFont="1">
      <alignment shrinkToFit="1" wrapText="0"/>
    </xf>
    <xf borderId="41" fillId="0" fontId="20" numFmtId="0" xfId="0" applyAlignment="1" applyBorder="1" applyFont="1">
      <alignment shrinkToFit="1" wrapText="0"/>
    </xf>
    <xf borderId="42" fillId="0" fontId="20" numFmtId="0" xfId="0" applyAlignment="1" applyBorder="1" applyFont="1">
      <alignment shrinkToFit="1" wrapText="0"/>
    </xf>
    <xf borderId="24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shrinkToFit="1" wrapText="0"/>
    </xf>
    <xf borderId="25" fillId="0" fontId="20" numFmtId="0" xfId="0" applyAlignment="1" applyBorder="1" applyFont="1">
      <alignment horizontal="left" shrinkToFit="1" wrapText="0"/>
    </xf>
    <xf borderId="44" fillId="0" fontId="20" numFmtId="0" xfId="0" applyAlignment="1" applyBorder="1" applyFont="1">
      <alignment shrinkToFit="1" wrapText="0"/>
    </xf>
    <xf borderId="0" fillId="0" fontId="6" numFmtId="0" xfId="0" applyAlignment="1" applyFont="1">
      <alignment horizontal="left" shrinkToFit="1" wrapText="0"/>
    </xf>
    <xf borderId="0" fillId="0" fontId="26" numFmtId="0" xfId="0" applyAlignment="1" applyFont="1">
      <alignment horizontal="center" shrinkToFit="1" wrapText="0"/>
    </xf>
    <xf borderId="0" fillId="0" fontId="23" numFmtId="164" xfId="0" applyAlignment="1" applyFont="1" applyNumberFormat="1">
      <alignment shrinkToFit="1" wrapText="0"/>
    </xf>
    <xf borderId="54" fillId="7" fontId="20" numFmtId="0" xfId="0" applyAlignment="1" applyBorder="1" applyFont="1">
      <alignment horizontal="center" shrinkToFit="1" wrapText="0"/>
    </xf>
    <xf borderId="12" fillId="7" fontId="20" numFmtId="0" xfId="0" applyAlignment="1" applyBorder="1" applyFont="1">
      <alignment horizontal="center" shrinkToFit="1" wrapText="0"/>
    </xf>
    <xf borderId="0" fillId="0" fontId="20" numFmtId="167" xfId="0" applyAlignment="1" applyFont="1" applyNumberFormat="1">
      <alignment shrinkToFit="1" wrapText="0"/>
    </xf>
    <xf borderId="0" fillId="0" fontId="20" numFmtId="172" xfId="0" applyAlignment="1" applyFont="1" applyNumberFormat="1">
      <alignment shrinkToFit="1" wrapText="0"/>
    </xf>
    <xf borderId="0" fillId="0" fontId="20" numFmtId="173" xfId="0" applyAlignment="1" applyFont="1" applyNumberFormat="1">
      <alignment shrinkToFit="1" wrapText="0"/>
    </xf>
    <xf borderId="12" fillId="8" fontId="20" numFmtId="0" xfId="0" applyAlignment="1" applyBorder="1" applyFill="1" applyFont="1">
      <alignment horizontal="center" shrinkToFit="1" vertical="center" wrapText="0"/>
    </xf>
    <xf borderId="12" fillId="8" fontId="20" numFmtId="166" xfId="0" applyAlignment="1" applyBorder="1" applyFont="1" applyNumberFormat="1">
      <alignment horizontal="center" shrinkToFit="1" vertical="center" wrapText="0"/>
    </xf>
    <xf borderId="12" fillId="8" fontId="20" numFmtId="167" xfId="0" applyAlignment="1" applyBorder="1" applyFont="1" applyNumberFormat="1">
      <alignment horizontal="center" shrinkToFit="1" wrapText="0"/>
    </xf>
    <xf borderId="30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shrinkToFit="1" wrapText="0"/>
    </xf>
    <xf borderId="12" fillId="8" fontId="20" numFmtId="0" xfId="0" applyAlignment="1" applyBorder="1" applyFont="1">
      <alignment horizontal="center" shrinkToFit="1" wrapText="0"/>
    </xf>
    <xf borderId="49" fillId="4" fontId="20" numFmtId="0" xfId="0" applyAlignment="1" applyBorder="1" applyFont="1">
      <alignment shrinkToFit="1" wrapText="0"/>
    </xf>
    <xf borderId="49" fillId="4" fontId="20" numFmtId="0" xfId="0" applyAlignment="1" applyBorder="1" applyFont="1">
      <alignment horizontal="center" shrinkToFit="1" wrapText="0"/>
    </xf>
    <xf borderId="55" fillId="6" fontId="20" numFmtId="0" xfId="0" applyAlignment="1" applyBorder="1" applyFont="1">
      <alignment horizontal="center" shrinkToFit="1" vertical="center" wrapText="0"/>
    </xf>
    <xf borderId="55" fillId="6" fontId="20" numFmtId="166" xfId="0" applyAlignment="1" applyBorder="1" applyFont="1" applyNumberFormat="1">
      <alignment horizontal="center" shrinkToFit="1" vertical="center" wrapText="0"/>
    </xf>
    <xf borderId="38" fillId="0" fontId="20" numFmtId="167" xfId="0" applyAlignment="1" applyBorder="1" applyFont="1" applyNumberFormat="1">
      <alignment horizontal="center" shrinkToFit="1" wrapText="0"/>
    </xf>
    <xf borderId="36" fillId="0" fontId="20" numFmtId="0" xfId="0" applyAlignment="1" applyBorder="1" applyFont="1">
      <alignment horizontal="center" shrinkToFit="1" wrapText="0"/>
    </xf>
    <xf borderId="56" fillId="0" fontId="21" numFmtId="167" xfId="0" applyAlignment="1" applyBorder="1" applyFont="1" applyNumberFormat="1">
      <alignment horizontal="center" shrinkToFit="1" wrapText="0"/>
    </xf>
    <xf borderId="12" fillId="0" fontId="27" numFmtId="0" xfId="0" applyAlignment="1" applyBorder="1" applyFont="1">
      <alignment horizontal="center" shrinkToFit="1" vertical="center" wrapText="0"/>
    </xf>
    <xf borderId="12" fillId="0" fontId="28" numFmtId="0" xfId="0" applyAlignment="1" applyBorder="1" applyFont="1">
      <alignment horizontal="center" shrinkToFit="1" vertical="center" wrapText="0"/>
    </xf>
    <xf borderId="12" fillId="0" fontId="20" numFmtId="4" xfId="0" applyAlignment="1" applyBorder="1" applyFont="1" applyNumberFormat="1">
      <alignment horizontal="center" shrinkToFit="1" vertical="center" wrapText="0"/>
    </xf>
    <xf borderId="12" fillId="0" fontId="29" numFmtId="4" xfId="0" applyAlignment="1" applyBorder="1" applyFont="1" applyNumberFormat="1">
      <alignment horizontal="center" shrinkToFit="1" vertical="center" wrapText="0"/>
    </xf>
    <xf borderId="12" fillId="0" fontId="30" numFmtId="0" xfId="0" applyAlignment="1" applyBorder="1" applyFont="1">
      <alignment horizontal="center" shrinkToFit="1" vertical="center" wrapText="0"/>
    </xf>
    <xf borderId="12" fillId="0" fontId="30" numFmtId="4" xfId="0" applyAlignment="1" applyBorder="1" applyFont="1" applyNumberFormat="1">
      <alignment horizontal="center" shrinkToFit="1" vertical="center" wrapText="0"/>
    </xf>
    <xf borderId="49" fillId="8" fontId="20" numFmtId="0" xfId="0" applyAlignment="1" applyBorder="1" applyFont="1">
      <alignment shrinkToFit="1" wrapText="0"/>
    </xf>
    <xf borderId="49" fillId="8" fontId="20" numFmtId="0" xfId="0" applyAlignment="1" applyBorder="1" applyFont="1">
      <alignment horizontal="center" shrinkToFit="1" wrapText="0"/>
    </xf>
    <xf borderId="0" fillId="0" fontId="20" numFmtId="169" xfId="0" applyAlignment="1" applyFont="1" applyNumberFormat="1">
      <alignment shrinkToFit="1" wrapText="0"/>
    </xf>
    <xf borderId="0" fillId="0" fontId="20" numFmtId="174" xfId="0" applyAlignment="1" applyFont="1" applyNumberFormat="1">
      <alignment shrinkToFit="1" wrapText="0"/>
    </xf>
    <xf borderId="0" fillId="0" fontId="20" numFmtId="0" xfId="0" applyAlignment="1" applyFont="1">
      <alignment shrinkToFit="1" vertical="center" wrapText="0"/>
    </xf>
    <xf borderId="0" fillId="0" fontId="20" numFmtId="4" xfId="0" applyAlignment="1" applyFont="1" applyNumberFormat="1">
      <alignment horizontal="center" shrinkToFit="1" vertical="center" wrapText="0"/>
    </xf>
    <xf borderId="12" fillId="0" fontId="20" numFmtId="0" xfId="0" applyAlignment="1" applyBorder="1" applyFont="1">
      <alignment shrinkToFit="1" vertical="center" wrapText="0"/>
    </xf>
    <xf borderId="13" fillId="0" fontId="20" numFmtId="0" xfId="0" applyAlignment="1" applyBorder="1" applyFont="1">
      <alignment horizontal="center" shrinkToFit="1" vertical="center" wrapText="0"/>
    </xf>
    <xf borderId="12" fillId="0" fontId="20" numFmtId="0" xfId="0" applyAlignment="1" applyBorder="1" applyFont="1">
      <alignment horizontal="left" shrinkToFit="1" vertical="center" wrapText="0"/>
    </xf>
    <xf borderId="50" fillId="0" fontId="20" numFmtId="0" xfId="0" applyAlignment="1" applyBorder="1" applyFont="1">
      <alignment shrinkToFit="1" vertical="center" wrapText="0"/>
    </xf>
    <xf borderId="50" fillId="0" fontId="20" numFmtId="0" xfId="0" applyAlignment="1" applyBorder="1" applyFont="1">
      <alignment horizontal="left" shrinkToFit="1" vertical="center" wrapText="0"/>
    </xf>
    <xf borderId="12" fillId="0" fontId="21" numFmtId="4" xfId="0" applyAlignment="1" applyBorder="1" applyFont="1" applyNumberFormat="1">
      <alignment horizontal="center" shrinkToFit="1" vertical="center" wrapText="0"/>
    </xf>
    <xf borderId="36" fillId="0" fontId="20" numFmtId="0" xfId="0" applyAlignment="1" applyBorder="1" applyFont="1">
      <alignment shrinkToFit="1" vertical="center" wrapText="0"/>
    </xf>
    <xf borderId="45" fillId="0" fontId="20" numFmtId="0" xfId="0" applyAlignment="1" applyBorder="1" applyFont="1">
      <alignment shrinkToFit="1" vertical="center" wrapText="0"/>
    </xf>
    <xf borderId="45" fillId="0" fontId="20" numFmtId="0" xfId="0" applyAlignment="1" applyBorder="1" applyFont="1">
      <alignment horizontal="left" shrinkToFit="1" vertical="center" wrapText="0"/>
    </xf>
    <xf borderId="0" fillId="0" fontId="31" numFmtId="14" xfId="0" applyAlignment="1" applyFont="1" applyNumberFormat="1">
      <alignment shrinkToFit="1" wrapText="0"/>
    </xf>
    <xf borderId="0" fillId="0" fontId="32" numFmtId="0" xfId="0" applyAlignment="1" applyFont="1">
      <alignment shrinkToFit="1" wrapText="0"/>
    </xf>
    <xf borderId="0" fillId="0" fontId="31" numFmtId="0" xfId="0" applyAlignment="1" applyFont="1">
      <alignment horizontal="center" shrinkToFit="1" wrapText="0"/>
    </xf>
    <xf borderId="0" fillId="0" fontId="32" numFmtId="166" xfId="0" applyAlignment="1" applyFont="1" applyNumberFormat="1">
      <alignment shrinkToFit="1" wrapText="0"/>
    </xf>
    <xf borderId="0" fillId="0" fontId="31" numFmtId="0" xfId="0" applyAlignment="1" applyFont="1">
      <alignment shrinkToFit="1" wrapText="0"/>
    </xf>
    <xf borderId="0" fillId="0" fontId="32" numFmtId="14" xfId="0" applyAlignment="1" applyFont="1" applyNumberFormat="1">
      <alignment shrinkToFit="1" wrapText="0"/>
    </xf>
    <xf borderId="30" fillId="4" fontId="31" numFmtId="16" xfId="0" applyAlignment="1" applyBorder="1" applyFont="1" applyNumberFormat="1">
      <alignment shrinkToFit="1" wrapText="0"/>
    </xf>
    <xf borderId="0" fillId="0" fontId="31" numFmtId="166" xfId="0" applyAlignment="1" applyFont="1" applyNumberFormat="1">
      <alignment shrinkToFit="1" wrapText="0"/>
    </xf>
    <xf borderId="1" fillId="0" fontId="31" numFmtId="14" xfId="0" applyAlignment="1" applyBorder="1" applyFont="1" applyNumberFormat="1">
      <alignment horizontal="center" shrinkToFit="1" vertical="center" wrapText="0"/>
    </xf>
    <xf borderId="33" fillId="0" fontId="31" numFmtId="0" xfId="0" applyAlignment="1" applyBorder="1" applyFont="1">
      <alignment horizontal="center" shrinkToFit="1" vertical="center" wrapText="0"/>
    </xf>
    <xf borderId="3" fillId="0" fontId="31" numFmtId="0" xfId="0" applyAlignment="1" applyBorder="1" applyFont="1">
      <alignment horizontal="center" shrinkToFit="1" vertical="center" wrapText="0"/>
    </xf>
    <xf borderId="4" fillId="0" fontId="31" numFmtId="0" xfId="0" applyAlignment="1" applyBorder="1" applyFont="1">
      <alignment horizontal="center" shrinkToFit="1" vertical="center" wrapText="0"/>
    </xf>
    <xf borderId="34" fillId="0" fontId="31" numFmtId="0" xfId="0" applyAlignment="1" applyBorder="1" applyFont="1">
      <alignment horizontal="center" shrinkToFit="1" vertical="center" wrapText="0"/>
    </xf>
    <xf borderId="0" fillId="0" fontId="31" numFmtId="0" xfId="0" applyAlignment="1" applyFont="1">
      <alignment horizontal="center" shrinkToFit="1" vertical="center" wrapText="0"/>
    </xf>
    <xf borderId="12" fillId="0" fontId="32" numFmtId="14" xfId="0" applyAlignment="1" applyBorder="1" applyFont="1" applyNumberFormat="1">
      <alignment shrinkToFit="1" wrapText="0"/>
    </xf>
    <xf borderId="12" fillId="0" fontId="31" numFmtId="166" xfId="0" applyAlignment="1" applyBorder="1" applyFont="1" applyNumberFormat="1">
      <alignment shrinkToFit="1" wrapText="0"/>
    </xf>
    <xf borderId="12" fillId="0" fontId="31" numFmtId="0" xfId="0" applyAlignment="1" applyBorder="1" applyFont="1">
      <alignment shrinkToFit="1" wrapText="0"/>
    </xf>
    <xf borderId="12" fillId="0" fontId="32" numFmtId="0" xfId="0" applyAlignment="1" applyBorder="1" applyFont="1">
      <alignment shrinkToFit="1" wrapText="0"/>
    </xf>
    <xf borderId="57" fillId="0" fontId="33" numFmtId="14" xfId="0" applyAlignment="1" applyBorder="1" applyFont="1" applyNumberFormat="1">
      <alignment horizontal="left" shrinkToFit="1" wrapText="0"/>
    </xf>
    <xf borderId="12" fillId="0" fontId="33" numFmtId="175" xfId="0" applyAlignment="1" applyBorder="1" applyFont="1" applyNumberFormat="1">
      <alignment horizontal="center" shrinkToFit="1" wrapText="0"/>
    </xf>
    <xf borderId="12" fillId="0" fontId="31" numFmtId="0" xfId="0" applyAlignment="1" applyBorder="1" applyFont="1">
      <alignment horizontal="center" shrinkToFit="1" vertical="center" wrapText="0"/>
    </xf>
    <xf borderId="30" fillId="9" fontId="32" numFmtId="166" xfId="0" applyAlignment="1" applyBorder="1" applyFill="1" applyFont="1" applyNumberFormat="1">
      <alignment shrinkToFit="1" wrapText="0"/>
    </xf>
    <xf borderId="0" fillId="0" fontId="31" numFmtId="9" xfId="0" applyAlignment="1" applyFont="1" applyNumberFormat="1">
      <alignment shrinkToFit="1" wrapText="0"/>
    </xf>
    <xf borderId="0" fillId="0" fontId="32" numFmtId="9" xfId="0" applyAlignment="1" applyFont="1" applyNumberFormat="1">
      <alignment shrinkToFit="1" wrapText="0"/>
    </xf>
    <xf borderId="12" fillId="0" fontId="32" numFmtId="166" xfId="0" applyAlignment="1" applyBorder="1" applyFont="1" applyNumberFormat="1">
      <alignment shrinkToFit="1" wrapText="0"/>
    </xf>
    <xf borderId="12" fillId="0" fontId="32" numFmtId="167" xfId="0" applyAlignment="1" applyBorder="1" applyFont="1" applyNumberFormat="1">
      <alignment shrinkToFit="1" wrapText="0"/>
    </xf>
    <xf borderId="12" fillId="0" fontId="32" numFmtId="9" xfId="0" applyAlignment="1" applyBorder="1" applyFont="1" applyNumberFormat="1">
      <alignment shrinkToFit="1" wrapText="0"/>
    </xf>
    <xf borderId="0" fillId="0" fontId="33" numFmtId="175" xfId="0" applyAlignment="1" applyFont="1" applyNumberFormat="1">
      <alignment horizontal="center" shrinkToFit="1" wrapText="0"/>
    </xf>
    <xf borderId="0" fillId="0" fontId="32" numFmtId="166" xfId="0" applyAlignment="1" applyFont="1" applyNumberFormat="1">
      <alignment horizontal="center" shrinkToFit="1" wrapText="0"/>
    </xf>
    <xf borderId="7" fillId="0" fontId="33" numFmtId="175" xfId="0" applyAlignment="1" applyBorder="1" applyFont="1" applyNumberFormat="1">
      <alignment horizontal="center" shrinkToFit="1" wrapText="0"/>
    </xf>
    <xf borderId="10" fillId="0" fontId="20" numFmtId="0" xfId="0" applyAlignment="1" applyBorder="1" applyFont="1">
      <alignment horizontal="center" shrinkToFit="1" vertical="center" wrapText="0"/>
    </xf>
    <xf borderId="8" fillId="0" fontId="20" numFmtId="0" xfId="0" applyAlignment="1" applyBorder="1" applyFont="1">
      <alignment horizontal="center" shrinkToFit="1" vertical="center" wrapText="0"/>
    </xf>
    <xf borderId="57" fillId="0" fontId="31" numFmtId="14" xfId="0" applyAlignment="1" applyBorder="1" applyFont="1" applyNumberFormat="1">
      <alignment shrinkToFit="1" wrapText="0"/>
    </xf>
    <xf borderId="54" fillId="4" fontId="34" numFmtId="175" xfId="0" applyAlignment="1" applyBorder="1" applyFont="1" applyNumberFormat="1">
      <alignment horizontal="center" shrinkToFit="1" wrapText="0"/>
    </xf>
    <xf borderId="12" fillId="0" fontId="35" numFmtId="0" xfId="0" applyAlignment="1" applyBorder="1" applyFont="1">
      <alignment horizontal="center" shrinkToFit="1" vertical="center" wrapText="0"/>
    </xf>
    <xf borderId="58" fillId="0" fontId="31" numFmtId="0" xfId="0" applyAlignment="1" applyBorder="1" applyFont="1">
      <alignment horizontal="center" shrinkToFit="1" wrapText="0"/>
    </xf>
    <xf borderId="59" fillId="0" fontId="31" numFmtId="14" xfId="0" applyAlignment="1" applyBorder="1" applyFont="1" applyNumberFormat="1">
      <alignment shrinkToFit="1" wrapText="0"/>
    </xf>
    <xf borderId="60" fillId="0" fontId="31" numFmtId="0" xfId="0" applyAlignment="1" applyBorder="1" applyFont="1">
      <alignment shrinkToFit="1" wrapText="0"/>
    </xf>
    <xf borderId="60" fillId="0" fontId="36" numFmtId="10" xfId="0" applyAlignment="1" applyBorder="1" applyFont="1" applyNumberFormat="1">
      <alignment horizontal="center" shrinkToFit="1" wrapText="0"/>
    </xf>
    <xf borderId="61" fillId="4" fontId="36" numFmtId="10" xfId="0" applyAlignment="1" applyBorder="1" applyFont="1" applyNumberFormat="1">
      <alignment horizontal="center" shrinkToFit="1" wrapText="0"/>
    </xf>
    <xf borderId="41" fillId="0" fontId="31" numFmtId="14" xfId="0" applyAlignment="1" applyBorder="1" applyFont="1" applyNumberFormat="1">
      <alignment shrinkToFit="1" wrapText="0"/>
    </xf>
    <xf borderId="5" fillId="0" fontId="32" numFmtId="0" xfId="0" applyAlignment="1" applyBorder="1" applyFont="1">
      <alignment shrinkToFit="1" wrapText="0"/>
    </xf>
    <xf borderId="5" fillId="0" fontId="31" numFmtId="10" xfId="0" applyAlignment="1" applyBorder="1" applyFont="1" applyNumberFormat="1">
      <alignment horizontal="center" shrinkToFit="1" wrapText="0"/>
    </xf>
    <xf borderId="0" fillId="0" fontId="31" numFmtId="10" xfId="0" applyAlignment="1" applyFont="1" applyNumberFormat="1">
      <alignment horizontal="center" shrinkToFit="1" wrapText="0"/>
    </xf>
    <xf borderId="19" fillId="0" fontId="32" numFmtId="14" xfId="0" applyAlignment="1" applyBorder="1" applyFont="1" applyNumberFormat="1">
      <alignment shrinkToFit="1" wrapText="0"/>
    </xf>
    <xf borderId="20" fillId="0" fontId="32" numFmtId="0" xfId="0" applyAlignment="1" applyBorder="1" applyFont="1">
      <alignment shrinkToFit="1" wrapText="0"/>
    </xf>
    <xf borderId="39" fillId="0" fontId="35" numFmtId="0" xfId="0" applyAlignment="1" applyBorder="1" applyFont="1">
      <alignment horizontal="center" shrinkToFit="1" vertical="center" wrapText="0"/>
    </xf>
    <xf borderId="41" fillId="0" fontId="32" numFmtId="14" xfId="0" applyAlignment="1" applyBorder="1" applyFont="1" applyNumberFormat="1">
      <alignment shrinkToFit="1" wrapText="0"/>
    </xf>
    <xf borderId="0" fillId="0" fontId="32" numFmtId="175" xfId="0" applyAlignment="1" applyFont="1" applyNumberFormat="1">
      <alignment horizontal="center" shrinkToFit="1" wrapText="0"/>
    </xf>
    <xf borderId="8" fillId="0" fontId="35" numFmtId="0" xfId="0" applyAlignment="1" applyBorder="1" applyFont="1">
      <alignment horizontal="center" shrinkToFit="1" wrapText="0"/>
    </xf>
    <xf borderId="0" fillId="0" fontId="32" numFmtId="10" xfId="0" applyAlignment="1" applyFont="1" applyNumberFormat="1">
      <alignment horizontal="center" shrinkToFit="1" wrapText="0"/>
    </xf>
    <xf borderId="23" fillId="0" fontId="31" numFmtId="0" xfId="0" applyAlignment="1" applyBorder="1" applyFont="1">
      <alignment horizontal="center" shrinkToFit="1" wrapText="0"/>
    </xf>
    <xf borderId="0" fillId="0" fontId="32" numFmtId="2" xfId="0" applyAlignment="1" applyFont="1" applyNumberFormat="1">
      <alignment horizontal="center" shrinkToFit="1" wrapText="0"/>
    </xf>
    <xf borderId="0" fillId="0" fontId="32" numFmtId="4" xfId="0" applyAlignment="1" applyFont="1" applyNumberFormat="1">
      <alignment horizontal="center" shrinkToFit="1" wrapText="0"/>
    </xf>
    <xf borderId="24" fillId="0" fontId="32" numFmtId="14" xfId="0" applyAlignment="1" applyBorder="1" applyFont="1" applyNumberFormat="1">
      <alignment shrinkToFit="1" wrapText="0"/>
    </xf>
    <xf borderId="25" fillId="0" fontId="32" numFmtId="0" xfId="0" applyAlignment="1" applyBorder="1" applyFont="1">
      <alignment shrinkToFit="1" wrapText="0"/>
    </xf>
    <xf borderId="28" fillId="0" fontId="31" numFmtId="0" xfId="0" applyAlignment="1" applyBorder="1" applyFont="1">
      <alignment horizontal="center" shrinkToFit="1" wrapText="0"/>
    </xf>
    <xf borderId="0" fillId="0" fontId="34" numFmtId="1" xfId="0" applyAlignment="1" applyFont="1" applyNumberFormat="1">
      <alignment shrinkToFit="1" wrapText="0"/>
    </xf>
    <xf borderId="0" fillId="0" fontId="34" numFmtId="0" xfId="0" applyAlignment="1" applyFont="1">
      <alignment shrinkToFit="1" wrapText="0"/>
    </xf>
    <xf borderId="0" fillId="0" fontId="33" numFmtId="1" xfId="0" applyAlignment="1" applyFont="1" applyNumberFormat="1">
      <alignment shrinkToFit="1" wrapText="0"/>
    </xf>
    <xf borderId="0" fillId="0" fontId="37" numFmtId="0" xfId="0" applyAlignment="1" applyFont="1">
      <alignment shrinkToFit="1" wrapText="0"/>
    </xf>
    <xf borderId="0" fillId="0" fontId="35" numFmtId="0" xfId="0" applyAlignment="1" applyFont="1">
      <alignment shrinkToFit="1" wrapText="0"/>
    </xf>
    <xf borderId="0" fillId="0" fontId="37" numFmtId="0" xfId="0" applyAlignment="1" applyFont="1">
      <alignment horizontal="center" shrinkToFit="1" vertical="center" wrapText="0"/>
    </xf>
    <xf borderId="0" fillId="0" fontId="31" numFmtId="16" xfId="0" applyAlignment="1" applyFont="1" applyNumberFormat="1">
      <alignment shrinkToFit="1" wrapText="0"/>
    </xf>
    <xf borderId="0" fillId="0" fontId="37" numFmtId="10" xfId="0" applyAlignment="1" applyFont="1" applyNumberFormat="1">
      <alignment horizontal="center" shrinkToFit="1" wrapText="0"/>
    </xf>
    <xf borderId="33" fillId="0" fontId="37" numFmtId="0" xfId="0" applyAlignment="1" applyBorder="1" applyFont="1">
      <alignment horizontal="center" shrinkToFit="1" vertical="center" wrapText="0"/>
    </xf>
    <xf borderId="2" fillId="0" fontId="37" numFmtId="0" xfId="0" applyAlignment="1" applyBorder="1" applyFont="1">
      <alignment horizontal="center" shrinkToFit="1" vertical="center" wrapText="0"/>
    </xf>
    <xf borderId="3" fillId="0" fontId="37" numFmtId="0" xfId="0" applyAlignment="1" applyBorder="1" applyFont="1">
      <alignment horizontal="center" shrinkToFit="1" vertical="center" wrapText="0"/>
    </xf>
    <xf borderId="6" fillId="0" fontId="37" numFmtId="0" xfId="0" applyAlignment="1" applyBorder="1" applyFont="1">
      <alignment horizontal="center" shrinkToFit="1" vertical="center" wrapText="0"/>
    </xf>
    <xf borderId="62" fillId="0" fontId="37" numFmtId="0" xfId="0" applyAlignment="1" applyBorder="1" applyFont="1">
      <alignment horizontal="center" shrinkToFit="1" vertical="center" wrapText="0"/>
    </xf>
    <xf borderId="43" fillId="0" fontId="37" numFmtId="0" xfId="0" applyAlignment="1" applyBorder="1" applyFont="1">
      <alignment horizontal="center" shrinkToFit="1" vertical="center" wrapText="0"/>
    </xf>
    <xf borderId="57" fillId="0" fontId="37" numFmtId="176" xfId="0" applyAlignment="1" applyBorder="1" applyFont="1" applyNumberFormat="1">
      <alignment horizontal="center" shrinkToFit="1" wrapText="0"/>
    </xf>
    <xf borderId="7" fillId="0" fontId="37" numFmtId="4" xfId="0" applyAlignment="1" applyBorder="1" applyFont="1" applyNumberFormat="1">
      <alignment horizontal="center" shrinkToFit="1" wrapText="0"/>
    </xf>
    <xf borderId="63" fillId="0" fontId="32" numFmtId="0" xfId="0" applyAlignment="1" applyBorder="1" applyFont="1">
      <alignment horizontal="center" shrinkToFit="1" wrapText="0"/>
    </xf>
    <xf borderId="15" fillId="0" fontId="37" numFmtId="10" xfId="0" applyAlignment="1" applyBorder="1" applyFont="1" applyNumberFormat="1">
      <alignment horizontal="center" shrinkToFit="1" vertical="center" wrapText="0"/>
    </xf>
    <xf borderId="64" fillId="0" fontId="35" numFmtId="2" xfId="0" applyAlignment="1" applyBorder="1" applyFont="1" applyNumberFormat="1">
      <alignment shrinkToFit="1" wrapText="0"/>
    </xf>
    <xf borderId="63" fillId="0" fontId="32" numFmtId="175" xfId="0" applyAlignment="1" applyBorder="1" applyFont="1" applyNumberFormat="1">
      <alignment horizontal="center" shrinkToFit="1" wrapText="0"/>
    </xf>
    <xf borderId="0" fillId="0" fontId="38" numFmtId="0" xfId="0" applyAlignment="1" applyFont="1">
      <alignment shrinkToFit="1" wrapText="0"/>
    </xf>
    <xf borderId="35" fillId="0" fontId="37" numFmtId="0" xfId="0" applyAlignment="1" applyBorder="1" applyFont="1">
      <alignment shrinkToFit="1" wrapText="0"/>
    </xf>
    <xf borderId="8" fillId="0" fontId="39" numFmtId="175" xfId="0" applyAlignment="1" applyBorder="1" applyFont="1" applyNumberFormat="1">
      <alignment horizontal="center" shrinkToFit="1" wrapText="0"/>
    </xf>
    <xf borderId="63" fillId="0" fontId="37" numFmtId="0" xfId="0" applyAlignment="1" applyBorder="1" applyFont="1">
      <alignment horizontal="center" shrinkToFit="1" wrapText="0"/>
    </xf>
    <xf borderId="62" fillId="4" fontId="40" numFmtId="10" xfId="0" applyAlignment="1" applyBorder="1" applyFont="1" applyNumberFormat="1">
      <alignment horizontal="center" shrinkToFit="1" vertical="center" wrapText="0"/>
    </xf>
    <xf borderId="43" fillId="0" fontId="35" numFmtId="0" xfId="0" applyAlignment="1" applyBorder="1" applyFont="1">
      <alignment shrinkToFit="1" wrapText="0"/>
    </xf>
    <xf borderId="59" fillId="0" fontId="37" numFmtId="0" xfId="0" applyAlignment="1" applyBorder="1" applyFont="1">
      <alignment shrinkToFit="1" wrapText="0"/>
    </xf>
    <xf borderId="60" fillId="0" fontId="37" numFmtId="0" xfId="0" applyAlignment="1" applyBorder="1" applyFont="1">
      <alignment shrinkToFit="1" wrapText="0"/>
    </xf>
    <xf borderId="60" fillId="0" fontId="37" numFmtId="10" xfId="0" applyAlignment="1" applyBorder="1" applyFont="1" applyNumberFormat="1">
      <alignment horizontal="center" shrinkToFit="1" wrapText="0"/>
    </xf>
    <xf borderId="61" fillId="4" fontId="40" numFmtId="10" xfId="0" applyAlignment="1" applyBorder="1" applyFont="1" applyNumberFormat="1">
      <alignment horizontal="center" shrinkToFit="1" wrapText="0"/>
    </xf>
    <xf borderId="63" fillId="0" fontId="37" numFmtId="9" xfId="0" applyAlignment="1" applyBorder="1" applyFont="1" applyNumberFormat="1">
      <alignment horizontal="center" shrinkToFit="1" wrapText="0"/>
    </xf>
    <xf borderId="1" fillId="0" fontId="37" numFmtId="10" xfId="0" applyAlignment="1" applyBorder="1" applyFont="1" applyNumberFormat="1">
      <alignment horizontal="center" shrinkToFit="1" vertical="center" wrapText="0"/>
    </xf>
    <xf borderId="44" fillId="0" fontId="35" numFmtId="0" xfId="0" applyAlignment="1" applyBorder="1" applyFont="1">
      <alignment shrinkToFit="1" wrapText="0"/>
    </xf>
    <xf borderId="1" fillId="0" fontId="37" numFmtId="0" xfId="0" applyAlignment="1" applyBorder="1" applyFont="1">
      <alignment shrinkToFit="1" wrapText="0"/>
    </xf>
    <xf borderId="5" fillId="0" fontId="37" numFmtId="0" xfId="0" applyAlignment="1" applyBorder="1" applyFont="1">
      <alignment shrinkToFit="1" wrapText="0"/>
    </xf>
    <xf borderId="5" fillId="0" fontId="37" numFmtId="10" xfId="0" applyAlignment="1" applyBorder="1" applyFont="1" applyNumberFormat="1">
      <alignment horizontal="center" shrinkToFit="1" wrapText="0"/>
    </xf>
    <xf borderId="2" fillId="0" fontId="37" numFmtId="10" xfId="0" applyAlignment="1" applyBorder="1" applyFont="1" applyNumberFormat="1">
      <alignment horizontal="center" shrinkToFit="1" wrapText="0"/>
    </xf>
    <xf borderId="6" fillId="0" fontId="35" numFmtId="0" xfId="0" applyAlignment="1" applyBorder="1" applyFont="1">
      <alignment shrinkToFit="1" wrapText="0"/>
    </xf>
    <xf borderId="41" fillId="0" fontId="35" numFmtId="0" xfId="0" applyAlignment="1" applyBorder="1" applyFont="1">
      <alignment shrinkToFit="1" wrapText="0"/>
    </xf>
    <xf borderId="0" fillId="0" fontId="35" numFmtId="175" xfId="0" applyAlignment="1" applyFont="1" applyNumberFormat="1">
      <alignment horizontal="center" shrinkToFit="1" wrapText="0"/>
    </xf>
    <xf borderId="23" fillId="0" fontId="35" numFmtId="0" xfId="0" applyAlignment="1" applyBorder="1" applyFont="1">
      <alignment shrinkToFit="1" wrapText="0"/>
    </xf>
    <xf borderId="0" fillId="0" fontId="35" numFmtId="10" xfId="0" applyAlignment="1" applyFont="1" applyNumberFormat="1">
      <alignment horizontal="center" shrinkToFit="1" wrapText="0"/>
    </xf>
    <xf borderId="0" fillId="0" fontId="35" numFmtId="2" xfId="0" applyAlignment="1" applyFont="1" applyNumberFormat="1">
      <alignment horizontal="center" shrinkToFit="1" wrapText="0"/>
    </xf>
    <xf borderId="0" fillId="0" fontId="35" numFmtId="4" xfId="0" applyAlignment="1" applyFont="1" applyNumberFormat="1">
      <alignment horizontal="center" shrinkToFit="1" wrapText="0"/>
    </xf>
    <xf borderId="24" fillId="0" fontId="35" numFmtId="0" xfId="0" applyAlignment="1" applyBorder="1" applyFont="1">
      <alignment shrinkToFit="1" wrapText="0"/>
    </xf>
    <xf borderId="25" fillId="0" fontId="35" numFmtId="0" xfId="0" applyAlignment="1" applyBorder="1" applyFont="1">
      <alignment shrinkToFit="1" wrapText="0"/>
    </xf>
    <xf borderId="28" fillId="0" fontId="35" numFmtId="0" xfId="0" applyAlignment="1" applyBorder="1" applyFont="1">
      <alignment shrinkToFit="1" wrapText="0"/>
    </xf>
    <xf borderId="0" fillId="0" fontId="35" numFmtId="175" xfId="0" applyAlignment="1" applyFont="1" applyNumberFormat="1">
      <alignment shrinkToFit="1" wrapText="0"/>
    </xf>
    <xf borderId="0" fillId="0" fontId="37" numFmtId="16" xfId="0" applyAlignment="1" applyFont="1" applyNumberFormat="1">
      <alignment shrinkToFit="1" wrapText="0"/>
    </xf>
    <xf borderId="4" fillId="0" fontId="37" numFmtId="0" xfId="0" applyAlignment="1" applyBorder="1" applyFont="1">
      <alignment horizontal="center" shrinkToFit="1" vertical="center" wrapText="0"/>
    </xf>
    <xf borderId="65" fillId="0" fontId="37" numFmtId="0" xfId="0" applyAlignment="1" applyBorder="1" applyFont="1">
      <alignment horizontal="center" shrinkToFit="1" vertical="center" wrapText="0"/>
    </xf>
    <xf borderId="57" fillId="0" fontId="37" numFmtId="176" xfId="0" applyAlignment="1" applyBorder="1" applyFont="1" applyNumberFormat="1">
      <alignment horizontal="left" shrinkToFit="1" wrapText="0"/>
    </xf>
    <xf borderId="36" fillId="0" fontId="32" numFmtId="0" xfId="0" applyAlignment="1" applyBorder="1" applyFont="1">
      <alignment horizontal="center" shrinkToFit="1" wrapText="0"/>
    </xf>
    <xf borderId="12" fillId="0" fontId="37" numFmtId="10" xfId="0" applyAlignment="1" applyBorder="1" applyFont="1" applyNumberFormat="1">
      <alignment horizontal="center" shrinkToFit="1" vertical="center" wrapText="0"/>
    </xf>
    <xf borderId="36" fillId="0" fontId="32" numFmtId="175" xfId="0" applyAlignment="1" applyBorder="1" applyFont="1" applyNumberFormat="1">
      <alignment horizontal="center" shrinkToFit="1" wrapText="0"/>
    </xf>
    <xf borderId="66" fillId="6" fontId="35" numFmtId="2" xfId="0" applyAlignment="1" applyBorder="1" applyFont="1" applyNumberFormat="1">
      <alignment shrinkToFit="1" wrapText="0"/>
    </xf>
    <xf borderId="30" fillId="6" fontId="35" numFmtId="0" xfId="0" applyAlignment="1" applyBorder="1" applyFont="1">
      <alignment shrinkToFit="1" wrapText="0"/>
    </xf>
    <xf borderId="8" fillId="0" fontId="39" numFmtId="4" xfId="0" applyAlignment="1" applyBorder="1" applyFont="1" applyNumberFormat="1">
      <alignment horizontal="center" shrinkToFit="1" wrapText="0"/>
    </xf>
    <xf borderId="36" fillId="0" fontId="37" numFmtId="0" xfId="0" applyAlignment="1" applyBorder="1" applyFont="1">
      <alignment horizontal="center" shrinkToFit="1" wrapText="0"/>
    </xf>
    <xf borderId="67" fillId="4" fontId="40" numFmtId="10" xfId="0" applyAlignment="1" applyBorder="1" applyFont="1" applyNumberFormat="1">
      <alignment horizontal="center" shrinkToFit="1" wrapText="0"/>
    </xf>
    <xf borderId="40" fillId="0" fontId="37" numFmtId="0" xfId="0" applyAlignment="1" applyBorder="1" applyFont="1">
      <alignment shrinkToFit="1" wrapText="0"/>
    </xf>
    <xf borderId="39" fillId="0" fontId="37" numFmtId="0" xfId="0" applyAlignment="1" applyBorder="1" applyFont="1">
      <alignment shrinkToFit="1" wrapText="0"/>
    </xf>
    <xf borderId="39" fillId="0" fontId="37" numFmtId="10" xfId="0" applyAlignment="1" applyBorder="1" applyFont="1" applyNumberFormat="1">
      <alignment horizontal="center" shrinkToFit="1" wrapText="0"/>
    </xf>
    <xf borderId="39" fillId="4" fontId="40" numFmtId="10" xfId="0" applyAlignment="1" applyBorder="1" applyFont="1" applyNumberFormat="1">
      <alignment horizontal="center" shrinkToFit="1" wrapText="0"/>
    </xf>
    <xf borderId="36" fillId="0" fontId="37" numFmtId="9" xfId="0" applyAlignment="1" applyBorder="1" applyFont="1" applyNumberFormat="1">
      <alignment horizontal="center" shrinkToFit="1" wrapText="0"/>
    </xf>
    <xf borderId="36" fillId="0" fontId="37" numFmtId="0" xfId="0" applyAlignment="1" applyBorder="1" applyFont="1">
      <alignment shrinkToFit="1" wrapText="0"/>
    </xf>
    <xf borderId="45" fillId="0" fontId="37" numFmtId="0" xfId="0" applyAlignment="1" applyBorder="1" applyFont="1">
      <alignment shrinkToFit="1" wrapText="0"/>
    </xf>
    <xf borderId="45" fillId="0" fontId="37" numFmtId="10" xfId="0" applyAlignment="1" applyBorder="1" applyFont="1" applyNumberFormat="1">
      <alignment horizontal="center" shrinkToFit="1" wrapText="0"/>
    </xf>
    <xf borderId="47" fillId="0" fontId="37" numFmtId="10" xfId="0" applyAlignment="1" applyBorder="1" applyFont="1" applyNumberFormat="1">
      <alignment horizontal="center" shrinkToFit="1" wrapText="0"/>
    </xf>
    <xf borderId="7" fillId="0" fontId="35" numFmtId="0" xfId="0" applyAlignment="1" applyBorder="1" applyFont="1">
      <alignment shrinkToFit="1" wrapText="0"/>
    </xf>
    <xf borderId="2" fillId="0" fontId="31" numFmtId="0" xfId="0" applyAlignment="1" applyBorder="1" applyFont="1">
      <alignment horizontal="center" shrinkToFit="1" vertical="center" wrapText="0"/>
    </xf>
    <xf borderId="62" fillId="0" fontId="31" numFmtId="0" xfId="0" applyAlignment="1" applyBorder="1" applyFont="1">
      <alignment horizontal="center" shrinkToFit="1" vertical="center" wrapText="0"/>
    </xf>
    <xf borderId="68" fillId="0" fontId="31" numFmtId="0" xfId="0" applyAlignment="1" applyBorder="1" applyFont="1">
      <alignment horizontal="center" shrinkToFit="1" vertical="center" wrapText="0"/>
    </xf>
    <xf borderId="57" fillId="0" fontId="31" numFmtId="176" xfId="0" applyAlignment="1" applyBorder="1" applyFont="1" applyNumberFormat="1">
      <alignment horizontal="left" shrinkToFit="1" wrapText="0"/>
    </xf>
    <xf borderId="7" fillId="0" fontId="31" numFmtId="4" xfId="0" applyAlignment="1" applyBorder="1" applyFont="1" applyNumberFormat="1">
      <alignment horizontal="center" shrinkToFit="1" wrapText="0"/>
    </xf>
    <xf borderId="63" fillId="0" fontId="41" numFmtId="0" xfId="0" applyAlignment="1" applyBorder="1" applyFont="1">
      <alignment horizontal="center" shrinkToFit="1" wrapText="0"/>
    </xf>
    <xf borderId="69" fillId="3" fontId="31" numFmtId="10" xfId="0" applyAlignment="1" applyBorder="1" applyFont="1" applyNumberFormat="1">
      <alignment horizontal="center" shrinkToFit="1" vertical="center" wrapText="0"/>
    </xf>
    <xf borderId="64" fillId="0" fontId="32" numFmtId="2" xfId="0" applyAlignment="1" applyBorder="1" applyFont="1" applyNumberFormat="1">
      <alignment shrinkToFit="1" wrapText="0"/>
    </xf>
    <xf borderId="0" fillId="0" fontId="32" numFmtId="175" xfId="0" applyAlignment="1" applyFont="1" applyNumberFormat="1">
      <alignment shrinkToFit="1" wrapText="0"/>
    </xf>
    <xf borderId="63" fillId="0" fontId="41" numFmtId="175" xfId="0" applyAlignment="1" applyBorder="1" applyFont="1" applyNumberFormat="1">
      <alignment horizontal="center" shrinkToFit="1" wrapText="0"/>
    </xf>
    <xf borderId="66" fillId="6" fontId="32" numFmtId="2" xfId="0" applyAlignment="1" applyBorder="1" applyFont="1" applyNumberFormat="1">
      <alignment shrinkToFit="1" wrapText="0"/>
    </xf>
    <xf borderId="30" fillId="6" fontId="32" numFmtId="175" xfId="0" applyAlignment="1" applyBorder="1" applyFont="1" applyNumberFormat="1">
      <alignment shrinkToFit="1" wrapText="0"/>
    </xf>
    <xf borderId="30" fillId="6" fontId="32" numFmtId="0" xfId="0" applyAlignment="1" applyBorder="1" applyFont="1">
      <alignment shrinkToFit="1" wrapText="0"/>
    </xf>
    <xf borderId="57" fillId="0" fontId="31" numFmtId="0" xfId="0" applyAlignment="1" applyBorder="1" applyFont="1">
      <alignment shrinkToFit="1" wrapText="0"/>
    </xf>
    <xf borderId="7" fillId="0" fontId="36" numFmtId="4" xfId="0" applyAlignment="1" applyBorder="1" applyFont="1" applyNumberFormat="1">
      <alignment horizontal="center" shrinkToFit="1" wrapText="0"/>
    </xf>
    <xf borderId="63" fillId="0" fontId="31" numFmtId="0" xfId="0" applyAlignment="1" applyBorder="1" applyFont="1">
      <alignment horizontal="center" shrinkToFit="1" wrapText="0"/>
    </xf>
    <xf borderId="62" fillId="4" fontId="34" numFmtId="10" xfId="0" applyAlignment="1" applyBorder="1" applyFont="1" applyNumberFormat="1">
      <alignment horizontal="center" shrinkToFit="1" wrapText="0"/>
    </xf>
    <xf borderId="43" fillId="0" fontId="32" numFmtId="0" xfId="0" applyAlignment="1" applyBorder="1" applyFont="1">
      <alignment shrinkToFit="1" wrapText="0"/>
    </xf>
    <xf borderId="59" fillId="0" fontId="31" numFmtId="0" xfId="0" applyAlignment="1" applyBorder="1" applyFont="1">
      <alignment shrinkToFit="1" wrapText="0"/>
    </xf>
    <xf borderId="60" fillId="0" fontId="31" numFmtId="10" xfId="0" applyAlignment="1" applyBorder="1" applyFont="1" applyNumberFormat="1">
      <alignment horizontal="center" shrinkToFit="1" wrapText="0"/>
    </xf>
    <xf borderId="61" fillId="4" fontId="34" numFmtId="10" xfId="0" applyAlignment="1" applyBorder="1" applyFont="1" applyNumberFormat="1">
      <alignment horizontal="center" shrinkToFit="1" wrapText="0"/>
    </xf>
    <xf borderId="63" fillId="0" fontId="31" numFmtId="9" xfId="0" applyAlignment="1" applyBorder="1" applyFont="1" applyNumberFormat="1">
      <alignment horizontal="center" shrinkToFit="1" wrapText="0"/>
    </xf>
    <xf borderId="44" fillId="0" fontId="32" numFmtId="0" xfId="0" applyAlignment="1" applyBorder="1" applyFont="1">
      <alignment shrinkToFit="1" wrapText="0"/>
    </xf>
    <xf borderId="36" fillId="0" fontId="31" numFmtId="0" xfId="0" applyAlignment="1" applyBorder="1" applyFont="1">
      <alignment shrinkToFit="1" wrapText="0"/>
    </xf>
    <xf borderId="45" fillId="0" fontId="31" numFmtId="0" xfId="0" applyAlignment="1" applyBorder="1" applyFont="1">
      <alignment shrinkToFit="1" wrapText="0"/>
    </xf>
    <xf borderId="45" fillId="0" fontId="31" numFmtId="10" xfId="0" applyAlignment="1" applyBorder="1" applyFont="1" applyNumberFormat="1">
      <alignment horizontal="center" shrinkToFit="1" wrapText="0"/>
    </xf>
    <xf borderId="47" fillId="0" fontId="36" numFmtId="10" xfId="0" applyAlignment="1" applyBorder="1" applyFont="1" applyNumberFormat="1">
      <alignment horizontal="center" shrinkToFit="1" wrapText="0"/>
    </xf>
    <xf borderId="63" fillId="0" fontId="32" numFmtId="0" xfId="0" applyAlignment="1" applyBorder="1" applyFont="1">
      <alignment shrinkToFit="1" wrapText="0"/>
    </xf>
    <xf borderId="41" fillId="0" fontId="32" numFmtId="0" xfId="0" applyAlignment="1" applyBorder="1" applyFont="1">
      <alignment shrinkToFit="1" wrapText="0"/>
    </xf>
    <xf borderId="23" fillId="0" fontId="32" numFmtId="0" xfId="0" applyAlignment="1" applyBorder="1" applyFont="1">
      <alignment shrinkToFit="1" wrapText="0"/>
    </xf>
    <xf borderId="24" fillId="0" fontId="32" numFmtId="0" xfId="0" applyAlignment="1" applyBorder="1" applyFont="1">
      <alignment shrinkToFit="1" wrapText="0"/>
    </xf>
    <xf borderId="28" fillId="0" fontId="32" numFmtId="0" xfId="0" applyAlignment="1" applyBorder="1" applyFont="1">
      <alignment shrinkToFit="1" wrapText="0"/>
    </xf>
    <xf borderId="6" fillId="0" fontId="31" numFmtId="0" xfId="0" applyAlignment="1" applyBorder="1" applyFont="1">
      <alignment horizontal="center" shrinkToFit="1" vertical="center" wrapText="0"/>
    </xf>
    <xf borderId="43" fillId="0" fontId="31" numFmtId="0" xfId="0" applyAlignment="1" applyBorder="1" applyFont="1">
      <alignment horizontal="center" shrinkToFit="1" vertical="center" wrapText="0"/>
    </xf>
    <xf borderId="7" fillId="0" fontId="41" numFmtId="0" xfId="0" applyAlignment="1" applyBorder="1" applyFont="1">
      <alignment horizontal="center" shrinkToFit="1" wrapText="0"/>
    </xf>
    <xf borderId="70" fillId="3" fontId="31" numFmtId="10" xfId="0" applyAlignment="1" applyBorder="1" applyFont="1" applyNumberFormat="1">
      <alignment horizontal="center" shrinkToFit="1" vertical="center" wrapText="0"/>
    </xf>
    <xf borderId="7" fillId="0" fontId="41" numFmtId="175" xfId="0" applyAlignment="1" applyBorder="1" applyFont="1" applyNumberFormat="1">
      <alignment horizontal="center" shrinkToFit="1" wrapText="0"/>
    </xf>
    <xf borderId="30" fillId="10" fontId="32" numFmtId="0" xfId="0" applyAlignment="1" applyBorder="1" applyFill="1" applyFont="1">
      <alignment shrinkToFit="1" wrapText="0"/>
    </xf>
    <xf borderId="35" fillId="0" fontId="31" numFmtId="0" xfId="0" applyAlignment="1" applyBorder="1" applyFont="1">
      <alignment shrinkToFit="1" wrapText="0"/>
    </xf>
    <xf borderId="8" fillId="0" fontId="36" numFmtId="175" xfId="0" applyAlignment="1" applyBorder="1" applyFont="1" applyNumberFormat="1">
      <alignment horizontal="center" shrinkToFit="1" wrapText="0"/>
    </xf>
    <xf borderId="7" fillId="0" fontId="31" numFmtId="9" xfId="0" applyAlignment="1" applyBorder="1" applyFont="1" applyNumberFormat="1">
      <alignment horizontal="center" shrinkToFit="1" wrapText="0"/>
    </xf>
    <xf borderId="67" fillId="4" fontId="34" numFmtId="10" xfId="0" applyAlignment="1" applyBorder="1" applyFont="1" applyNumberFormat="1">
      <alignment horizontal="center" shrinkToFit="1" wrapText="0"/>
    </xf>
    <xf borderId="40" fillId="0" fontId="31" numFmtId="0" xfId="0" applyAlignment="1" applyBorder="1" applyFont="1">
      <alignment shrinkToFit="1" wrapText="0"/>
    </xf>
    <xf borderId="39" fillId="0" fontId="31" numFmtId="0" xfId="0" applyAlignment="1" applyBorder="1" applyFont="1">
      <alignment shrinkToFit="1" wrapText="0"/>
    </xf>
    <xf borderId="39" fillId="0" fontId="31" numFmtId="10" xfId="0" applyAlignment="1" applyBorder="1" applyFont="1" applyNumberFormat="1">
      <alignment horizontal="center" shrinkToFit="1" wrapText="0"/>
    </xf>
    <xf borderId="39" fillId="4" fontId="34" numFmtId="10" xfId="0" applyAlignment="1" applyBorder="1" applyFont="1" applyNumberFormat="1">
      <alignment horizontal="center" shrinkToFit="1" wrapText="0"/>
    </xf>
    <xf borderId="47" fillId="0" fontId="31" numFmtId="10" xfId="0" applyAlignment="1" applyBorder="1" applyFont="1" applyNumberFormat="1">
      <alignment horizontal="center" shrinkToFit="1" wrapText="0"/>
    </xf>
    <xf borderId="0" fillId="0" fontId="42" numFmtId="0" xfId="0" applyAlignment="1" applyFont="1">
      <alignment shrinkToFit="1" wrapText="0"/>
    </xf>
    <xf borderId="0" fillId="0" fontId="42" numFmtId="0" xfId="0" applyAlignment="1" applyFont="1">
      <alignment horizontal="center" shrinkToFit="1" vertical="center" wrapText="0"/>
    </xf>
    <xf borderId="0" fillId="0" fontId="42" numFmtId="10" xfId="0" applyAlignment="1" applyFont="1" applyNumberFormat="1">
      <alignment horizontal="center" shrinkToFit="1" wrapText="0"/>
    </xf>
    <xf borderId="62" fillId="6" fontId="32" numFmtId="0" xfId="0" applyAlignment="1" applyBorder="1" applyFont="1">
      <alignment shrinkToFit="1" vertical="center" wrapText="0"/>
    </xf>
    <xf borderId="62" fillId="6" fontId="32" numFmtId="1" xfId="0" applyAlignment="1" applyBorder="1" applyFont="1" applyNumberFormat="1">
      <alignment shrinkToFit="1" vertical="center" wrapText="0"/>
    </xf>
    <xf borderId="62" fillId="6" fontId="32" numFmtId="0" xfId="0" applyAlignment="1" applyBorder="1" applyFont="1">
      <alignment shrinkToFit="1" wrapText="0"/>
    </xf>
    <xf borderId="30" fillId="6" fontId="43" numFmtId="0" xfId="0" applyAlignment="1" applyBorder="1" applyFont="1">
      <alignment shrinkToFit="1" wrapText="0"/>
    </xf>
    <xf borderId="0" fillId="0" fontId="43" numFmtId="0" xfId="0" applyAlignment="1" applyFont="1">
      <alignment shrinkToFit="1" wrapText="0"/>
    </xf>
    <xf borderId="62" fillId="6" fontId="32" numFmtId="0" xfId="0" applyAlignment="1" applyBorder="1" applyFont="1">
      <alignment horizontal="left" shrinkToFit="1" vertical="center" wrapText="0"/>
    </xf>
    <xf borderId="62" fillId="6" fontId="32" numFmtId="1" xfId="0" applyAlignment="1" applyBorder="1" applyFont="1" applyNumberFormat="1">
      <alignment horizontal="right" shrinkToFit="1" vertical="center" wrapText="0"/>
    </xf>
    <xf borderId="0" fillId="0" fontId="44" numFmtId="0" xfId="0" applyAlignment="1" applyFont="1">
      <alignment shrinkToFit="1" wrapText="0"/>
    </xf>
    <xf borderId="30" fillId="6" fontId="43" numFmtId="177" xfId="0" applyAlignment="1" applyBorder="1" applyFont="1" applyNumberFormat="1">
      <alignment shrinkToFit="1" wrapText="0"/>
    </xf>
    <xf borderId="30" fillId="6" fontId="20" numFmtId="0" xfId="0" applyAlignment="1" applyBorder="1" applyFont="1">
      <alignment shrinkToFit="1" vertical="center" wrapText="0"/>
    </xf>
    <xf borderId="0" fillId="0" fontId="45" numFmtId="0" xfId="0" applyAlignment="1" applyFont="1">
      <alignment horizontal="center" shrinkToFit="1" wrapText="0"/>
    </xf>
    <xf borderId="0" fillId="0" fontId="46" numFmtId="0" xfId="0" applyAlignment="1" applyFont="1">
      <alignment horizontal="center" shrinkToFit="1" vertical="center" wrapText="0"/>
    </xf>
    <xf borderId="0" fillId="0" fontId="46" numFmtId="0" xfId="0" applyAlignment="1" applyFont="1">
      <alignment shrinkToFit="1" wrapText="0"/>
    </xf>
    <xf borderId="0" fillId="0" fontId="45" numFmtId="0" xfId="0" applyAlignment="1" applyFont="1">
      <alignment shrinkToFit="1" wrapText="0"/>
    </xf>
    <xf borderId="0" fillId="0" fontId="46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shrinkToFit="1" wrapText="0"/>
    </xf>
    <xf borderId="0" fillId="0" fontId="45" numFmtId="167" xfId="0" applyAlignment="1" applyFont="1" applyNumberFormat="1">
      <alignment shrinkToFit="1" wrapText="0"/>
    </xf>
    <xf borderId="0" fillId="0" fontId="46" numFmtId="16" xfId="0" applyAlignment="1" applyFont="1" applyNumberFormat="1">
      <alignment horizontal="center" shrinkToFit="1" vertical="center" wrapText="0"/>
    </xf>
    <xf borderId="0" fillId="0" fontId="46" numFmtId="166" xfId="0" applyAlignment="1" applyFont="1" applyNumberFormat="1">
      <alignment horizontal="center" shrinkToFit="1" vertical="center" wrapText="0"/>
    </xf>
    <xf borderId="0" fillId="0" fontId="19" numFmtId="168" xfId="0" applyAlignment="1" applyFont="1" applyNumberFormat="1">
      <alignment shrinkToFit="1" wrapText="0"/>
    </xf>
    <xf borderId="0" fillId="0" fontId="45" numFmtId="0" xfId="0" applyAlignment="1" applyFont="1">
      <alignment horizontal="left" shrinkToFit="1" vertical="center" wrapText="0"/>
    </xf>
    <xf borderId="0" fillId="0" fontId="47" numFmtId="0" xfId="0" applyAlignment="1" applyFont="1">
      <alignment horizontal="left" shrinkToFit="1" vertical="center" wrapText="0"/>
    </xf>
    <xf borderId="0" fillId="0" fontId="46" numFmtId="168" xfId="0" applyAlignment="1" applyFont="1" applyNumberFormat="1">
      <alignment shrinkToFit="1" wrapText="0"/>
    </xf>
    <xf borderId="0" fillId="0" fontId="27" numFmtId="168" xfId="0" applyAlignment="1" applyFont="1" applyNumberFormat="1">
      <alignment horizontal="center" shrinkToFit="1" wrapText="0"/>
    </xf>
    <xf borderId="0" fillId="0" fontId="27" numFmtId="167" xfId="0" applyAlignment="1" applyFont="1" applyNumberFormat="1">
      <alignment horizontal="center" shrinkToFit="1" wrapText="0"/>
    </xf>
    <xf borderId="0" fillId="0" fontId="27" numFmtId="0" xfId="0" applyAlignment="1" applyFont="1">
      <alignment horizontal="center" shrinkToFit="1" wrapText="0"/>
    </xf>
    <xf borderId="0" fillId="0" fontId="48" numFmtId="0" xfId="0" applyAlignment="1" applyFont="1">
      <alignment horizontal="center" shrinkToFit="1" wrapText="0"/>
    </xf>
    <xf borderId="0" fillId="0" fontId="46" numFmtId="177" xfId="0" applyAlignment="1" applyFont="1" applyNumberFormat="1">
      <alignment horizontal="center" shrinkToFit="1" vertical="center" wrapText="0"/>
    </xf>
    <xf borderId="0" fillId="0" fontId="27" numFmtId="178" xfId="0" applyAlignment="1" applyFont="1" applyNumberFormat="1">
      <alignment horizontal="center" shrinkToFit="1" wrapText="0"/>
    </xf>
    <xf borderId="0" fillId="0" fontId="41" numFmtId="166" xfId="0" applyAlignment="1" applyFont="1" applyNumberFormat="1">
      <alignment shrinkToFit="1" vertical="center" wrapText="0"/>
    </xf>
    <xf borderId="0" fillId="0" fontId="46" numFmtId="0" xfId="0" applyAlignment="1" applyFont="1">
      <alignment horizontal="center" shrinkToFit="1" wrapText="0"/>
    </xf>
    <xf borderId="0" fillId="0" fontId="46" numFmtId="2" xfId="0" applyAlignment="1" applyFont="1" applyNumberFormat="1">
      <alignment shrinkToFit="1" wrapText="0"/>
    </xf>
    <xf borderId="0" fillId="0" fontId="49" numFmtId="0" xfId="0" applyAlignment="1" applyFont="1">
      <alignment horizontal="center" shrinkToFit="1" vertical="center" wrapText="0"/>
    </xf>
    <xf borderId="0" fillId="0" fontId="49" numFmtId="166" xfId="0" applyAlignment="1" applyFont="1" applyNumberFormat="1">
      <alignment horizontal="center" shrinkToFit="1" vertical="center" wrapText="0"/>
    </xf>
    <xf borderId="0" fillId="0" fontId="48" numFmtId="167" xfId="0" applyAlignment="1" applyFont="1" applyNumberFormat="1">
      <alignment horizontal="center" shrinkToFit="1" vertical="center" wrapText="0"/>
    </xf>
    <xf borderId="0" fillId="0" fontId="49" numFmtId="167" xfId="0" applyAlignment="1" applyFont="1" applyNumberFormat="1">
      <alignment horizontal="center" shrinkToFit="1" vertical="center" wrapText="0"/>
    </xf>
    <xf borderId="0" fillId="0" fontId="46" numFmtId="177" xfId="0" applyAlignment="1" applyFont="1" applyNumberFormat="1">
      <alignment horizontal="center" shrinkToFit="1" wrapText="0"/>
    </xf>
    <xf borderId="0" fillId="0" fontId="48" numFmtId="0" xfId="0" applyAlignment="1" applyFont="1">
      <alignment horizontal="center" shrinkToFit="1" vertical="center" wrapText="0"/>
    </xf>
    <xf borderId="0" fillId="0" fontId="46" numFmtId="167" xfId="0" applyAlignment="1" applyFont="1" applyNumberFormat="1">
      <alignment horizontal="center" shrinkToFit="1" vertical="center" wrapText="0"/>
    </xf>
    <xf borderId="0" fillId="0" fontId="48" numFmtId="166" xfId="0" applyAlignment="1" applyFont="1" applyNumberFormat="1">
      <alignment horizontal="center" shrinkToFit="1" vertical="center" wrapText="0"/>
    </xf>
    <xf borderId="30" fillId="4" fontId="48" numFmtId="177" xfId="0" applyAlignment="1" applyBorder="1" applyFont="1" applyNumberFormat="1">
      <alignment horizontal="center" shrinkToFit="1" vertical="center" wrapText="0"/>
    </xf>
    <xf borderId="30" fillId="4" fontId="48" numFmtId="0" xfId="0" applyAlignment="1" applyBorder="1" applyFont="1">
      <alignment horizontal="center" shrinkToFit="1" vertical="center" wrapText="0"/>
    </xf>
    <xf borderId="0" fillId="0" fontId="27" numFmtId="179" xfId="0" applyAlignment="1" applyFont="1" applyNumberFormat="1">
      <alignment horizontal="center" shrinkToFit="1" wrapText="0"/>
    </xf>
    <xf borderId="0" fillId="0" fontId="27" numFmtId="0" xfId="0" applyAlignment="1" applyFont="1">
      <alignment horizontal="center" shrinkToFit="1" vertical="center" wrapText="0"/>
    </xf>
    <xf borderId="0" fillId="0" fontId="27" numFmtId="166" xfId="0" applyAlignment="1" applyFont="1" applyNumberFormat="1">
      <alignment horizontal="center" shrinkToFit="1" vertical="center" wrapText="0"/>
    </xf>
    <xf borderId="0" fillId="0" fontId="45" numFmtId="0" xfId="0" applyAlignment="1" applyFont="1">
      <alignment horizontal="center" shrinkToFit="1" vertical="center" wrapText="0"/>
    </xf>
    <xf borderId="0" fillId="0" fontId="45" numFmtId="166" xfId="0" applyAlignment="1" applyFont="1" applyNumberFormat="1">
      <alignment horizontal="center" shrinkToFit="1" vertical="center" wrapText="0"/>
    </xf>
    <xf borderId="0" fillId="0" fontId="45" numFmtId="167" xfId="0" applyAlignment="1" applyFont="1" applyNumberFormat="1">
      <alignment horizontal="center" shrinkToFit="1" wrapText="0"/>
    </xf>
    <xf borderId="0" fillId="0" fontId="47" numFmtId="0" xfId="0" applyAlignment="1" applyFont="1">
      <alignment horizontal="center" shrinkToFit="1" vertical="center" wrapText="0"/>
    </xf>
    <xf borderId="0" fillId="0" fontId="47" numFmtId="166" xfId="0" applyAlignment="1" applyFont="1" applyNumberFormat="1">
      <alignment horizontal="center" shrinkToFit="1" vertical="center" wrapText="0"/>
    </xf>
    <xf borderId="0" fillId="0" fontId="47" numFmtId="167" xfId="0" applyAlignment="1" applyFont="1" applyNumberFormat="1">
      <alignment horizontal="center" shrinkToFit="1" wrapText="0"/>
    </xf>
    <xf borderId="0" fillId="0" fontId="47" numFmtId="0" xfId="0" applyAlignment="1" applyFont="1">
      <alignment horizontal="left" shrinkToFit="1" wrapText="0"/>
    </xf>
    <xf borderId="0" fillId="0" fontId="45" numFmtId="0" xfId="0" applyAlignment="1" applyFont="1">
      <alignment horizontal="left" shrinkToFit="1" wrapText="0"/>
    </xf>
    <xf borderId="0" fillId="0" fontId="38" numFmtId="0" xfId="0" applyAlignment="1" applyFont="1">
      <alignment horizontal="left" shrinkToFit="1" wrapText="0"/>
    </xf>
    <xf borderId="0" fillId="0" fontId="46" numFmtId="0" xfId="0" applyAlignment="1" applyFont="1">
      <alignment shrinkToFit="1" vertical="top" wrapText="0"/>
    </xf>
    <xf borderId="0" fillId="0" fontId="46" numFmtId="0" xfId="0" applyAlignment="1" applyFont="1">
      <alignment horizontal="left" shrinkToFit="1" wrapText="0"/>
    </xf>
    <xf borderId="0" fillId="0" fontId="41" numFmtId="0" xfId="0" applyAlignment="1" applyFont="1">
      <alignment horizontal="center" shrinkToFit="1" wrapText="0"/>
    </xf>
    <xf borderId="0" fillId="0" fontId="38" numFmtId="0" xfId="0" applyAlignment="1" applyFont="1">
      <alignment horizontal="center" shrinkToFit="1" wrapText="0"/>
    </xf>
    <xf borderId="0" fillId="0" fontId="19" numFmtId="0" xfId="0" applyAlignment="1" applyFont="1">
      <alignment horizontal="left" shrinkToFit="1" vertical="center" wrapText="0"/>
    </xf>
    <xf borderId="0" fillId="0" fontId="19" numFmtId="0" xfId="0" applyAlignment="1" applyFont="1">
      <alignment horizontal="center" shrinkToFit="1" wrapText="0"/>
    </xf>
    <xf borderId="0" fillId="0" fontId="19" numFmtId="14" xfId="0" applyAlignment="1" applyFont="1" applyNumberFormat="1">
      <alignment shrinkToFit="1" wrapText="0"/>
    </xf>
    <xf borderId="0" fillId="0" fontId="19" numFmtId="2" xfId="0" applyAlignment="1" applyFont="1" applyNumberFormat="1">
      <alignment horizontal="left" shrinkToFit="1" wrapText="0"/>
    </xf>
    <xf borderId="0" fillId="0" fontId="19" numFmtId="0" xfId="0" applyAlignment="1" applyFont="1">
      <alignment horizontal="left" shrinkToFit="1" wrapText="0"/>
    </xf>
    <xf borderId="0" fillId="0" fontId="19" numFmtId="0" xfId="0" applyAlignment="1" applyFont="1">
      <alignment shrinkToFit="1" wrapText="0"/>
    </xf>
    <xf borderId="0" fillId="0" fontId="50" numFmtId="0" xfId="0" applyAlignment="1" applyFont="1">
      <alignment shrinkToFit="1" wrapText="0"/>
    </xf>
    <xf borderId="0" fillId="0" fontId="41" numFmtId="0" xfId="0" applyAlignment="1" applyFont="1">
      <alignment shrinkToFit="1" wrapText="0"/>
    </xf>
    <xf borderId="0" fillId="0" fontId="46" numFmtId="0" xfId="0" applyAlignment="1" applyFont="1">
      <alignment horizontal="left" shrinkToFit="1" vertical="center" wrapText="0"/>
    </xf>
    <xf borderId="0" fillId="0" fontId="46" numFmtId="168" xfId="0" applyAlignment="1" applyFont="1" applyNumberFormat="1">
      <alignment horizontal="left" shrinkToFit="1" wrapText="0"/>
    </xf>
    <xf borderId="0" fillId="0" fontId="46" numFmtId="9" xfId="0" applyAlignment="1" applyFont="1" applyNumberFormat="1">
      <alignment horizontal="center" shrinkToFit="1" wrapText="0"/>
    </xf>
    <xf borderId="0" fillId="0" fontId="46" numFmtId="10" xfId="0" applyAlignment="1" applyFont="1" applyNumberFormat="1">
      <alignment horizontal="center" shrinkToFit="1" wrapText="0"/>
    </xf>
    <xf borderId="0" fillId="0" fontId="46" numFmtId="9" xfId="0" applyAlignment="1" applyFont="1" applyNumberFormat="1">
      <alignment horizontal="left" shrinkToFit="1" wrapText="0"/>
    </xf>
    <xf borderId="0" fillId="0" fontId="41" numFmtId="9" xfId="0" applyAlignment="1" applyFont="1" applyNumberFormat="1">
      <alignment horizontal="center" shrinkToFit="1" wrapText="0"/>
    </xf>
    <xf borderId="0" fillId="0" fontId="41" numFmtId="9" xfId="0" applyAlignment="1" applyFont="1" applyNumberFormat="1">
      <alignment horizontal="left" shrinkToFit="1" wrapText="0"/>
    </xf>
    <xf borderId="0" fillId="0" fontId="41" numFmtId="0" xfId="0" applyAlignment="1" applyFont="1">
      <alignment horizontal="left" shrinkToFit="1" wrapText="0"/>
    </xf>
    <xf borderId="0" fillId="0" fontId="46" numFmtId="179" xfId="0" applyAlignment="1" applyFont="1" applyNumberFormat="1">
      <alignment horizontal="center" shrinkToFit="1" vertical="center" wrapText="0"/>
    </xf>
    <xf borderId="0" fillId="0" fontId="46" numFmtId="1" xfId="0" applyAlignment="1" applyFont="1" applyNumberFormat="1">
      <alignment horizontal="center" shrinkToFit="1" vertical="center" wrapText="0"/>
    </xf>
    <xf borderId="0" fillId="0" fontId="47" numFmtId="0" xfId="0" applyAlignment="1" applyFont="1">
      <alignment horizontal="center" shrinkToFit="1" wrapText="0"/>
    </xf>
    <xf borderId="0" fillId="0" fontId="27" numFmtId="180" xfId="0" applyAlignment="1" applyFont="1" applyNumberFormat="1">
      <alignment horizontal="center" shrinkToFit="1" wrapText="0"/>
    </xf>
    <xf borderId="0" fillId="0" fontId="27" numFmtId="166" xfId="0" applyAlignment="1" applyFont="1" applyNumberFormat="1">
      <alignment horizontal="center" shrinkToFit="1" wrapText="0"/>
    </xf>
    <xf borderId="0" fillId="0" fontId="46" numFmtId="179" xfId="0" applyAlignment="1" applyFont="1" applyNumberFormat="1">
      <alignment horizontal="center" shrinkToFit="1" wrapText="0"/>
    </xf>
    <xf borderId="30" fillId="3" fontId="48" numFmtId="166" xfId="0" applyAlignment="1" applyBorder="1" applyFont="1" applyNumberFormat="1">
      <alignment horizontal="center" shrinkToFit="1" vertical="center" wrapText="0"/>
    </xf>
    <xf borderId="30" fillId="6" fontId="46" numFmtId="179" xfId="0" applyAlignment="1" applyBorder="1" applyFont="1" applyNumberFormat="1">
      <alignment horizontal="center" shrinkToFit="1" vertical="center" wrapText="0"/>
    </xf>
    <xf borderId="30" fillId="4" fontId="48" numFmtId="179" xfId="0" applyAlignment="1" applyBorder="1" applyFont="1" applyNumberFormat="1">
      <alignment horizontal="center" shrinkToFit="1" vertical="center" wrapText="0"/>
    </xf>
    <xf borderId="30" fillId="3" fontId="51" numFmtId="1" xfId="0" applyAlignment="1" applyBorder="1" applyFont="1" applyNumberFormat="1">
      <alignment horizontal="center" shrinkToFit="1" vertical="center" wrapText="0"/>
    </xf>
    <xf borderId="0" fillId="0" fontId="48" numFmtId="179" xfId="0" applyAlignment="1" applyFont="1" applyNumberFormat="1">
      <alignment horizontal="center" shrinkToFit="1" vertical="center" wrapText="0"/>
    </xf>
    <xf borderId="0" fillId="0" fontId="45" numFmtId="164" xfId="0" applyAlignment="1" applyFont="1" applyNumberFormat="1">
      <alignment shrinkToFit="1" wrapText="0"/>
    </xf>
    <xf borderId="0" fillId="0" fontId="27" numFmtId="179" xfId="0" applyAlignment="1" applyFont="1" applyNumberFormat="1">
      <alignment horizontal="center" shrinkToFit="1" vertical="center" wrapText="0"/>
    </xf>
    <xf borderId="0" fillId="0" fontId="46" numFmtId="164" xfId="0" applyAlignment="1" applyFont="1" applyNumberFormat="1">
      <alignment horizontal="center" shrinkToFit="1" vertical="center" wrapText="0"/>
    </xf>
    <xf borderId="0" fillId="0" fontId="46" numFmtId="168" xfId="0" applyAlignment="1" applyFont="1" applyNumberFormat="1">
      <alignment horizontal="center" shrinkToFit="1" vertical="center" wrapText="0"/>
    </xf>
    <xf borderId="0" fillId="0" fontId="27" numFmtId="1" xfId="0" applyAlignment="1" applyFont="1" applyNumberFormat="1">
      <alignment horizontal="center" shrinkToFit="1" vertical="center" wrapText="0"/>
    </xf>
    <xf borderId="0" fillId="0" fontId="46" numFmtId="2" xfId="0" applyAlignment="1" applyFont="1" applyNumberFormat="1">
      <alignment horizontal="center" shrinkToFit="1" wrapText="0"/>
    </xf>
    <xf borderId="0" fillId="0" fontId="46" numFmtId="164" xfId="0" applyAlignment="1" applyFont="1" applyNumberFormat="1">
      <alignment horizontal="center" shrinkToFit="1" wrapText="0"/>
    </xf>
    <xf borderId="0" fillId="0" fontId="46" numFmtId="2" xfId="0" applyAlignment="1" applyFont="1" applyNumberFormat="1">
      <alignment horizontal="center" shrinkToFit="1" vertical="center" wrapText="0"/>
    </xf>
    <xf borderId="0" fillId="0" fontId="46" numFmtId="168" xfId="0" applyAlignment="1" applyFont="1" applyNumberFormat="1">
      <alignment horizontal="center" shrinkToFit="1" wrapText="0"/>
    </xf>
    <xf borderId="30" fillId="6" fontId="27" numFmtId="179" xfId="0" applyAlignment="1" applyBorder="1" applyFont="1" applyNumberFormat="1">
      <alignment horizontal="center" shrinkToFit="1" vertical="center" wrapText="0"/>
    </xf>
    <xf borderId="0" fillId="0" fontId="38" numFmtId="164" xfId="0" applyAlignment="1" applyFont="1" applyNumberFormat="1">
      <alignment shrinkToFit="1" wrapText="0"/>
    </xf>
    <xf borderId="0" fillId="0" fontId="19" numFmtId="164" xfId="0" applyAlignment="1" applyFont="1" applyNumberFormat="1">
      <alignment horizontal="left" shrinkToFit="1" vertical="center" wrapText="0"/>
    </xf>
    <xf borderId="0" fillId="0" fontId="38" numFmtId="164" xfId="0" applyAlignment="1" applyFont="1" applyNumberFormat="1">
      <alignment horizontal="left" shrinkToFit="1" wrapText="0"/>
    </xf>
    <xf borderId="0" fillId="0" fontId="19" numFmtId="164" xfId="0" applyAlignment="1" applyFont="1" applyNumberFormat="1">
      <alignment horizontal="left" shrinkToFit="1" wrapText="0"/>
    </xf>
    <xf borderId="0" fillId="0" fontId="52" numFmtId="0" xfId="0" applyAlignment="1" applyFont="1">
      <alignment horizontal="center" shrinkToFit="1" wrapText="0"/>
    </xf>
    <xf borderId="0" fillId="0" fontId="12" numFmtId="0" xfId="0" applyAlignment="1" applyFont="1">
      <alignment horizontal="center" shrinkToFit="1" vertical="center" wrapText="0"/>
    </xf>
    <xf borderId="0" fillId="0" fontId="53" numFmtId="0" xfId="0" applyAlignment="1" applyFont="1">
      <alignment horizontal="left" shrinkToFit="1" vertical="center" wrapText="0"/>
    </xf>
    <xf borderId="0" fillId="0" fontId="52" numFmtId="0" xfId="0" applyAlignment="1" applyFont="1">
      <alignment shrinkToFit="1" wrapText="0"/>
    </xf>
    <xf borderId="0" fillId="0" fontId="42" numFmtId="167" xfId="0" applyAlignment="1" applyFont="1" applyNumberFormat="1">
      <alignment horizontal="center" shrinkToFit="1" wrapText="0"/>
    </xf>
    <xf borderId="0" fillId="0" fontId="8" numFmtId="164" xfId="0" applyAlignment="1" applyFont="1" applyNumberFormat="1">
      <alignment shrinkToFit="1" wrapText="0"/>
    </xf>
    <xf borderId="0" fillId="0" fontId="2" numFmtId="164" xfId="0" applyAlignment="1" applyFont="1" applyNumberFormat="1">
      <alignment shrinkToFit="1" wrapText="0"/>
    </xf>
    <xf borderId="0" fillId="0" fontId="52" numFmtId="167" xfId="0" applyAlignment="1" applyFont="1" applyNumberFormat="1">
      <alignment shrinkToFit="1" wrapText="0"/>
    </xf>
    <xf borderId="0" fillId="0" fontId="12" numFmtId="16" xfId="0" applyAlignment="1" applyFont="1" applyNumberFormat="1">
      <alignment horizontal="center" shrinkToFit="1" vertical="center" wrapText="0"/>
    </xf>
    <xf borderId="0" fillId="0" fontId="12" numFmtId="166" xfId="0" applyAlignment="1" applyFont="1" applyNumberFormat="1">
      <alignment horizontal="center" shrinkToFit="1" vertical="center" wrapText="0"/>
    </xf>
    <xf borderId="0" fillId="0" fontId="2" numFmtId="168" xfId="0" applyAlignment="1" applyFont="1" applyNumberFormat="1">
      <alignment shrinkToFit="1" wrapText="0"/>
    </xf>
    <xf borderId="0" fillId="0" fontId="8" numFmtId="168" xfId="0" applyAlignment="1" applyFont="1" applyNumberFormat="1">
      <alignment shrinkToFit="1" wrapText="0"/>
    </xf>
    <xf borderId="0" fillId="0" fontId="52" numFmtId="0" xfId="0" applyAlignment="1" applyFont="1">
      <alignment horizontal="left" shrinkToFit="1" vertical="center" wrapText="0"/>
    </xf>
    <xf borderId="0" fillId="0" fontId="54" numFmtId="0" xfId="0" applyAlignment="1" applyFont="1">
      <alignment horizontal="left" shrinkToFit="1" vertical="center" wrapText="0"/>
    </xf>
    <xf borderId="0" fillId="0" fontId="42" numFmtId="0" xfId="0" applyAlignment="1" applyFont="1">
      <alignment horizontal="center" shrinkToFit="1" wrapText="0"/>
    </xf>
    <xf borderId="0" fillId="0" fontId="42" numFmtId="179" xfId="0" applyAlignment="1" applyFont="1" applyNumberFormat="1">
      <alignment horizontal="center" shrinkToFit="1" wrapText="0"/>
    </xf>
    <xf borderId="0" fillId="0" fontId="42" numFmtId="168" xfId="0" applyAlignment="1" applyFont="1" applyNumberFormat="1">
      <alignment horizontal="center" shrinkToFit="1" wrapText="0"/>
    </xf>
    <xf borderId="0" fillId="0" fontId="42" numFmtId="178" xfId="0" applyAlignment="1" applyFont="1" applyNumberFormat="1">
      <alignment horizontal="center" shrinkToFit="1" wrapText="0"/>
    </xf>
    <xf borderId="0" fillId="0" fontId="12" numFmtId="0" xfId="0" applyAlignment="1" applyFont="1">
      <alignment horizontal="center" shrinkToFit="1" wrapText="0"/>
    </xf>
    <xf borderId="0" fillId="0" fontId="8" numFmtId="2" xfId="0" applyAlignment="1" applyFont="1" applyNumberFormat="1">
      <alignment shrinkToFit="1" wrapText="0"/>
    </xf>
    <xf borderId="0" fillId="0" fontId="12" numFmtId="167" xfId="0" applyAlignment="1" applyFont="1" applyNumberFormat="1">
      <alignment horizontal="center" shrinkToFit="1" vertical="center" wrapText="0"/>
    </xf>
    <xf borderId="0" fillId="0" fontId="8" numFmtId="0" xfId="0" applyAlignment="1" applyFont="1">
      <alignment horizontal="center" shrinkToFit="1" wrapText="0"/>
    </xf>
    <xf borderId="0" fillId="0" fontId="55" numFmtId="0" xfId="0" applyAlignment="1" applyFont="1">
      <alignment shrinkToFit="1" wrapText="0"/>
    </xf>
    <xf borderId="30" fillId="6" fontId="27" numFmtId="0" xfId="0" applyAlignment="1" applyBorder="1" applyFont="1">
      <alignment horizontal="center" shrinkToFit="1" vertical="center" wrapText="0"/>
    </xf>
    <xf borderId="30" fillId="4" fontId="30" numFmtId="179" xfId="0" applyAlignment="1" applyBorder="1" applyFont="1" applyNumberFormat="1">
      <alignment horizontal="center" shrinkToFit="1" vertical="center" wrapText="0"/>
    </xf>
    <xf borderId="30" fillId="4" fontId="30" numFmtId="0" xfId="0" applyAlignment="1" applyBorder="1" applyFont="1">
      <alignment horizontal="center" shrinkToFit="1" vertical="center" wrapText="0"/>
    </xf>
    <xf borderId="0" fillId="0" fontId="56" numFmtId="0" xfId="0" applyAlignment="1" applyFont="1">
      <alignment horizontal="center" shrinkToFit="1" vertical="center" wrapText="0"/>
    </xf>
    <xf borderId="0" fillId="0" fontId="56" numFmtId="166" xfId="0" applyAlignment="1" applyFont="1" applyNumberFormat="1">
      <alignment horizontal="center" shrinkToFit="1" vertical="center" wrapText="0"/>
    </xf>
    <xf borderId="0" fillId="0" fontId="53" numFmtId="0" xfId="0" applyAlignment="1" applyFont="1">
      <alignment horizontal="center" shrinkToFit="1" vertical="center" wrapText="0"/>
    </xf>
    <xf borderId="0" fillId="0" fontId="53" numFmtId="166" xfId="0" applyAlignment="1" applyFont="1" applyNumberFormat="1">
      <alignment horizontal="center" shrinkToFit="1" vertical="center" wrapText="0"/>
    </xf>
    <xf borderId="0" fillId="0" fontId="52" numFmtId="167" xfId="0" applyAlignment="1" applyFont="1" applyNumberFormat="1">
      <alignment horizontal="center" shrinkToFit="1" wrapText="0"/>
    </xf>
    <xf borderId="0" fillId="0" fontId="54" numFmtId="0" xfId="0" applyAlignment="1" applyFont="1">
      <alignment horizontal="center" shrinkToFit="1" vertical="center" wrapText="0"/>
    </xf>
    <xf borderId="0" fillId="0" fontId="54" numFmtId="166" xfId="0" applyAlignment="1" applyFont="1" applyNumberFormat="1">
      <alignment horizontal="center" shrinkToFit="1" vertical="center" wrapText="0"/>
    </xf>
    <xf borderId="0" fillId="0" fontId="7" numFmtId="167" xfId="0" applyAlignment="1" applyFont="1" applyNumberFormat="1">
      <alignment horizontal="center" shrinkToFit="1" wrapText="0"/>
    </xf>
    <xf borderId="0" fillId="0" fontId="52" numFmtId="0" xfId="0" applyAlignment="1" applyFont="1">
      <alignment horizontal="left" shrinkToFit="1" wrapText="0"/>
    </xf>
    <xf borderId="0" fillId="0" fontId="8" numFmtId="0" xfId="0" applyAlignment="1" applyFont="1">
      <alignment shrinkToFit="1" vertical="top" wrapText="0"/>
    </xf>
    <xf borderId="0" fillId="0" fontId="8" numFmtId="0" xfId="0" applyAlignment="1" applyFont="1">
      <alignment horizontal="left" shrinkToFit="1" wrapText="0"/>
    </xf>
    <xf borderId="0" fillId="0" fontId="3" numFmtId="0" xfId="0" applyAlignment="1" applyFont="1">
      <alignment horizontal="center" shrinkToFit="1" wrapText="0"/>
    </xf>
    <xf borderId="0" fillId="0" fontId="17" numFmtId="0" xfId="0" applyAlignment="1" applyFont="1">
      <alignment horizontal="left" shrinkToFit="1" vertical="center" wrapText="0"/>
    </xf>
    <xf borderId="0" fillId="0" fontId="2" numFmtId="0" xfId="0" applyAlignment="1" applyFont="1">
      <alignment horizontal="center" shrinkToFit="1" wrapText="0"/>
    </xf>
    <xf borderId="0" fillId="0" fontId="2" numFmtId="14" xfId="0" applyAlignment="1" applyFont="1" applyNumberFormat="1">
      <alignment shrinkToFit="1" wrapText="0"/>
    </xf>
    <xf borderId="0" fillId="0" fontId="2" numFmtId="2" xfId="0" applyAlignment="1" applyFont="1" applyNumberFormat="1">
      <alignment horizontal="left" shrinkToFit="1" wrapText="0"/>
    </xf>
    <xf borderId="0" fillId="0" fontId="2" numFmtId="0" xfId="0" applyAlignment="1" applyFont="1">
      <alignment horizontal="left" shrinkToFit="1" wrapText="0"/>
    </xf>
    <xf borderId="0" fillId="0" fontId="8" numFmtId="0" xfId="0" applyAlignment="1" applyFont="1">
      <alignment horizontal="center" shrinkToFit="1" vertical="center" wrapText="0"/>
    </xf>
    <xf borderId="0" fillId="0" fontId="8" numFmtId="0" xfId="0" applyAlignment="1" applyFont="1">
      <alignment horizontal="left" shrinkToFit="1" vertical="center" wrapText="0"/>
    </xf>
    <xf borderId="0" fillId="0" fontId="8" numFmtId="168" xfId="0" applyAlignment="1" applyFont="1" applyNumberFormat="1">
      <alignment horizontal="left" shrinkToFit="1" wrapText="0"/>
    </xf>
    <xf borderId="0" fillId="0" fontId="8" numFmtId="9" xfId="0" applyAlignment="1" applyFont="1" applyNumberFormat="1">
      <alignment horizontal="center" shrinkToFit="1" wrapText="0"/>
    </xf>
    <xf borderId="0" fillId="0" fontId="8" numFmtId="10" xfId="0" applyAlignment="1" applyFont="1" applyNumberFormat="1">
      <alignment horizontal="center" shrinkToFit="1" wrapText="0"/>
    </xf>
    <xf borderId="30" fillId="11" fontId="57" numFmtId="0" xfId="0" applyAlignment="1" applyBorder="1" applyFill="1" applyFont="1">
      <alignment shrinkToFit="1" wrapText="0"/>
    </xf>
    <xf borderId="0" fillId="0" fontId="3" numFmtId="0" xfId="0" applyFont="1"/>
    <xf borderId="30" fillId="11" fontId="3" numFmtId="0" xfId="0" applyAlignment="1" applyBorder="1" applyFont="1">
      <alignment shrinkToFit="1" wrapText="0"/>
    </xf>
    <xf borderId="62" fillId="5" fontId="3" numFmtId="0" xfId="0" applyAlignment="1" applyBorder="1" applyFont="1">
      <alignment shrinkToFit="1" wrapText="0"/>
    </xf>
    <xf borderId="71" fillId="12" fontId="58" numFmtId="0" xfId="0" applyAlignment="1" applyBorder="1" applyFill="1" applyFont="1">
      <alignment horizontal="center" shrinkToFit="1" wrapText="0"/>
    </xf>
    <xf borderId="72" fillId="4" fontId="59" numFmtId="0" xfId="0" applyAlignment="1" applyBorder="1" applyFont="1">
      <alignment horizontal="center" shrinkToFit="1" wrapText="0"/>
    </xf>
    <xf borderId="72" fillId="12" fontId="58" numFmtId="0" xfId="0" applyAlignment="1" applyBorder="1" applyFont="1">
      <alignment horizontal="center" shrinkToFit="1" wrapText="0"/>
    </xf>
    <xf borderId="67" fillId="12" fontId="58" numFmtId="0" xfId="0" applyAlignment="1" applyBorder="1" applyFont="1">
      <alignment horizontal="center" shrinkToFit="1" wrapText="0"/>
    </xf>
    <xf borderId="55" fillId="5" fontId="3" numFmtId="0" xfId="0" applyAlignment="1" applyBorder="1" applyFont="1">
      <alignment shrinkToFit="1" wrapText="0"/>
    </xf>
    <xf borderId="39" fillId="5" fontId="3" numFmtId="0" xfId="0" applyAlignment="1" applyBorder="1" applyFont="1">
      <alignment shrinkToFit="1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1.0"/>
    <col customWidth="1" min="3" max="3" width="18.57"/>
    <col customWidth="1" min="4" max="4" width="17.43"/>
    <col customWidth="1" min="5" max="5" width="15.57"/>
    <col customWidth="1" min="6" max="6" width="18.29"/>
    <col customWidth="1" min="7" max="7" width="17.14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6" width="13.0"/>
    <col customWidth="1" min="17" max="17" width="15.14"/>
    <col customWidth="1" min="18" max="18" width="13.86"/>
    <col customWidth="1" min="19" max="19" width="15.14"/>
    <col customWidth="1" min="20" max="20" width="13.86"/>
    <col customWidth="1" min="21" max="25" width="9.14"/>
    <col customWidth="1" min="26" max="26" width="8.0"/>
  </cols>
  <sheetData>
    <row r="1" ht="20.25" customHeight="1">
      <c r="A1" s="1" t="s">
        <v>0</v>
      </c>
      <c r="B1" s="2"/>
      <c r="C1" s="2"/>
      <c r="D1" s="2"/>
      <c r="F1" s="3"/>
      <c r="S1" s="4"/>
      <c r="T1" s="4"/>
      <c r="U1" s="4"/>
      <c r="V1" s="4"/>
      <c r="W1" s="4"/>
      <c r="X1" s="4"/>
      <c r="Y1" s="4"/>
    </row>
    <row r="2" ht="12.75" customHeight="1">
      <c r="A2" s="2"/>
      <c r="B2" s="2"/>
      <c r="C2" s="2"/>
      <c r="D2" s="2"/>
      <c r="F2" s="3"/>
      <c r="S2" s="4"/>
      <c r="T2" s="4"/>
      <c r="U2" s="4"/>
      <c r="V2" s="4"/>
      <c r="W2" s="4"/>
      <c r="X2" s="4"/>
      <c r="Y2" s="4"/>
    </row>
    <row r="3" ht="18.0" customHeight="1">
      <c r="A3" s="5" t="s">
        <v>1</v>
      </c>
      <c r="B3" s="6"/>
      <c r="C3" s="6"/>
      <c r="D3" s="2"/>
      <c r="F3" s="3"/>
      <c r="S3" s="4"/>
      <c r="T3" s="4"/>
      <c r="U3" s="4"/>
      <c r="V3" s="4"/>
      <c r="W3" s="4"/>
      <c r="X3" s="4"/>
      <c r="Y3" s="4"/>
    </row>
    <row r="4" ht="29.25" customHeight="1">
      <c r="A4" s="7"/>
      <c r="F4" s="8" t="s">
        <v>2</v>
      </c>
      <c r="G4" s="9" t="s">
        <v>3</v>
      </c>
      <c r="S4" s="4"/>
      <c r="T4" s="4"/>
      <c r="U4" s="4"/>
      <c r="V4" s="4"/>
      <c r="W4" s="4"/>
      <c r="X4" s="4"/>
      <c r="Y4" s="4"/>
    </row>
    <row r="5" ht="18.0" customHeight="1">
      <c r="A5" s="7" t="s">
        <v>4</v>
      </c>
      <c r="F5" s="3"/>
      <c r="G5" s="10" t="s">
        <v>5</v>
      </c>
      <c r="S5" s="4"/>
      <c r="T5" s="4"/>
      <c r="U5" s="4"/>
      <c r="V5" s="4"/>
      <c r="W5" s="4"/>
      <c r="X5" s="4"/>
      <c r="Y5" s="4"/>
    </row>
    <row r="6" ht="13.5" customHeight="1">
      <c r="F6" s="3"/>
      <c r="S6" s="4"/>
      <c r="T6" s="4"/>
      <c r="U6" s="4"/>
      <c r="V6" s="4"/>
      <c r="W6" s="4"/>
      <c r="X6" s="4"/>
      <c r="Y6" s="4"/>
    </row>
    <row r="7" ht="36.0" customHeight="1">
      <c r="A7" s="11" t="s">
        <v>6</v>
      </c>
      <c r="B7" s="12"/>
      <c r="C7" s="13" t="s">
        <v>7</v>
      </c>
      <c r="D7" s="14" t="s">
        <v>8</v>
      </c>
      <c r="E7" s="15" t="s">
        <v>9</v>
      </c>
      <c r="F7" s="16"/>
      <c r="G7" s="17" t="s">
        <v>10</v>
      </c>
      <c r="S7" s="4"/>
      <c r="T7" s="4"/>
      <c r="U7" s="4"/>
      <c r="V7" s="4"/>
      <c r="W7" s="4"/>
      <c r="X7" s="4"/>
      <c r="Y7" s="4"/>
    </row>
    <row r="8" ht="15.75" customHeight="1">
      <c r="A8" s="18">
        <v>1.0</v>
      </c>
      <c r="B8" s="19"/>
      <c r="C8" s="20"/>
      <c r="D8" s="21"/>
      <c r="E8" s="22"/>
      <c r="F8" s="23"/>
      <c r="G8" s="24">
        <f t="shared" ref="G8:G11" si="1">+D8*E8</f>
        <v>0</v>
      </c>
      <c r="H8" s="25">
        <f t="shared" ref="H8:H11" si="2">E8-G8</f>
        <v>0</v>
      </c>
      <c r="I8" s="26"/>
      <c r="J8" s="26"/>
      <c r="K8" s="26"/>
      <c r="L8" s="26"/>
      <c r="M8" s="26"/>
      <c r="N8" s="26"/>
      <c r="O8" s="26"/>
      <c r="P8" s="26"/>
      <c r="Q8" s="2"/>
      <c r="R8" s="2"/>
      <c r="S8" s="2"/>
      <c r="T8" s="2"/>
      <c r="U8" s="2"/>
      <c r="V8" s="2"/>
      <c r="W8" s="2"/>
      <c r="X8" s="2"/>
      <c r="Y8" s="2"/>
      <c r="Z8" s="2"/>
    </row>
    <row r="9" ht="15.75" customHeight="1">
      <c r="A9" s="27">
        <v>2.0</v>
      </c>
      <c r="B9" s="28"/>
      <c r="C9" s="28"/>
      <c r="D9" s="29"/>
      <c r="E9" s="30"/>
      <c r="F9" s="31"/>
      <c r="G9" s="32">
        <f t="shared" si="1"/>
        <v>0</v>
      </c>
      <c r="H9" s="25">
        <f t="shared" si="2"/>
        <v>0</v>
      </c>
      <c r="I9" s="26"/>
      <c r="J9" s="26"/>
      <c r="K9" s="26"/>
      <c r="L9" s="26"/>
      <c r="M9" s="26"/>
      <c r="N9" s="26"/>
      <c r="O9" s="26"/>
      <c r="P9" s="26"/>
      <c r="Q9" s="2"/>
      <c r="R9" s="2"/>
      <c r="S9" s="2"/>
      <c r="T9" s="2"/>
      <c r="U9" s="2"/>
      <c r="V9" s="2"/>
      <c r="W9" s="2"/>
      <c r="X9" s="2"/>
      <c r="Y9" s="2"/>
      <c r="Z9" s="2"/>
    </row>
    <row r="10" ht="15.75" customHeight="1">
      <c r="A10" s="27">
        <v>3.0</v>
      </c>
      <c r="B10" s="28"/>
      <c r="C10" s="28"/>
      <c r="D10" s="33"/>
      <c r="E10" s="30"/>
      <c r="F10" s="34"/>
      <c r="G10" s="32">
        <f t="shared" si="1"/>
        <v>0</v>
      </c>
      <c r="H10" s="25">
        <f t="shared" si="2"/>
        <v>0</v>
      </c>
      <c r="I10" s="26"/>
      <c r="J10" s="26"/>
      <c r="K10" s="26"/>
      <c r="L10" s="26"/>
      <c r="M10" s="26"/>
      <c r="N10" s="26"/>
      <c r="O10" s="26"/>
      <c r="P10" s="26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6.5" customHeight="1">
      <c r="A11" s="27">
        <v>4.0</v>
      </c>
      <c r="B11" s="28"/>
      <c r="C11" s="28"/>
      <c r="D11" s="33"/>
      <c r="E11" s="35"/>
      <c r="F11" s="36"/>
      <c r="G11" s="37">
        <f t="shared" si="1"/>
        <v>0</v>
      </c>
      <c r="H11" s="25">
        <f t="shared" si="2"/>
        <v>0</v>
      </c>
      <c r="I11" s="26"/>
      <c r="J11" s="26"/>
      <c r="K11" s="26"/>
      <c r="L11" s="26"/>
      <c r="M11" s="26"/>
      <c r="N11" s="26"/>
      <c r="O11" s="26"/>
      <c r="P11" s="26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38"/>
      <c r="B12" s="39"/>
      <c r="C12" s="40"/>
      <c r="D12" s="41"/>
      <c r="E12" s="42">
        <f>SUM(E8:E11)</f>
        <v>0</v>
      </c>
      <c r="G12" s="43">
        <f>SUM(G8:G11)</f>
        <v>0</v>
      </c>
      <c r="H12" s="26"/>
      <c r="I12" s="26"/>
      <c r="J12" s="26"/>
      <c r="K12" s="26"/>
      <c r="L12" s="26"/>
      <c r="M12" s="26"/>
      <c r="N12" s="26"/>
      <c r="O12" s="26"/>
      <c r="P12" s="26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3.5" customHeight="1">
      <c r="A13" s="44"/>
      <c r="B13" s="45"/>
      <c r="C13" s="45"/>
      <c r="D13" s="46"/>
      <c r="E13" s="47"/>
      <c r="F13" s="48"/>
      <c r="G13" s="49"/>
      <c r="S13" s="4"/>
      <c r="T13" s="4"/>
      <c r="U13" s="4"/>
      <c r="V13" s="4"/>
      <c r="W13" s="4"/>
      <c r="X13" s="4"/>
      <c r="Y13" s="4"/>
    </row>
    <row r="14" ht="12.75" customHeight="1">
      <c r="F14" s="3"/>
      <c r="S14" s="4"/>
      <c r="T14" s="4"/>
      <c r="U14" s="4"/>
      <c r="V14" s="4"/>
      <c r="W14" s="4"/>
      <c r="X14" s="4"/>
      <c r="Y14" s="4"/>
    </row>
    <row r="15" ht="12.75" customHeight="1">
      <c r="F15" s="3"/>
      <c r="S15" s="4"/>
      <c r="T15" s="4"/>
      <c r="U15" s="4"/>
      <c r="V15" s="4"/>
      <c r="W15" s="4"/>
      <c r="X15" s="4"/>
      <c r="Y15" s="4"/>
    </row>
    <row r="16" ht="18.0" customHeight="1">
      <c r="A16" s="7" t="s">
        <v>11</v>
      </c>
      <c r="F16" s="3"/>
      <c r="S16" s="4"/>
      <c r="T16" s="4"/>
      <c r="U16" s="4"/>
      <c r="V16" s="4"/>
      <c r="W16" s="4"/>
      <c r="X16" s="4"/>
      <c r="Y16" s="4"/>
    </row>
    <row r="17" ht="12.75" customHeight="1">
      <c r="F17" s="3"/>
      <c r="S17" s="4"/>
      <c r="T17" s="4"/>
      <c r="U17" s="4"/>
      <c r="V17" s="4"/>
      <c r="W17" s="4"/>
      <c r="X17" s="4"/>
      <c r="Y17" s="4"/>
    </row>
    <row r="18" ht="33.75" customHeight="1">
      <c r="A18" s="50"/>
      <c r="B18" s="27" t="s">
        <v>12</v>
      </c>
      <c r="C18" s="51" t="s">
        <v>13</v>
      </c>
      <c r="D18" s="52"/>
      <c r="E18" s="53"/>
      <c r="F18" s="54" t="s">
        <v>14</v>
      </c>
      <c r="G18" s="27" t="s">
        <v>15</v>
      </c>
      <c r="H18" s="27" t="s">
        <v>16</v>
      </c>
      <c r="J18" s="27" t="s">
        <v>17</v>
      </c>
      <c r="K18" s="27" t="s">
        <v>15</v>
      </c>
      <c r="L18" s="55" t="s">
        <v>18</v>
      </c>
      <c r="O18" s="56"/>
      <c r="P18" s="27" t="s">
        <v>17</v>
      </c>
      <c r="Q18" s="27" t="s">
        <v>15</v>
      </c>
      <c r="R18" s="55" t="s">
        <v>18</v>
      </c>
      <c r="S18" s="4"/>
      <c r="T18" s="4" t="s">
        <v>19</v>
      </c>
      <c r="U18" s="4" t="s">
        <v>20</v>
      </c>
      <c r="V18" s="4" t="s">
        <v>21</v>
      </c>
      <c r="W18" s="4" t="s">
        <v>22</v>
      </c>
      <c r="X18" s="4"/>
      <c r="Y18" s="4"/>
    </row>
    <row r="19" ht="24.0" customHeight="1">
      <c r="A19" s="57">
        <v>1.0</v>
      </c>
      <c r="B19" s="58" t="s">
        <v>23</v>
      </c>
      <c r="C19" s="59">
        <v>106.0</v>
      </c>
      <c r="D19" s="59">
        <v>218.0</v>
      </c>
      <c r="E19" s="59">
        <v>122.0</v>
      </c>
      <c r="F19" s="60">
        <v>56.4</v>
      </c>
      <c r="G19" s="59">
        <v>3.0</v>
      </c>
      <c r="H19" s="61">
        <f t="shared" ref="H19:H99" si="4">+G19*F19</f>
        <v>169.2</v>
      </c>
      <c r="I19" s="62"/>
      <c r="J19" s="63">
        <f t="shared" ref="J19:J21" si="5">D19*25.4/1000</f>
        <v>5.5372</v>
      </c>
      <c r="K19" s="64">
        <f t="shared" ref="K19:K21" si="6">+G19</f>
        <v>3</v>
      </c>
      <c r="L19" s="64">
        <f t="shared" ref="L19:L21" si="7">K19*J19</f>
        <v>16.6116</v>
      </c>
      <c r="M19" s="62"/>
      <c r="N19" s="62"/>
      <c r="O19" s="65"/>
      <c r="P19" s="63">
        <f t="shared" ref="P19:P99" si="8">E19/100</f>
        <v>1.22</v>
      </c>
      <c r="Q19" s="64">
        <f t="shared" ref="Q19:Q99" si="9">G19</f>
        <v>3</v>
      </c>
      <c r="R19" s="64">
        <f t="shared" ref="R19:R99" si="10">Q19*P19</f>
        <v>3.66</v>
      </c>
      <c r="S19" s="66"/>
      <c r="T19" s="66">
        <f t="shared" ref="T19:U19" si="3">C19/100</f>
        <v>1.06</v>
      </c>
      <c r="U19" s="66">
        <f t="shared" si="3"/>
        <v>2.18</v>
      </c>
      <c r="V19" s="66">
        <f t="shared" ref="V19:V99" si="12">R19</f>
        <v>3.66</v>
      </c>
      <c r="W19" s="67">
        <f t="shared" ref="W19:W49" si="13">T19*U19*V19</f>
        <v>8.457528</v>
      </c>
      <c r="X19" s="66"/>
      <c r="Y19" s="66"/>
      <c r="Z19" s="62"/>
    </row>
    <row r="20" ht="24.0" customHeight="1">
      <c r="A20" s="57">
        <v>2.0</v>
      </c>
      <c r="B20" s="59" t="s">
        <v>23</v>
      </c>
      <c r="C20" s="59">
        <v>106.0</v>
      </c>
      <c r="D20" s="59">
        <v>218.0</v>
      </c>
      <c r="E20" s="59">
        <v>131.0</v>
      </c>
      <c r="F20" s="60">
        <v>60.56</v>
      </c>
      <c r="G20" s="59">
        <v>1.0</v>
      </c>
      <c r="H20" s="61">
        <f t="shared" si="4"/>
        <v>60.56</v>
      </c>
      <c r="I20" s="62"/>
      <c r="J20" s="63">
        <f t="shared" si="5"/>
        <v>5.5372</v>
      </c>
      <c r="K20" s="64">
        <f t="shared" si="6"/>
        <v>1</v>
      </c>
      <c r="L20" s="64">
        <f t="shared" si="7"/>
        <v>5.5372</v>
      </c>
      <c r="M20" s="62"/>
      <c r="N20" s="62"/>
      <c r="O20" s="68"/>
      <c r="P20" s="63">
        <f t="shared" si="8"/>
        <v>1.31</v>
      </c>
      <c r="Q20" s="64">
        <f t="shared" si="9"/>
        <v>1</v>
      </c>
      <c r="R20" s="64">
        <f t="shared" si="10"/>
        <v>1.31</v>
      </c>
      <c r="S20" s="66"/>
      <c r="T20" s="66">
        <f t="shared" ref="T20:U20" si="11">C20/100</f>
        <v>1.06</v>
      </c>
      <c r="U20" s="66">
        <f t="shared" si="11"/>
        <v>2.18</v>
      </c>
      <c r="V20" s="66">
        <f t="shared" si="12"/>
        <v>1.31</v>
      </c>
      <c r="W20" s="67">
        <f t="shared" si="13"/>
        <v>3.027148</v>
      </c>
      <c r="X20" s="66"/>
      <c r="Y20" s="66"/>
      <c r="Z20" s="62"/>
    </row>
    <row r="21" ht="24.0" customHeight="1">
      <c r="A21" s="57">
        <v>3.0</v>
      </c>
      <c r="B21" s="59" t="s">
        <v>23</v>
      </c>
      <c r="C21" s="59">
        <v>106.0</v>
      </c>
      <c r="D21" s="59">
        <v>218.0</v>
      </c>
      <c r="E21" s="59">
        <v>175.0</v>
      </c>
      <c r="F21" s="60">
        <v>80.9</v>
      </c>
      <c r="G21" s="59">
        <v>2.0</v>
      </c>
      <c r="H21" s="61">
        <f t="shared" si="4"/>
        <v>161.8</v>
      </c>
      <c r="I21" s="62"/>
      <c r="J21" s="63">
        <f t="shared" si="5"/>
        <v>5.5372</v>
      </c>
      <c r="K21" s="64">
        <f t="shared" si="6"/>
        <v>2</v>
      </c>
      <c r="L21" s="64">
        <f t="shared" si="7"/>
        <v>11.0744</v>
      </c>
      <c r="M21" s="62"/>
      <c r="N21" s="62"/>
      <c r="O21" s="68"/>
      <c r="P21" s="63">
        <f t="shared" si="8"/>
        <v>1.75</v>
      </c>
      <c r="Q21" s="64">
        <f t="shared" si="9"/>
        <v>2</v>
      </c>
      <c r="R21" s="64">
        <f t="shared" si="10"/>
        <v>3.5</v>
      </c>
      <c r="S21" s="66"/>
      <c r="T21" s="66">
        <f t="shared" ref="T21:U21" si="14">C21/100</f>
        <v>1.06</v>
      </c>
      <c r="U21" s="66">
        <f t="shared" si="14"/>
        <v>2.18</v>
      </c>
      <c r="V21" s="66">
        <f t="shared" si="12"/>
        <v>3.5</v>
      </c>
      <c r="W21" s="67">
        <f t="shared" si="13"/>
        <v>8.0878</v>
      </c>
      <c r="X21" s="66"/>
      <c r="Y21" s="66"/>
      <c r="Z21" s="62"/>
    </row>
    <row r="22" ht="24.0" customHeight="1">
      <c r="A22" s="57">
        <v>4.0</v>
      </c>
      <c r="B22" s="59" t="s">
        <v>23</v>
      </c>
      <c r="C22" s="59">
        <v>107.0</v>
      </c>
      <c r="D22" s="59">
        <v>218.0</v>
      </c>
      <c r="E22" s="59">
        <v>122.0</v>
      </c>
      <c r="F22" s="60">
        <v>56.93</v>
      </c>
      <c r="G22" s="59">
        <v>1.0</v>
      </c>
      <c r="H22" s="61">
        <f t="shared" si="4"/>
        <v>56.93</v>
      </c>
      <c r="I22" s="62"/>
      <c r="J22" s="63"/>
      <c r="K22" s="64"/>
      <c r="L22" s="64"/>
      <c r="M22" s="62"/>
      <c r="N22" s="62"/>
      <c r="O22" s="65"/>
      <c r="P22" s="63">
        <f t="shared" si="8"/>
        <v>1.22</v>
      </c>
      <c r="Q22" s="64">
        <f t="shared" si="9"/>
        <v>1</v>
      </c>
      <c r="R22" s="64">
        <f t="shared" si="10"/>
        <v>1.22</v>
      </c>
      <c r="S22" s="66"/>
      <c r="T22" s="66">
        <f t="shared" ref="T22:U22" si="15">C22/100</f>
        <v>1.07</v>
      </c>
      <c r="U22" s="66">
        <f t="shared" si="15"/>
        <v>2.18</v>
      </c>
      <c r="V22" s="66">
        <f t="shared" si="12"/>
        <v>1.22</v>
      </c>
      <c r="W22" s="67">
        <f t="shared" si="13"/>
        <v>2.845772</v>
      </c>
      <c r="X22" s="66"/>
      <c r="Y22" s="66"/>
      <c r="Z22" s="62"/>
    </row>
    <row r="23" ht="24.0" customHeight="1">
      <c r="A23" s="57">
        <v>5.0</v>
      </c>
      <c r="B23" s="59" t="s">
        <v>23</v>
      </c>
      <c r="C23" s="59">
        <v>109.0</v>
      </c>
      <c r="D23" s="59">
        <v>218.0</v>
      </c>
      <c r="E23" s="59">
        <v>205.0</v>
      </c>
      <c r="F23" s="60">
        <v>97.45</v>
      </c>
      <c r="G23" s="59">
        <v>1.0</v>
      </c>
      <c r="H23" s="61">
        <f t="shared" si="4"/>
        <v>97.45</v>
      </c>
      <c r="I23" s="62"/>
      <c r="J23" s="63">
        <f t="shared" ref="J23:J48" si="17">D23*25.4/1000</f>
        <v>5.5372</v>
      </c>
      <c r="K23" s="64">
        <f t="shared" ref="K23:K87" si="18">+G23</f>
        <v>1</v>
      </c>
      <c r="L23" s="64">
        <f t="shared" ref="L23:L48" si="19">K23*J23</f>
        <v>5.5372</v>
      </c>
      <c r="M23" s="62"/>
      <c r="N23" s="62"/>
      <c r="O23" s="68"/>
      <c r="P23" s="63">
        <f t="shared" si="8"/>
        <v>2.05</v>
      </c>
      <c r="Q23" s="64">
        <f t="shared" si="9"/>
        <v>1</v>
      </c>
      <c r="R23" s="64">
        <f t="shared" si="10"/>
        <v>2.05</v>
      </c>
      <c r="S23" s="66"/>
      <c r="T23" s="66">
        <f t="shared" ref="T23:U23" si="16">C23/100</f>
        <v>1.09</v>
      </c>
      <c r="U23" s="66">
        <f t="shared" si="16"/>
        <v>2.18</v>
      </c>
      <c r="V23" s="66">
        <f t="shared" si="12"/>
        <v>2.05</v>
      </c>
      <c r="W23" s="67">
        <f t="shared" si="13"/>
        <v>4.87121</v>
      </c>
      <c r="X23" s="66"/>
      <c r="Y23" s="66"/>
      <c r="Z23" s="62"/>
    </row>
    <row r="24" ht="24.0" customHeight="1">
      <c r="A24" s="57">
        <v>6.0</v>
      </c>
      <c r="B24" s="59" t="s">
        <v>23</v>
      </c>
      <c r="C24" s="59">
        <v>107.0</v>
      </c>
      <c r="D24" s="59">
        <v>218.0</v>
      </c>
      <c r="E24" s="59">
        <v>203.0</v>
      </c>
      <c r="F24" s="60">
        <v>94.73</v>
      </c>
      <c r="G24" s="59">
        <v>1.0</v>
      </c>
      <c r="H24" s="61">
        <f t="shared" si="4"/>
        <v>94.73</v>
      </c>
      <c r="I24" s="62"/>
      <c r="J24" s="63">
        <f t="shared" si="17"/>
        <v>5.5372</v>
      </c>
      <c r="K24" s="64">
        <f t="shared" si="18"/>
        <v>1</v>
      </c>
      <c r="L24" s="64">
        <f t="shared" si="19"/>
        <v>5.5372</v>
      </c>
      <c r="M24" s="62"/>
      <c r="N24" s="62"/>
      <c r="O24" s="68"/>
      <c r="P24" s="63">
        <f t="shared" si="8"/>
        <v>2.03</v>
      </c>
      <c r="Q24" s="64">
        <f t="shared" si="9"/>
        <v>1</v>
      </c>
      <c r="R24" s="64">
        <f t="shared" si="10"/>
        <v>2.03</v>
      </c>
      <c r="S24" s="66"/>
      <c r="T24" s="66">
        <f t="shared" ref="T24:U24" si="20">C24/100</f>
        <v>1.07</v>
      </c>
      <c r="U24" s="66">
        <f t="shared" si="20"/>
        <v>2.18</v>
      </c>
      <c r="V24" s="66">
        <f t="shared" si="12"/>
        <v>2.03</v>
      </c>
      <c r="W24" s="67">
        <f t="shared" si="13"/>
        <v>4.735178</v>
      </c>
      <c r="X24" s="66"/>
      <c r="Y24" s="66"/>
      <c r="Z24" s="62"/>
    </row>
    <row r="25" ht="24.0" customHeight="1">
      <c r="A25" s="57">
        <v>7.0</v>
      </c>
      <c r="B25" s="59" t="s">
        <v>23</v>
      </c>
      <c r="C25" s="59">
        <v>109.0</v>
      </c>
      <c r="D25" s="59">
        <v>218.0</v>
      </c>
      <c r="E25" s="59">
        <v>186.0</v>
      </c>
      <c r="F25" s="60">
        <v>88.42</v>
      </c>
      <c r="G25" s="59">
        <v>1.0</v>
      </c>
      <c r="H25" s="61">
        <f t="shared" si="4"/>
        <v>88.42</v>
      </c>
      <c r="I25" s="62"/>
      <c r="J25" s="63">
        <f t="shared" si="17"/>
        <v>5.5372</v>
      </c>
      <c r="K25" s="64">
        <f t="shared" si="18"/>
        <v>1</v>
      </c>
      <c r="L25" s="64">
        <f t="shared" si="19"/>
        <v>5.5372</v>
      </c>
      <c r="M25" s="62"/>
      <c r="N25" s="62"/>
      <c r="O25" s="65"/>
      <c r="P25" s="69">
        <f t="shared" si="8"/>
        <v>1.86</v>
      </c>
      <c r="Q25" s="64">
        <f t="shared" si="9"/>
        <v>1</v>
      </c>
      <c r="R25" s="64">
        <f t="shared" si="10"/>
        <v>1.86</v>
      </c>
      <c r="S25" s="66"/>
      <c r="T25" s="66">
        <f t="shared" ref="T25:U25" si="21">C25/100</f>
        <v>1.09</v>
      </c>
      <c r="U25" s="66">
        <f t="shared" si="21"/>
        <v>2.18</v>
      </c>
      <c r="V25" s="66">
        <f t="shared" si="12"/>
        <v>1.86</v>
      </c>
      <c r="W25" s="67">
        <f t="shared" si="13"/>
        <v>4.419732</v>
      </c>
      <c r="X25" s="66"/>
      <c r="Y25" s="66"/>
      <c r="Z25" s="62"/>
    </row>
    <row r="26" ht="24.0" customHeight="1">
      <c r="A26" s="57">
        <v>8.0</v>
      </c>
      <c r="B26" s="59" t="s">
        <v>23</v>
      </c>
      <c r="C26" s="59">
        <v>109.0</v>
      </c>
      <c r="D26" s="59">
        <v>218.0</v>
      </c>
      <c r="E26" s="59">
        <v>206.0</v>
      </c>
      <c r="F26" s="60">
        <v>97.92</v>
      </c>
      <c r="G26" s="59">
        <v>1.0</v>
      </c>
      <c r="H26" s="61">
        <f t="shared" si="4"/>
        <v>97.92</v>
      </c>
      <c r="I26" s="62"/>
      <c r="J26" s="63">
        <f t="shared" si="17"/>
        <v>5.5372</v>
      </c>
      <c r="K26" s="64">
        <f t="shared" si="18"/>
        <v>1</v>
      </c>
      <c r="L26" s="64">
        <f t="shared" si="19"/>
        <v>5.5372</v>
      </c>
      <c r="M26" s="62"/>
      <c r="N26" s="62"/>
      <c r="O26" s="70"/>
      <c r="P26" s="63">
        <f t="shared" si="8"/>
        <v>2.06</v>
      </c>
      <c r="Q26" s="64">
        <f t="shared" si="9"/>
        <v>1</v>
      </c>
      <c r="R26" s="64">
        <f t="shared" si="10"/>
        <v>2.06</v>
      </c>
      <c r="S26" s="66"/>
      <c r="T26" s="66">
        <f t="shared" ref="T26:U26" si="22">C26/100</f>
        <v>1.09</v>
      </c>
      <c r="U26" s="66">
        <f t="shared" si="22"/>
        <v>2.18</v>
      </c>
      <c r="V26" s="66">
        <f t="shared" si="12"/>
        <v>2.06</v>
      </c>
      <c r="W26" s="67">
        <f t="shared" si="13"/>
        <v>4.894972</v>
      </c>
      <c r="X26" s="66"/>
      <c r="Y26" s="66"/>
      <c r="Z26" s="62"/>
    </row>
    <row r="27" ht="24.0" customHeight="1">
      <c r="A27" s="57">
        <v>9.0</v>
      </c>
      <c r="B27" s="59" t="s">
        <v>23</v>
      </c>
      <c r="C27" s="59">
        <v>108.0</v>
      </c>
      <c r="D27" s="59">
        <v>218.0</v>
      </c>
      <c r="E27" s="59">
        <v>186.0</v>
      </c>
      <c r="F27" s="60">
        <v>87.6</v>
      </c>
      <c r="G27" s="59">
        <v>1.0</v>
      </c>
      <c r="H27" s="61">
        <f t="shared" si="4"/>
        <v>87.6</v>
      </c>
      <c r="I27" s="62"/>
      <c r="J27" s="63">
        <f t="shared" si="17"/>
        <v>5.5372</v>
      </c>
      <c r="K27" s="64">
        <f t="shared" si="18"/>
        <v>1</v>
      </c>
      <c r="L27" s="64">
        <f t="shared" si="19"/>
        <v>5.5372</v>
      </c>
      <c r="M27" s="62"/>
      <c r="N27" s="62"/>
      <c r="O27" s="62"/>
      <c r="P27" s="63">
        <f t="shared" si="8"/>
        <v>1.86</v>
      </c>
      <c r="Q27" s="64">
        <f t="shared" si="9"/>
        <v>1</v>
      </c>
      <c r="R27" s="64">
        <f t="shared" si="10"/>
        <v>1.86</v>
      </c>
      <c r="S27" s="66"/>
      <c r="T27" s="66">
        <f t="shared" ref="T27:U27" si="23">C27/100</f>
        <v>1.08</v>
      </c>
      <c r="U27" s="66">
        <f t="shared" si="23"/>
        <v>2.18</v>
      </c>
      <c r="V27" s="66">
        <f t="shared" si="12"/>
        <v>1.86</v>
      </c>
      <c r="W27" s="67">
        <f t="shared" si="13"/>
        <v>4.379184</v>
      </c>
      <c r="X27" s="66"/>
      <c r="Y27" s="66"/>
      <c r="Z27" s="62"/>
    </row>
    <row r="28" ht="24.0" customHeight="1">
      <c r="A28" s="57">
        <v>10.0</v>
      </c>
      <c r="B28" s="59" t="s">
        <v>23</v>
      </c>
      <c r="C28" s="59">
        <v>109.0</v>
      </c>
      <c r="D28" s="59">
        <v>218.0</v>
      </c>
      <c r="E28" s="59">
        <v>197.0</v>
      </c>
      <c r="F28" s="60">
        <v>93.64</v>
      </c>
      <c r="G28" s="59">
        <v>6.0</v>
      </c>
      <c r="H28" s="61">
        <f t="shared" si="4"/>
        <v>561.84</v>
      </c>
      <c r="I28" s="62"/>
      <c r="J28" s="63">
        <f t="shared" si="17"/>
        <v>5.5372</v>
      </c>
      <c r="K28" s="64">
        <f t="shared" si="18"/>
        <v>6</v>
      </c>
      <c r="L28" s="64">
        <f t="shared" si="19"/>
        <v>33.2232</v>
      </c>
      <c r="M28" s="62"/>
      <c r="N28" s="62"/>
      <c r="O28" s="62"/>
      <c r="P28" s="63">
        <f t="shared" si="8"/>
        <v>1.97</v>
      </c>
      <c r="Q28" s="64">
        <f t="shared" si="9"/>
        <v>6</v>
      </c>
      <c r="R28" s="64">
        <f t="shared" si="10"/>
        <v>11.82</v>
      </c>
      <c r="S28" s="66"/>
      <c r="T28" s="66">
        <f t="shared" ref="T28:U28" si="24">C28/100</f>
        <v>1.09</v>
      </c>
      <c r="U28" s="66">
        <f t="shared" si="24"/>
        <v>2.18</v>
      </c>
      <c r="V28" s="66">
        <f t="shared" si="12"/>
        <v>11.82</v>
      </c>
      <c r="W28" s="67">
        <f t="shared" si="13"/>
        <v>28.086684</v>
      </c>
      <c r="X28" s="66"/>
      <c r="Y28" s="66"/>
      <c r="Z28" s="62"/>
    </row>
    <row r="29" ht="24.0" customHeight="1">
      <c r="A29" s="57">
        <v>11.0</v>
      </c>
      <c r="B29" s="59" t="s">
        <v>23</v>
      </c>
      <c r="C29" s="59">
        <v>111.0</v>
      </c>
      <c r="D29" s="59">
        <v>218.0</v>
      </c>
      <c r="E29" s="59">
        <v>197.0</v>
      </c>
      <c r="F29" s="60">
        <v>95.36</v>
      </c>
      <c r="G29" s="59">
        <v>1.0</v>
      </c>
      <c r="H29" s="61">
        <f t="shared" si="4"/>
        <v>95.36</v>
      </c>
      <c r="I29" s="62"/>
      <c r="J29" s="63">
        <f t="shared" si="17"/>
        <v>5.5372</v>
      </c>
      <c r="K29" s="64">
        <f t="shared" si="18"/>
        <v>1</v>
      </c>
      <c r="L29" s="64">
        <f t="shared" si="19"/>
        <v>5.5372</v>
      </c>
      <c r="M29" s="62"/>
      <c r="N29" s="62"/>
      <c r="O29" s="62"/>
      <c r="P29" s="63">
        <f t="shared" si="8"/>
        <v>1.97</v>
      </c>
      <c r="Q29" s="64">
        <f t="shared" si="9"/>
        <v>1</v>
      </c>
      <c r="R29" s="64">
        <f t="shared" si="10"/>
        <v>1.97</v>
      </c>
      <c r="S29" s="66"/>
      <c r="T29" s="66">
        <f t="shared" ref="T29:U29" si="25">C29/100</f>
        <v>1.11</v>
      </c>
      <c r="U29" s="66">
        <f t="shared" si="25"/>
        <v>2.18</v>
      </c>
      <c r="V29" s="66">
        <f t="shared" si="12"/>
        <v>1.97</v>
      </c>
      <c r="W29" s="67">
        <f t="shared" si="13"/>
        <v>4.767006</v>
      </c>
      <c r="X29" s="66"/>
      <c r="Y29" s="66"/>
      <c r="Z29" s="62"/>
    </row>
    <row r="30" ht="24.0" customHeight="1">
      <c r="A30" s="57">
        <v>12.0</v>
      </c>
      <c r="B30" s="59" t="s">
        <v>23</v>
      </c>
      <c r="C30" s="59">
        <v>92.0</v>
      </c>
      <c r="D30" s="59">
        <v>218.0</v>
      </c>
      <c r="E30" s="59">
        <v>133.0</v>
      </c>
      <c r="F30" s="60">
        <v>53.36</v>
      </c>
      <c r="G30" s="59">
        <v>1.0</v>
      </c>
      <c r="H30" s="61">
        <f t="shared" si="4"/>
        <v>53.36</v>
      </c>
      <c r="I30" s="62"/>
      <c r="J30" s="63">
        <f t="shared" si="17"/>
        <v>5.5372</v>
      </c>
      <c r="K30" s="64">
        <f t="shared" si="18"/>
        <v>1</v>
      </c>
      <c r="L30" s="64">
        <f t="shared" si="19"/>
        <v>5.5372</v>
      </c>
      <c r="M30" s="62"/>
      <c r="N30" s="62"/>
      <c r="O30" s="62"/>
      <c r="P30" s="63">
        <f t="shared" si="8"/>
        <v>1.33</v>
      </c>
      <c r="Q30" s="64">
        <f t="shared" si="9"/>
        <v>1</v>
      </c>
      <c r="R30" s="64">
        <f t="shared" si="10"/>
        <v>1.33</v>
      </c>
      <c r="S30" s="66"/>
      <c r="T30" s="66">
        <f t="shared" ref="T30:U30" si="26">C30/100</f>
        <v>0.92</v>
      </c>
      <c r="U30" s="66">
        <f t="shared" si="26"/>
        <v>2.18</v>
      </c>
      <c r="V30" s="66">
        <f t="shared" si="12"/>
        <v>1.33</v>
      </c>
      <c r="W30" s="67">
        <f t="shared" si="13"/>
        <v>2.667448</v>
      </c>
      <c r="X30" s="66"/>
      <c r="Y30" s="66"/>
      <c r="Z30" s="62"/>
    </row>
    <row r="31" ht="24.0" customHeight="1">
      <c r="A31" s="57">
        <v>13.0</v>
      </c>
      <c r="B31" s="59" t="s">
        <v>23</v>
      </c>
      <c r="C31" s="59">
        <v>108.0</v>
      </c>
      <c r="D31" s="59">
        <v>218.0</v>
      </c>
      <c r="E31" s="59">
        <v>197.0</v>
      </c>
      <c r="F31" s="60">
        <v>92.79</v>
      </c>
      <c r="G31" s="59">
        <v>2.0</v>
      </c>
      <c r="H31" s="61">
        <f t="shared" si="4"/>
        <v>185.58</v>
      </c>
      <c r="I31" s="62"/>
      <c r="J31" s="63">
        <f t="shared" si="17"/>
        <v>5.5372</v>
      </c>
      <c r="K31" s="64">
        <f t="shared" si="18"/>
        <v>2</v>
      </c>
      <c r="L31" s="64">
        <f t="shared" si="19"/>
        <v>11.0744</v>
      </c>
      <c r="M31" s="62"/>
      <c r="N31" s="62"/>
      <c r="O31" s="62"/>
      <c r="P31" s="63">
        <f t="shared" si="8"/>
        <v>1.97</v>
      </c>
      <c r="Q31" s="64">
        <f t="shared" si="9"/>
        <v>2</v>
      </c>
      <c r="R31" s="64">
        <f t="shared" si="10"/>
        <v>3.94</v>
      </c>
      <c r="S31" s="66"/>
      <c r="T31" s="66">
        <f t="shared" ref="T31:U31" si="27">C31/100</f>
        <v>1.08</v>
      </c>
      <c r="U31" s="66">
        <f t="shared" si="27"/>
        <v>2.18</v>
      </c>
      <c r="V31" s="66">
        <f t="shared" si="12"/>
        <v>3.94</v>
      </c>
      <c r="W31" s="67">
        <f t="shared" si="13"/>
        <v>9.276336</v>
      </c>
      <c r="X31" s="66"/>
      <c r="Y31" s="66"/>
      <c r="Z31" s="62"/>
    </row>
    <row r="32" ht="24.0" customHeight="1">
      <c r="A32" s="57">
        <v>14.0</v>
      </c>
      <c r="B32" s="59" t="s">
        <v>23</v>
      </c>
      <c r="C32" s="59">
        <v>105.0</v>
      </c>
      <c r="D32" s="59">
        <v>218.0</v>
      </c>
      <c r="E32" s="59">
        <v>197.0</v>
      </c>
      <c r="F32" s="60">
        <v>90.21</v>
      </c>
      <c r="G32" s="59">
        <v>1.0</v>
      </c>
      <c r="H32" s="61">
        <f t="shared" si="4"/>
        <v>90.21</v>
      </c>
      <c r="I32" s="62"/>
      <c r="J32" s="63">
        <f t="shared" si="17"/>
        <v>5.5372</v>
      </c>
      <c r="K32" s="64">
        <f t="shared" si="18"/>
        <v>1</v>
      </c>
      <c r="L32" s="64">
        <f t="shared" si="19"/>
        <v>5.5372</v>
      </c>
      <c r="M32" s="62"/>
      <c r="N32" s="62"/>
      <c r="O32" s="62"/>
      <c r="P32" s="63">
        <f t="shared" si="8"/>
        <v>1.97</v>
      </c>
      <c r="Q32" s="64">
        <f t="shared" si="9"/>
        <v>1</v>
      </c>
      <c r="R32" s="64">
        <f t="shared" si="10"/>
        <v>1.97</v>
      </c>
      <c r="S32" s="66"/>
      <c r="T32" s="66">
        <f t="shared" ref="T32:U32" si="28">C32/100</f>
        <v>1.05</v>
      </c>
      <c r="U32" s="66">
        <f t="shared" si="28"/>
        <v>2.18</v>
      </c>
      <c r="V32" s="66">
        <f t="shared" si="12"/>
        <v>1.97</v>
      </c>
      <c r="W32" s="67">
        <f t="shared" si="13"/>
        <v>4.50933</v>
      </c>
      <c r="X32" s="66"/>
      <c r="Y32" s="66"/>
      <c r="Z32" s="62"/>
    </row>
    <row r="33" ht="24.0" customHeight="1">
      <c r="A33" s="57">
        <v>15.0</v>
      </c>
      <c r="B33" s="59" t="s">
        <v>23</v>
      </c>
      <c r="C33" s="59">
        <v>99.0</v>
      </c>
      <c r="D33" s="59">
        <v>218.0</v>
      </c>
      <c r="E33" s="59">
        <v>196.0</v>
      </c>
      <c r="F33" s="60">
        <v>84.32</v>
      </c>
      <c r="G33" s="59">
        <v>1.0</v>
      </c>
      <c r="H33" s="61">
        <f t="shared" si="4"/>
        <v>84.32</v>
      </c>
      <c r="I33" s="62"/>
      <c r="J33" s="63">
        <f t="shared" si="17"/>
        <v>5.5372</v>
      </c>
      <c r="K33" s="64">
        <f t="shared" si="18"/>
        <v>1</v>
      </c>
      <c r="L33" s="64">
        <f t="shared" si="19"/>
        <v>5.5372</v>
      </c>
      <c r="M33" s="62"/>
      <c r="N33" s="62"/>
      <c r="O33" s="62"/>
      <c r="P33" s="63">
        <f t="shared" si="8"/>
        <v>1.96</v>
      </c>
      <c r="Q33" s="64">
        <f t="shared" si="9"/>
        <v>1</v>
      </c>
      <c r="R33" s="64">
        <f t="shared" si="10"/>
        <v>1.96</v>
      </c>
      <c r="S33" s="66"/>
      <c r="T33" s="66">
        <f t="shared" ref="T33:U33" si="29">C33/100</f>
        <v>0.99</v>
      </c>
      <c r="U33" s="66">
        <f t="shared" si="29"/>
        <v>2.18</v>
      </c>
      <c r="V33" s="66">
        <f t="shared" si="12"/>
        <v>1.96</v>
      </c>
      <c r="W33" s="67">
        <f t="shared" si="13"/>
        <v>4.230072</v>
      </c>
      <c r="X33" s="66"/>
      <c r="Y33" s="66"/>
      <c r="Z33" s="62"/>
    </row>
    <row r="34" ht="24.0" customHeight="1">
      <c r="A34" s="57">
        <v>16.0</v>
      </c>
      <c r="B34" s="59" t="s">
        <v>23</v>
      </c>
      <c r="C34" s="59">
        <v>108.0</v>
      </c>
      <c r="D34" s="59">
        <v>218.0</v>
      </c>
      <c r="E34" s="59">
        <v>196.0</v>
      </c>
      <c r="F34" s="60">
        <v>92.31</v>
      </c>
      <c r="G34" s="59">
        <v>1.0</v>
      </c>
      <c r="H34" s="61">
        <f t="shared" si="4"/>
        <v>92.31</v>
      </c>
      <c r="I34" s="62"/>
      <c r="J34" s="63">
        <f t="shared" si="17"/>
        <v>5.5372</v>
      </c>
      <c r="K34" s="64">
        <f t="shared" si="18"/>
        <v>1</v>
      </c>
      <c r="L34" s="64">
        <f t="shared" si="19"/>
        <v>5.5372</v>
      </c>
      <c r="M34" s="62"/>
      <c r="N34" s="62"/>
      <c r="O34" s="62"/>
      <c r="P34" s="63">
        <f t="shared" si="8"/>
        <v>1.96</v>
      </c>
      <c r="Q34" s="64">
        <f t="shared" si="9"/>
        <v>1</v>
      </c>
      <c r="R34" s="64">
        <f t="shared" si="10"/>
        <v>1.96</v>
      </c>
      <c r="S34" s="66"/>
      <c r="T34" s="66">
        <f t="shared" ref="T34:U34" si="30">C34/100</f>
        <v>1.08</v>
      </c>
      <c r="U34" s="66">
        <f t="shared" si="30"/>
        <v>2.18</v>
      </c>
      <c r="V34" s="66">
        <f t="shared" si="12"/>
        <v>1.96</v>
      </c>
      <c r="W34" s="67">
        <f t="shared" si="13"/>
        <v>4.614624</v>
      </c>
      <c r="X34" s="66"/>
      <c r="Y34" s="66"/>
      <c r="Z34" s="62"/>
    </row>
    <row r="35" ht="24.0" customHeight="1">
      <c r="A35" s="57">
        <v>17.0</v>
      </c>
      <c r="B35" s="59" t="s">
        <v>23</v>
      </c>
      <c r="C35" s="59">
        <v>81.0</v>
      </c>
      <c r="D35" s="59">
        <v>218.0</v>
      </c>
      <c r="E35" s="59">
        <v>176.0</v>
      </c>
      <c r="F35" s="60">
        <v>62.17</v>
      </c>
      <c r="G35" s="59">
        <v>1.0</v>
      </c>
      <c r="H35" s="61">
        <f t="shared" si="4"/>
        <v>62.17</v>
      </c>
      <c r="I35" s="62"/>
      <c r="J35" s="63">
        <f t="shared" si="17"/>
        <v>5.5372</v>
      </c>
      <c r="K35" s="64">
        <f t="shared" si="18"/>
        <v>1</v>
      </c>
      <c r="L35" s="64">
        <f t="shared" si="19"/>
        <v>5.5372</v>
      </c>
      <c r="M35" s="62"/>
      <c r="N35" s="62"/>
      <c r="O35" s="62"/>
      <c r="P35" s="63">
        <f t="shared" si="8"/>
        <v>1.76</v>
      </c>
      <c r="Q35" s="64">
        <f t="shared" si="9"/>
        <v>1</v>
      </c>
      <c r="R35" s="64">
        <f t="shared" si="10"/>
        <v>1.76</v>
      </c>
      <c r="S35" s="66"/>
      <c r="T35" s="66">
        <f t="shared" ref="T35:U35" si="31">C35/100</f>
        <v>0.81</v>
      </c>
      <c r="U35" s="66">
        <f t="shared" si="31"/>
        <v>2.18</v>
      </c>
      <c r="V35" s="66">
        <f t="shared" si="12"/>
        <v>1.76</v>
      </c>
      <c r="W35" s="67">
        <f t="shared" si="13"/>
        <v>3.107808</v>
      </c>
      <c r="X35" s="66"/>
      <c r="Y35" s="66"/>
      <c r="Z35" s="62"/>
    </row>
    <row r="36" ht="24.0" customHeight="1">
      <c r="A36" s="57">
        <v>18.0</v>
      </c>
      <c r="B36" s="59" t="s">
        <v>23</v>
      </c>
      <c r="C36" s="59">
        <v>107.0</v>
      </c>
      <c r="D36" s="59">
        <v>218.0</v>
      </c>
      <c r="E36" s="71">
        <v>4300.0</v>
      </c>
      <c r="F36" s="72">
        <v>2006.62</v>
      </c>
      <c r="G36" s="71">
        <v>1.0</v>
      </c>
      <c r="H36" s="73">
        <f t="shared" si="4"/>
        <v>2006.62</v>
      </c>
      <c r="I36" s="62"/>
      <c r="J36" s="63">
        <f t="shared" si="17"/>
        <v>5.5372</v>
      </c>
      <c r="K36" s="64">
        <f t="shared" si="18"/>
        <v>1</v>
      </c>
      <c r="L36" s="64">
        <f t="shared" si="19"/>
        <v>5.5372</v>
      </c>
      <c r="M36" s="62"/>
      <c r="N36" s="62"/>
      <c r="O36" s="62"/>
      <c r="P36" s="63">
        <f t="shared" si="8"/>
        <v>43</v>
      </c>
      <c r="Q36" s="64">
        <f t="shared" si="9"/>
        <v>1</v>
      </c>
      <c r="R36" s="64">
        <f t="shared" si="10"/>
        <v>43</v>
      </c>
      <c r="S36" s="66"/>
      <c r="T36" s="66">
        <f t="shared" ref="T36:U36" si="32">C36/100</f>
        <v>1.07</v>
      </c>
      <c r="U36" s="66">
        <f t="shared" si="32"/>
        <v>2.18</v>
      </c>
      <c r="V36" s="66">
        <f t="shared" si="12"/>
        <v>43</v>
      </c>
      <c r="W36" s="67">
        <f t="shared" si="13"/>
        <v>100.3018</v>
      </c>
      <c r="X36" s="66"/>
      <c r="Y36" s="66"/>
      <c r="Z36" s="62"/>
    </row>
    <row r="37" ht="24.0" customHeight="1">
      <c r="A37" s="57">
        <v>19.0</v>
      </c>
      <c r="B37" s="58" t="s">
        <v>24</v>
      </c>
      <c r="C37" s="59">
        <v>100.0</v>
      </c>
      <c r="D37" s="59">
        <v>208.0</v>
      </c>
      <c r="E37" s="59">
        <v>213.0</v>
      </c>
      <c r="F37" s="60">
        <v>110.75</v>
      </c>
      <c r="G37" s="59">
        <v>1.0</v>
      </c>
      <c r="H37" s="61">
        <f t="shared" si="4"/>
        <v>110.75</v>
      </c>
      <c r="I37" s="62"/>
      <c r="J37" s="63">
        <f t="shared" si="17"/>
        <v>5.2832</v>
      </c>
      <c r="K37" s="64">
        <f t="shared" si="18"/>
        <v>1</v>
      </c>
      <c r="L37" s="64">
        <f t="shared" si="19"/>
        <v>5.2832</v>
      </c>
      <c r="M37" s="62"/>
      <c r="N37" s="62"/>
      <c r="O37" s="62"/>
      <c r="P37" s="63">
        <f t="shared" si="8"/>
        <v>2.13</v>
      </c>
      <c r="Q37" s="64">
        <f t="shared" si="9"/>
        <v>1</v>
      </c>
      <c r="R37" s="64">
        <f t="shared" si="10"/>
        <v>2.13</v>
      </c>
      <c r="S37" s="66"/>
      <c r="T37" s="66">
        <f t="shared" ref="T37:U37" si="33">C37/100</f>
        <v>1</v>
      </c>
      <c r="U37" s="66">
        <f t="shared" si="33"/>
        <v>2.08</v>
      </c>
      <c r="V37" s="66">
        <f t="shared" si="12"/>
        <v>2.13</v>
      </c>
      <c r="W37" s="67">
        <f t="shared" si="13"/>
        <v>4.4304</v>
      </c>
      <c r="X37" s="66"/>
      <c r="Y37" s="66"/>
      <c r="Z37" s="62"/>
    </row>
    <row r="38" ht="24.0" customHeight="1">
      <c r="A38" s="57">
        <v>20.0</v>
      </c>
      <c r="B38" s="59" t="s">
        <v>24</v>
      </c>
      <c r="C38" s="59">
        <v>101.0</v>
      </c>
      <c r="D38" s="59">
        <v>208.0</v>
      </c>
      <c r="E38" s="59">
        <v>214.0</v>
      </c>
      <c r="F38" s="60">
        <v>112.38</v>
      </c>
      <c r="G38" s="59">
        <v>1.0</v>
      </c>
      <c r="H38" s="61">
        <f t="shared" si="4"/>
        <v>112.38</v>
      </c>
      <c r="I38" s="62"/>
      <c r="J38" s="63">
        <f t="shared" si="17"/>
        <v>5.2832</v>
      </c>
      <c r="K38" s="64">
        <f t="shared" si="18"/>
        <v>1</v>
      </c>
      <c r="L38" s="64">
        <f t="shared" si="19"/>
        <v>5.2832</v>
      </c>
      <c r="M38" s="62"/>
      <c r="N38" s="62"/>
      <c r="O38" s="62"/>
      <c r="P38" s="63">
        <f t="shared" si="8"/>
        <v>2.14</v>
      </c>
      <c r="Q38" s="64">
        <f t="shared" si="9"/>
        <v>1</v>
      </c>
      <c r="R38" s="64">
        <f t="shared" si="10"/>
        <v>2.14</v>
      </c>
      <c r="S38" s="66"/>
      <c r="T38" s="66">
        <f t="shared" ref="T38:U38" si="34">C38/100</f>
        <v>1.01</v>
      </c>
      <c r="U38" s="66">
        <f t="shared" si="34"/>
        <v>2.08</v>
      </c>
      <c r="V38" s="66">
        <f t="shared" si="12"/>
        <v>2.14</v>
      </c>
      <c r="W38" s="67">
        <f t="shared" si="13"/>
        <v>4.495712</v>
      </c>
      <c r="X38" s="66"/>
      <c r="Y38" s="66"/>
      <c r="Z38" s="62"/>
    </row>
    <row r="39" ht="24.0" customHeight="1">
      <c r="A39" s="57">
        <v>21.0</v>
      </c>
      <c r="B39" s="59" t="s">
        <v>24</v>
      </c>
      <c r="C39" s="59">
        <v>102.0</v>
      </c>
      <c r="D39" s="59">
        <v>208.0</v>
      </c>
      <c r="E39" s="59">
        <v>213.0</v>
      </c>
      <c r="F39" s="60">
        <v>112.96</v>
      </c>
      <c r="G39" s="59">
        <v>1.0</v>
      </c>
      <c r="H39" s="61">
        <f t="shared" si="4"/>
        <v>112.96</v>
      </c>
      <c r="I39" s="62"/>
      <c r="J39" s="63">
        <f t="shared" si="17"/>
        <v>5.2832</v>
      </c>
      <c r="K39" s="64">
        <f t="shared" si="18"/>
        <v>1</v>
      </c>
      <c r="L39" s="64">
        <f t="shared" si="19"/>
        <v>5.2832</v>
      </c>
      <c r="M39" s="62"/>
      <c r="N39" s="62"/>
      <c r="O39" s="62"/>
      <c r="P39" s="63">
        <f t="shared" si="8"/>
        <v>2.13</v>
      </c>
      <c r="Q39" s="64">
        <f t="shared" si="9"/>
        <v>1</v>
      </c>
      <c r="R39" s="64">
        <f t="shared" si="10"/>
        <v>2.13</v>
      </c>
      <c r="S39" s="66"/>
      <c r="T39" s="66">
        <f t="shared" ref="T39:U39" si="35">C39/100</f>
        <v>1.02</v>
      </c>
      <c r="U39" s="66">
        <f t="shared" si="35"/>
        <v>2.08</v>
      </c>
      <c r="V39" s="66">
        <f t="shared" si="12"/>
        <v>2.13</v>
      </c>
      <c r="W39" s="67">
        <f t="shared" si="13"/>
        <v>4.519008</v>
      </c>
      <c r="X39" s="66"/>
      <c r="Y39" s="66"/>
      <c r="Z39" s="62"/>
    </row>
    <row r="40" ht="24.0" customHeight="1">
      <c r="A40" s="57">
        <v>22.0</v>
      </c>
      <c r="B40" s="74" t="s">
        <v>25</v>
      </c>
      <c r="C40" s="74">
        <v>83.0</v>
      </c>
      <c r="D40" s="74">
        <v>208.0</v>
      </c>
      <c r="E40" s="74">
        <v>116.0</v>
      </c>
      <c r="F40" s="75">
        <f>90%*50.06</f>
        <v>45.054</v>
      </c>
      <c r="G40" s="74">
        <v>1.0</v>
      </c>
      <c r="H40" s="76">
        <f t="shared" si="4"/>
        <v>45.054</v>
      </c>
      <c r="I40" s="62"/>
      <c r="J40" s="63">
        <f t="shared" si="17"/>
        <v>5.2832</v>
      </c>
      <c r="K40" s="64">
        <f t="shared" si="18"/>
        <v>1</v>
      </c>
      <c r="L40" s="64">
        <f t="shared" si="19"/>
        <v>5.2832</v>
      </c>
      <c r="M40" s="62"/>
      <c r="N40" s="62"/>
      <c r="O40" s="62"/>
      <c r="P40" s="63">
        <f t="shared" si="8"/>
        <v>1.16</v>
      </c>
      <c r="Q40" s="64">
        <f t="shared" si="9"/>
        <v>1</v>
      </c>
      <c r="R40" s="64">
        <f t="shared" si="10"/>
        <v>1.16</v>
      </c>
      <c r="S40" s="66"/>
      <c r="T40" s="66">
        <f t="shared" ref="T40:U40" si="36">C40/100</f>
        <v>0.83</v>
      </c>
      <c r="U40" s="66">
        <f t="shared" si="36"/>
        <v>2.08</v>
      </c>
      <c r="V40" s="66">
        <f t="shared" si="12"/>
        <v>1.16</v>
      </c>
      <c r="W40" s="67">
        <f t="shared" si="13"/>
        <v>2.002624</v>
      </c>
      <c r="X40" s="66"/>
      <c r="Y40" s="66"/>
      <c r="Z40" s="62"/>
    </row>
    <row r="41" ht="24.0" customHeight="1">
      <c r="A41" s="57">
        <v>23.0</v>
      </c>
      <c r="B41" s="59" t="s">
        <v>24</v>
      </c>
      <c r="C41" s="59">
        <v>97.0</v>
      </c>
      <c r="D41" s="59">
        <v>208.0</v>
      </c>
      <c r="E41" s="59">
        <v>184.0</v>
      </c>
      <c r="F41" s="60">
        <v>92.8</v>
      </c>
      <c r="G41" s="59">
        <v>1.0</v>
      </c>
      <c r="H41" s="61">
        <f t="shared" si="4"/>
        <v>92.8</v>
      </c>
      <c r="I41" s="62"/>
      <c r="J41" s="63">
        <f t="shared" si="17"/>
        <v>5.2832</v>
      </c>
      <c r="K41" s="64">
        <f t="shared" si="18"/>
        <v>1</v>
      </c>
      <c r="L41" s="64">
        <f t="shared" si="19"/>
        <v>5.2832</v>
      </c>
      <c r="M41" s="62"/>
      <c r="N41" s="62"/>
      <c r="O41" s="62"/>
      <c r="P41" s="63">
        <f t="shared" si="8"/>
        <v>1.84</v>
      </c>
      <c r="Q41" s="64">
        <f t="shared" si="9"/>
        <v>1</v>
      </c>
      <c r="R41" s="64">
        <f t="shared" si="10"/>
        <v>1.84</v>
      </c>
      <c r="S41" s="66"/>
      <c r="T41" s="66">
        <f t="shared" ref="T41:U41" si="37">C41/100</f>
        <v>0.97</v>
      </c>
      <c r="U41" s="66">
        <f t="shared" si="37"/>
        <v>2.08</v>
      </c>
      <c r="V41" s="66">
        <f t="shared" si="12"/>
        <v>1.84</v>
      </c>
      <c r="W41" s="67">
        <f t="shared" si="13"/>
        <v>3.712384</v>
      </c>
      <c r="X41" s="66"/>
      <c r="Y41" s="66"/>
      <c r="Z41" s="62"/>
    </row>
    <row r="42" ht="24.0" customHeight="1">
      <c r="A42" s="57">
        <v>24.0</v>
      </c>
      <c r="B42" s="59" t="s">
        <v>24</v>
      </c>
      <c r="C42" s="59">
        <v>74.0</v>
      </c>
      <c r="D42" s="59">
        <v>208.0</v>
      </c>
      <c r="E42" s="59">
        <v>183.0</v>
      </c>
      <c r="F42" s="60">
        <v>70.41</v>
      </c>
      <c r="G42" s="59">
        <v>1.0</v>
      </c>
      <c r="H42" s="61">
        <f t="shared" si="4"/>
        <v>70.41</v>
      </c>
      <c r="I42" s="62"/>
      <c r="J42" s="63">
        <f t="shared" si="17"/>
        <v>5.2832</v>
      </c>
      <c r="K42" s="64">
        <f t="shared" si="18"/>
        <v>1</v>
      </c>
      <c r="L42" s="64">
        <f t="shared" si="19"/>
        <v>5.2832</v>
      </c>
      <c r="M42" s="62"/>
      <c r="N42" s="62"/>
      <c r="O42" s="62"/>
      <c r="P42" s="63">
        <f t="shared" si="8"/>
        <v>1.83</v>
      </c>
      <c r="Q42" s="64">
        <f t="shared" si="9"/>
        <v>1</v>
      </c>
      <c r="R42" s="64">
        <f t="shared" si="10"/>
        <v>1.83</v>
      </c>
      <c r="S42" s="66"/>
      <c r="T42" s="66">
        <f t="shared" ref="T42:U42" si="38">C42/100</f>
        <v>0.74</v>
      </c>
      <c r="U42" s="66">
        <f t="shared" si="38"/>
        <v>2.08</v>
      </c>
      <c r="V42" s="66">
        <f t="shared" si="12"/>
        <v>1.83</v>
      </c>
      <c r="W42" s="67">
        <f t="shared" si="13"/>
        <v>2.816736</v>
      </c>
      <c r="X42" s="66"/>
      <c r="Y42" s="66"/>
      <c r="Z42" s="62"/>
    </row>
    <row r="43" ht="24.0" customHeight="1">
      <c r="A43" s="57">
        <v>25.0</v>
      </c>
      <c r="B43" s="59" t="s">
        <v>24</v>
      </c>
      <c r="C43" s="59">
        <v>102.0</v>
      </c>
      <c r="D43" s="59">
        <v>208.0</v>
      </c>
      <c r="E43" s="71">
        <v>4022.0</v>
      </c>
      <c r="F43" s="72">
        <v>2133.07</v>
      </c>
      <c r="G43" s="71">
        <v>1.0</v>
      </c>
      <c r="H43" s="73">
        <f t="shared" si="4"/>
        <v>2133.07</v>
      </c>
      <c r="I43" s="62"/>
      <c r="J43" s="63">
        <f t="shared" si="17"/>
        <v>5.2832</v>
      </c>
      <c r="K43" s="64">
        <f t="shared" si="18"/>
        <v>1</v>
      </c>
      <c r="L43" s="64">
        <f t="shared" si="19"/>
        <v>5.2832</v>
      </c>
      <c r="M43" s="62"/>
      <c r="N43" s="62"/>
      <c r="O43" s="62"/>
      <c r="P43" s="63">
        <f t="shared" si="8"/>
        <v>40.22</v>
      </c>
      <c r="Q43" s="64">
        <f t="shared" si="9"/>
        <v>1</v>
      </c>
      <c r="R43" s="64">
        <f t="shared" si="10"/>
        <v>40.22</v>
      </c>
      <c r="S43" s="66"/>
      <c r="T43" s="66">
        <f t="shared" ref="T43:U43" si="39">C43/100</f>
        <v>1.02</v>
      </c>
      <c r="U43" s="66">
        <f t="shared" si="39"/>
        <v>2.08</v>
      </c>
      <c r="V43" s="66">
        <f t="shared" si="12"/>
        <v>40.22</v>
      </c>
      <c r="W43" s="67">
        <f t="shared" si="13"/>
        <v>85.330752</v>
      </c>
      <c r="X43" s="66"/>
      <c r="Y43" s="66"/>
      <c r="Z43" s="62"/>
    </row>
    <row r="44" ht="24.0" customHeight="1">
      <c r="A44" s="57">
        <v>26.0</v>
      </c>
      <c r="B44" s="58" t="s">
        <v>26</v>
      </c>
      <c r="C44" s="59">
        <v>120.0</v>
      </c>
      <c r="D44" s="59">
        <v>207.0</v>
      </c>
      <c r="E44" s="59">
        <v>216.0</v>
      </c>
      <c r="F44" s="60">
        <v>96.6</v>
      </c>
      <c r="G44" s="59">
        <v>1.0</v>
      </c>
      <c r="H44" s="61">
        <f t="shared" si="4"/>
        <v>96.6</v>
      </c>
      <c r="I44" s="62"/>
      <c r="J44" s="63">
        <f t="shared" si="17"/>
        <v>5.2578</v>
      </c>
      <c r="K44" s="64">
        <f t="shared" si="18"/>
        <v>1</v>
      </c>
      <c r="L44" s="64">
        <f t="shared" si="19"/>
        <v>5.2578</v>
      </c>
      <c r="M44" s="62"/>
      <c r="N44" s="62"/>
      <c r="O44" s="62"/>
      <c r="P44" s="63">
        <f t="shared" si="8"/>
        <v>2.16</v>
      </c>
      <c r="Q44" s="64">
        <f t="shared" si="9"/>
        <v>1</v>
      </c>
      <c r="R44" s="64">
        <f t="shared" si="10"/>
        <v>2.16</v>
      </c>
      <c r="S44" s="66"/>
      <c r="T44" s="66">
        <f t="shared" ref="T44:U44" si="40">C44/100</f>
        <v>1.2</v>
      </c>
      <c r="U44" s="66">
        <f t="shared" si="40"/>
        <v>2.07</v>
      </c>
      <c r="V44" s="66">
        <f t="shared" si="12"/>
        <v>2.16</v>
      </c>
      <c r="W44" s="67">
        <f t="shared" si="13"/>
        <v>5.36544</v>
      </c>
      <c r="X44" s="66"/>
      <c r="Y44" s="66"/>
      <c r="Z44" s="62"/>
    </row>
    <row r="45" ht="24.0" customHeight="1">
      <c r="A45" s="57">
        <v>27.0</v>
      </c>
      <c r="B45" s="59" t="s">
        <v>26</v>
      </c>
      <c r="C45" s="59">
        <v>117.0</v>
      </c>
      <c r="D45" s="59">
        <v>207.0</v>
      </c>
      <c r="E45" s="59">
        <v>216.0</v>
      </c>
      <c r="F45" s="60">
        <v>94.18</v>
      </c>
      <c r="G45" s="59">
        <v>1.0</v>
      </c>
      <c r="H45" s="61">
        <f t="shared" si="4"/>
        <v>94.18</v>
      </c>
      <c r="I45" s="62"/>
      <c r="J45" s="63">
        <f t="shared" si="17"/>
        <v>5.2578</v>
      </c>
      <c r="K45" s="64">
        <f t="shared" si="18"/>
        <v>1</v>
      </c>
      <c r="L45" s="64">
        <f t="shared" si="19"/>
        <v>5.2578</v>
      </c>
      <c r="M45" s="62"/>
      <c r="N45" s="62"/>
      <c r="O45" s="62"/>
      <c r="P45" s="63">
        <f t="shared" si="8"/>
        <v>2.16</v>
      </c>
      <c r="Q45" s="64">
        <f t="shared" si="9"/>
        <v>1</v>
      </c>
      <c r="R45" s="64">
        <f t="shared" si="10"/>
        <v>2.16</v>
      </c>
      <c r="S45" s="66"/>
      <c r="T45" s="66">
        <f t="shared" ref="T45:U45" si="41">C45/100</f>
        <v>1.17</v>
      </c>
      <c r="U45" s="66">
        <f t="shared" si="41"/>
        <v>2.07</v>
      </c>
      <c r="V45" s="66">
        <f t="shared" si="12"/>
        <v>2.16</v>
      </c>
      <c r="W45" s="67">
        <f t="shared" si="13"/>
        <v>5.231304</v>
      </c>
      <c r="X45" s="66"/>
      <c r="Y45" s="66"/>
      <c r="Z45" s="62"/>
    </row>
    <row r="46" ht="24.0" customHeight="1">
      <c r="A46" s="57">
        <v>28.0</v>
      </c>
      <c r="B46" s="59" t="s">
        <v>26</v>
      </c>
      <c r="C46" s="59">
        <v>120.0</v>
      </c>
      <c r="D46" s="59">
        <v>207.0</v>
      </c>
      <c r="E46" s="59">
        <v>147.0</v>
      </c>
      <c r="F46" s="60">
        <v>65.74</v>
      </c>
      <c r="G46" s="59">
        <v>1.0</v>
      </c>
      <c r="H46" s="61">
        <f t="shared" si="4"/>
        <v>65.74</v>
      </c>
      <c r="I46" s="62"/>
      <c r="J46" s="63">
        <f t="shared" si="17"/>
        <v>5.2578</v>
      </c>
      <c r="K46" s="64">
        <f t="shared" si="18"/>
        <v>1</v>
      </c>
      <c r="L46" s="64">
        <f t="shared" si="19"/>
        <v>5.2578</v>
      </c>
      <c r="M46" s="62"/>
      <c r="N46" s="62"/>
      <c r="O46" s="62"/>
      <c r="P46" s="63">
        <f t="shared" si="8"/>
        <v>1.47</v>
      </c>
      <c r="Q46" s="64">
        <f t="shared" si="9"/>
        <v>1</v>
      </c>
      <c r="R46" s="64">
        <f t="shared" si="10"/>
        <v>1.47</v>
      </c>
      <c r="S46" s="66"/>
      <c r="T46" s="66">
        <f t="shared" ref="T46:U46" si="42">C46/100</f>
        <v>1.2</v>
      </c>
      <c r="U46" s="66">
        <f t="shared" si="42"/>
        <v>2.07</v>
      </c>
      <c r="V46" s="66">
        <f t="shared" si="12"/>
        <v>1.47</v>
      </c>
      <c r="W46" s="67">
        <f t="shared" si="13"/>
        <v>3.65148</v>
      </c>
      <c r="X46" s="66"/>
      <c r="Y46" s="66"/>
      <c r="Z46" s="62"/>
    </row>
    <row r="47" ht="24.0" customHeight="1">
      <c r="A47" s="57">
        <v>29.0</v>
      </c>
      <c r="B47" s="59" t="s">
        <v>26</v>
      </c>
      <c r="C47" s="59">
        <v>119.0</v>
      </c>
      <c r="D47" s="59">
        <v>207.0</v>
      </c>
      <c r="E47" s="59">
        <v>178.0</v>
      </c>
      <c r="F47" s="60">
        <v>78.94</v>
      </c>
      <c r="G47" s="59">
        <v>1.0</v>
      </c>
      <c r="H47" s="61">
        <f t="shared" si="4"/>
        <v>78.94</v>
      </c>
      <c r="I47" s="62"/>
      <c r="J47" s="63">
        <f t="shared" si="17"/>
        <v>5.2578</v>
      </c>
      <c r="K47" s="64">
        <f t="shared" si="18"/>
        <v>1</v>
      </c>
      <c r="L47" s="64">
        <f t="shared" si="19"/>
        <v>5.2578</v>
      </c>
      <c r="M47" s="62"/>
      <c r="N47" s="62"/>
      <c r="O47" s="62"/>
      <c r="P47" s="63">
        <f t="shared" si="8"/>
        <v>1.78</v>
      </c>
      <c r="Q47" s="64">
        <f t="shared" si="9"/>
        <v>1</v>
      </c>
      <c r="R47" s="64">
        <f t="shared" si="10"/>
        <v>1.78</v>
      </c>
      <c r="S47" s="66"/>
      <c r="T47" s="66">
        <f t="shared" ref="T47:U47" si="43">C47/100</f>
        <v>1.19</v>
      </c>
      <c r="U47" s="66">
        <f t="shared" si="43"/>
        <v>2.07</v>
      </c>
      <c r="V47" s="66">
        <f t="shared" si="12"/>
        <v>1.78</v>
      </c>
      <c r="W47" s="67">
        <f t="shared" si="13"/>
        <v>4.384674</v>
      </c>
      <c r="X47" s="66"/>
      <c r="Y47" s="66"/>
      <c r="Z47" s="62"/>
    </row>
    <row r="48" ht="24.0" customHeight="1">
      <c r="A48" s="57">
        <v>30.0</v>
      </c>
      <c r="B48" s="59" t="s">
        <v>26</v>
      </c>
      <c r="C48" s="59">
        <v>123.0</v>
      </c>
      <c r="D48" s="59">
        <v>207.0</v>
      </c>
      <c r="E48" s="59">
        <v>147.0</v>
      </c>
      <c r="F48" s="60">
        <v>67.38</v>
      </c>
      <c r="G48" s="59">
        <v>1.0</v>
      </c>
      <c r="H48" s="61">
        <f t="shared" si="4"/>
        <v>67.38</v>
      </c>
      <c r="I48" s="62"/>
      <c r="J48" s="63">
        <f t="shared" si="17"/>
        <v>5.2578</v>
      </c>
      <c r="K48" s="64">
        <f t="shared" si="18"/>
        <v>1</v>
      </c>
      <c r="L48" s="64">
        <f t="shared" si="19"/>
        <v>5.2578</v>
      </c>
      <c r="M48" s="62"/>
      <c r="N48" s="62"/>
      <c r="O48" s="62"/>
      <c r="P48" s="63">
        <f t="shared" si="8"/>
        <v>1.47</v>
      </c>
      <c r="Q48" s="64">
        <f t="shared" si="9"/>
        <v>1</v>
      </c>
      <c r="R48" s="64">
        <f t="shared" si="10"/>
        <v>1.47</v>
      </c>
      <c r="S48" s="66"/>
      <c r="T48" s="66">
        <f t="shared" ref="T48:U48" si="44">C48/100</f>
        <v>1.23</v>
      </c>
      <c r="U48" s="66">
        <f t="shared" si="44"/>
        <v>2.07</v>
      </c>
      <c r="V48" s="66">
        <f t="shared" si="12"/>
        <v>1.47</v>
      </c>
      <c r="W48" s="67">
        <f t="shared" si="13"/>
        <v>3.742767</v>
      </c>
      <c r="X48" s="66"/>
      <c r="Y48" s="66"/>
      <c r="Z48" s="62"/>
    </row>
    <row r="49" ht="24.0" customHeight="1">
      <c r="A49" s="57">
        <v>31.0</v>
      </c>
      <c r="B49" s="74" t="s">
        <v>27</v>
      </c>
      <c r="C49" s="74">
        <v>99.0</v>
      </c>
      <c r="D49" s="74">
        <v>207.0</v>
      </c>
      <c r="E49" s="74">
        <v>179.0</v>
      </c>
      <c r="F49" s="75">
        <f>90%*66.04</f>
        <v>59.436</v>
      </c>
      <c r="G49" s="74">
        <v>1.0</v>
      </c>
      <c r="H49" s="76">
        <f t="shared" si="4"/>
        <v>59.436</v>
      </c>
      <c r="I49" s="62"/>
      <c r="J49" s="63"/>
      <c r="K49" s="64">
        <f t="shared" si="18"/>
        <v>1</v>
      </c>
      <c r="L49" s="64"/>
      <c r="M49" s="62"/>
      <c r="N49" s="62"/>
      <c r="O49" s="62"/>
      <c r="P49" s="63">
        <f t="shared" si="8"/>
        <v>1.79</v>
      </c>
      <c r="Q49" s="64">
        <f t="shared" si="9"/>
        <v>1</v>
      </c>
      <c r="R49" s="64">
        <f t="shared" si="10"/>
        <v>1.79</v>
      </c>
      <c r="S49" s="66"/>
      <c r="T49" s="66">
        <f t="shared" ref="T49:U49" si="45">C49/100</f>
        <v>0.99</v>
      </c>
      <c r="U49" s="66">
        <f t="shared" si="45"/>
        <v>2.07</v>
      </c>
      <c r="V49" s="66">
        <f t="shared" si="12"/>
        <v>1.79</v>
      </c>
      <c r="W49" s="67">
        <f t="shared" si="13"/>
        <v>3.668247</v>
      </c>
      <c r="X49" s="66"/>
      <c r="Y49" s="66"/>
      <c r="Z49" s="62"/>
    </row>
    <row r="50" ht="24.0" customHeight="1">
      <c r="A50" s="57">
        <v>32.0</v>
      </c>
      <c r="B50" s="59" t="s">
        <v>26</v>
      </c>
      <c r="C50" s="59">
        <v>123.0</v>
      </c>
      <c r="D50" s="59">
        <v>207.0</v>
      </c>
      <c r="E50" s="59">
        <v>145.0</v>
      </c>
      <c r="F50" s="60">
        <v>66.46</v>
      </c>
      <c r="G50" s="59">
        <v>1.0</v>
      </c>
      <c r="H50" s="61">
        <f t="shared" si="4"/>
        <v>66.46</v>
      </c>
      <c r="I50" s="62"/>
      <c r="J50" s="63"/>
      <c r="K50" s="64">
        <f t="shared" si="18"/>
        <v>1</v>
      </c>
      <c r="L50" s="64"/>
      <c r="M50" s="62"/>
      <c r="N50" s="62"/>
      <c r="O50" s="62"/>
      <c r="P50" s="63">
        <f t="shared" si="8"/>
        <v>1.45</v>
      </c>
      <c r="Q50" s="64">
        <f t="shared" si="9"/>
        <v>1</v>
      </c>
      <c r="R50" s="64">
        <f t="shared" si="10"/>
        <v>1.45</v>
      </c>
      <c r="S50" s="66"/>
      <c r="T50" s="66">
        <f t="shared" ref="T50:T99" si="46">C50/100</f>
        <v>1.23</v>
      </c>
      <c r="U50" s="66"/>
      <c r="V50" s="66">
        <f t="shared" si="12"/>
        <v>1.45</v>
      </c>
      <c r="W50" s="67"/>
      <c r="X50" s="66"/>
      <c r="Y50" s="66"/>
      <c r="Z50" s="62"/>
    </row>
    <row r="51" ht="24.0" customHeight="1">
      <c r="A51" s="57">
        <v>33.0</v>
      </c>
      <c r="B51" s="59" t="s">
        <v>26</v>
      </c>
      <c r="C51" s="59">
        <v>76.0</v>
      </c>
      <c r="D51" s="59">
        <v>207.0</v>
      </c>
      <c r="E51" s="59">
        <v>148.0</v>
      </c>
      <c r="F51" s="60">
        <v>41.91</v>
      </c>
      <c r="G51" s="59">
        <v>1.0</v>
      </c>
      <c r="H51" s="61">
        <f t="shared" si="4"/>
        <v>41.91</v>
      </c>
      <c r="I51" s="62"/>
      <c r="J51" s="63"/>
      <c r="K51" s="64">
        <f t="shared" si="18"/>
        <v>1</v>
      </c>
      <c r="L51" s="64"/>
      <c r="M51" s="62"/>
      <c r="N51" s="62"/>
      <c r="O51" s="62"/>
      <c r="P51" s="63">
        <f t="shared" si="8"/>
        <v>1.48</v>
      </c>
      <c r="Q51" s="64">
        <f t="shared" si="9"/>
        <v>1</v>
      </c>
      <c r="R51" s="64">
        <f t="shared" si="10"/>
        <v>1.48</v>
      </c>
      <c r="S51" s="66"/>
      <c r="T51" s="66">
        <f t="shared" si="46"/>
        <v>0.76</v>
      </c>
      <c r="U51" s="66"/>
      <c r="V51" s="66">
        <f t="shared" si="12"/>
        <v>1.48</v>
      </c>
      <c r="W51" s="67"/>
      <c r="X51" s="66"/>
      <c r="Y51" s="66"/>
      <c r="Z51" s="62"/>
    </row>
    <row r="52" ht="24.0" customHeight="1">
      <c r="A52" s="57">
        <v>34.0</v>
      </c>
      <c r="B52" s="59" t="s">
        <v>26</v>
      </c>
      <c r="C52" s="59">
        <v>117.0</v>
      </c>
      <c r="D52" s="59">
        <v>207.0</v>
      </c>
      <c r="E52" s="59">
        <v>163.0</v>
      </c>
      <c r="F52" s="60">
        <v>71.07</v>
      </c>
      <c r="G52" s="59">
        <v>1.0</v>
      </c>
      <c r="H52" s="61">
        <f t="shared" si="4"/>
        <v>71.07</v>
      </c>
      <c r="I52" s="62"/>
      <c r="J52" s="63"/>
      <c r="K52" s="64">
        <f t="shared" si="18"/>
        <v>1</v>
      </c>
      <c r="L52" s="64"/>
      <c r="M52" s="62"/>
      <c r="N52" s="62"/>
      <c r="O52" s="62"/>
      <c r="P52" s="63">
        <f t="shared" si="8"/>
        <v>1.63</v>
      </c>
      <c r="Q52" s="64">
        <f t="shared" si="9"/>
        <v>1</v>
      </c>
      <c r="R52" s="64">
        <f t="shared" si="10"/>
        <v>1.63</v>
      </c>
      <c r="S52" s="66"/>
      <c r="T52" s="66">
        <f t="shared" si="46"/>
        <v>1.17</v>
      </c>
      <c r="U52" s="66"/>
      <c r="V52" s="66">
        <f t="shared" si="12"/>
        <v>1.63</v>
      </c>
      <c r="W52" s="67"/>
      <c r="X52" s="66"/>
      <c r="Y52" s="66"/>
      <c r="Z52" s="62"/>
    </row>
    <row r="53" ht="24.0" customHeight="1">
      <c r="A53" s="57">
        <v>35.0</v>
      </c>
      <c r="B53" s="59" t="s">
        <v>26</v>
      </c>
      <c r="C53" s="59">
        <v>115.0</v>
      </c>
      <c r="D53" s="59">
        <v>207.0</v>
      </c>
      <c r="E53" s="59">
        <v>177.0</v>
      </c>
      <c r="F53" s="60">
        <v>75.86</v>
      </c>
      <c r="G53" s="59">
        <v>1.0</v>
      </c>
      <c r="H53" s="61">
        <f t="shared" si="4"/>
        <v>75.86</v>
      </c>
      <c r="I53" s="62"/>
      <c r="J53" s="63"/>
      <c r="K53" s="64">
        <f t="shared" si="18"/>
        <v>1</v>
      </c>
      <c r="L53" s="64"/>
      <c r="M53" s="62"/>
      <c r="N53" s="62"/>
      <c r="O53" s="62"/>
      <c r="P53" s="63">
        <f t="shared" si="8"/>
        <v>1.77</v>
      </c>
      <c r="Q53" s="64">
        <f t="shared" si="9"/>
        <v>1</v>
      </c>
      <c r="R53" s="64">
        <f t="shared" si="10"/>
        <v>1.77</v>
      </c>
      <c r="S53" s="66"/>
      <c r="T53" s="66">
        <f t="shared" si="46"/>
        <v>1.15</v>
      </c>
      <c r="U53" s="66"/>
      <c r="V53" s="66">
        <f t="shared" si="12"/>
        <v>1.77</v>
      </c>
      <c r="W53" s="67"/>
      <c r="X53" s="66"/>
      <c r="Y53" s="66"/>
      <c r="Z53" s="62"/>
    </row>
    <row r="54" ht="24.0" customHeight="1">
      <c r="A54" s="57">
        <v>36.0</v>
      </c>
      <c r="B54" s="59" t="s">
        <v>26</v>
      </c>
      <c r="C54" s="59">
        <v>114.0</v>
      </c>
      <c r="D54" s="59">
        <v>207.0</v>
      </c>
      <c r="E54" s="71">
        <v>4410.0</v>
      </c>
      <c r="F54" s="72">
        <v>1873.63</v>
      </c>
      <c r="G54" s="71">
        <v>1.0</v>
      </c>
      <c r="H54" s="73">
        <f t="shared" si="4"/>
        <v>1873.63</v>
      </c>
      <c r="I54" s="62"/>
      <c r="J54" s="63"/>
      <c r="K54" s="64">
        <f t="shared" si="18"/>
        <v>1</v>
      </c>
      <c r="L54" s="64"/>
      <c r="M54" s="62"/>
      <c r="N54" s="62"/>
      <c r="O54" s="62"/>
      <c r="P54" s="63">
        <f t="shared" si="8"/>
        <v>44.1</v>
      </c>
      <c r="Q54" s="64">
        <f t="shared" si="9"/>
        <v>1</v>
      </c>
      <c r="R54" s="64">
        <f t="shared" si="10"/>
        <v>44.1</v>
      </c>
      <c r="S54" s="66"/>
      <c r="T54" s="66">
        <f t="shared" si="46"/>
        <v>1.14</v>
      </c>
      <c r="U54" s="66"/>
      <c r="V54" s="66">
        <f t="shared" si="12"/>
        <v>44.1</v>
      </c>
      <c r="W54" s="67"/>
      <c r="X54" s="66"/>
      <c r="Y54" s="66"/>
      <c r="Z54" s="62"/>
    </row>
    <row r="55" ht="24.0" customHeight="1">
      <c r="A55" s="57">
        <v>37.0</v>
      </c>
      <c r="B55" s="58" t="s">
        <v>28</v>
      </c>
      <c r="C55" s="59">
        <v>83.0</v>
      </c>
      <c r="D55" s="59">
        <v>204.0</v>
      </c>
      <c r="E55" s="59">
        <v>166.0</v>
      </c>
      <c r="F55" s="60">
        <v>70.25</v>
      </c>
      <c r="G55" s="59">
        <v>1.0</v>
      </c>
      <c r="H55" s="61">
        <f t="shared" si="4"/>
        <v>70.25</v>
      </c>
      <c r="I55" s="62"/>
      <c r="J55" s="63"/>
      <c r="K55" s="64">
        <f t="shared" si="18"/>
        <v>1</v>
      </c>
      <c r="L55" s="64"/>
      <c r="M55" s="62"/>
      <c r="N55" s="62"/>
      <c r="O55" s="62"/>
      <c r="P55" s="63">
        <f t="shared" si="8"/>
        <v>1.66</v>
      </c>
      <c r="Q55" s="64">
        <f t="shared" si="9"/>
        <v>1</v>
      </c>
      <c r="R55" s="64">
        <f t="shared" si="10"/>
        <v>1.66</v>
      </c>
      <c r="S55" s="66"/>
      <c r="T55" s="66">
        <f t="shared" si="46"/>
        <v>0.83</v>
      </c>
      <c r="U55" s="66"/>
      <c r="V55" s="66">
        <f t="shared" si="12"/>
        <v>1.66</v>
      </c>
      <c r="W55" s="67"/>
      <c r="X55" s="66"/>
      <c r="Y55" s="66"/>
      <c r="Z55" s="62"/>
    </row>
    <row r="56" ht="24.0" customHeight="1">
      <c r="A56" s="57">
        <v>38.0</v>
      </c>
      <c r="B56" s="59" t="s">
        <v>28</v>
      </c>
      <c r="C56" s="59">
        <v>71.0</v>
      </c>
      <c r="D56" s="59">
        <v>204.0</v>
      </c>
      <c r="E56" s="59">
        <v>169.0</v>
      </c>
      <c r="F56" s="60">
        <v>61.17</v>
      </c>
      <c r="G56" s="59">
        <v>1.0</v>
      </c>
      <c r="H56" s="61">
        <f t="shared" si="4"/>
        <v>61.17</v>
      </c>
      <c r="I56" s="62"/>
      <c r="J56" s="63"/>
      <c r="K56" s="64">
        <f t="shared" si="18"/>
        <v>1</v>
      </c>
      <c r="L56" s="64"/>
      <c r="M56" s="62"/>
      <c r="N56" s="62"/>
      <c r="O56" s="62"/>
      <c r="P56" s="63">
        <f t="shared" si="8"/>
        <v>1.69</v>
      </c>
      <c r="Q56" s="64">
        <f t="shared" si="9"/>
        <v>1</v>
      </c>
      <c r="R56" s="64">
        <f t="shared" si="10"/>
        <v>1.69</v>
      </c>
      <c r="S56" s="66"/>
      <c r="T56" s="66">
        <f t="shared" si="46"/>
        <v>0.71</v>
      </c>
      <c r="U56" s="66">
        <f t="shared" ref="U56:U99" si="47">D56/100</f>
        <v>2.04</v>
      </c>
      <c r="V56" s="66">
        <f t="shared" si="12"/>
        <v>1.69</v>
      </c>
      <c r="W56" s="67">
        <f t="shared" ref="W56:W99" si="48">T56*U56*V56</f>
        <v>2.447796</v>
      </c>
      <c r="X56" s="66"/>
      <c r="Y56" s="66"/>
      <c r="Z56" s="62"/>
    </row>
    <row r="57" ht="24.0" customHeight="1">
      <c r="A57" s="57">
        <v>39.0</v>
      </c>
      <c r="B57" s="74" t="s">
        <v>29</v>
      </c>
      <c r="C57" s="74">
        <v>74.0</v>
      </c>
      <c r="D57" s="74">
        <v>204.0</v>
      </c>
      <c r="E57" s="74">
        <v>170.0</v>
      </c>
      <c r="F57" s="75">
        <f>90%*64.14</f>
        <v>57.726</v>
      </c>
      <c r="G57" s="74">
        <v>1.0</v>
      </c>
      <c r="H57" s="76">
        <f t="shared" si="4"/>
        <v>57.726</v>
      </c>
      <c r="I57" s="62"/>
      <c r="J57" s="63"/>
      <c r="K57" s="64">
        <f t="shared" si="18"/>
        <v>1</v>
      </c>
      <c r="L57" s="64"/>
      <c r="M57" s="62"/>
      <c r="N57" s="62"/>
      <c r="O57" s="62"/>
      <c r="P57" s="63">
        <f t="shared" si="8"/>
        <v>1.7</v>
      </c>
      <c r="Q57" s="64">
        <f t="shared" si="9"/>
        <v>1</v>
      </c>
      <c r="R57" s="64">
        <f t="shared" si="10"/>
        <v>1.7</v>
      </c>
      <c r="S57" s="66"/>
      <c r="T57" s="66">
        <f t="shared" si="46"/>
        <v>0.74</v>
      </c>
      <c r="U57" s="66">
        <f t="shared" si="47"/>
        <v>2.04</v>
      </c>
      <c r="V57" s="66">
        <f t="shared" si="12"/>
        <v>1.7</v>
      </c>
      <c r="W57" s="67">
        <f t="shared" si="48"/>
        <v>2.56632</v>
      </c>
      <c r="X57" s="66"/>
      <c r="Y57" s="66"/>
      <c r="Z57" s="62"/>
    </row>
    <row r="58" ht="24.0" customHeight="1">
      <c r="A58" s="57">
        <v>40.0</v>
      </c>
      <c r="B58" s="59" t="s">
        <v>28</v>
      </c>
      <c r="C58" s="59">
        <v>76.0</v>
      </c>
      <c r="D58" s="59">
        <v>204.0</v>
      </c>
      <c r="E58" s="59">
        <v>168.0</v>
      </c>
      <c r="F58" s="60">
        <v>65.1</v>
      </c>
      <c r="G58" s="59">
        <v>1.0</v>
      </c>
      <c r="H58" s="61">
        <f t="shared" si="4"/>
        <v>65.1</v>
      </c>
      <c r="I58" s="62"/>
      <c r="J58" s="63"/>
      <c r="K58" s="64">
        <f t="shared" si="18"/>
        <v>1</v>
      </c>
      <c r="L58" s="64"/>
      <c r="M58" s="62"/>
      <c r="N58" s="62"/>
      <c r="O58" s="62"/>
      <c r="P58" s="63">
        <f t="shared" si="8"/>
        <v>1.68</v>
      </c>
      <c r="Q58" s="64">
        <f t="shared" si="9"/>
        <v>1</v>
      </c>
      <c r="R58" s="64">
        <f t="shared" si="10"/>
        <v>1.68</v>
      </c>
      <c r="S58" s="66"/>
      <c r="T58" s="66">
        <f t="shared" si="46"/>
        <v>0.76</v>
      </c>
      <c r="U58" s="66">
        <f t="shared" si="47"/>
        <v>2.04</v>
      </c>
      <c r="V58" s="66">
        <f t="shared" si="12"/>
        <v>1.68</v>
      </c>
      <c r="W58" s="67">
        <f t="shared" si="48"/>
        <v>2.604672</v>
      </c>
      <c r="X58" s="66"/>
      <c r="Y58" s="66"/>
      <c r="Z58" s="62"/>
    </row>
    <row r="59" ht="24.0" customHeight="1">
      <c r="A59" s="57">
        <v>41.0</v>
      </c>
      <c r="B59" s="59" t="s">
        <v>28</v>
      </c>
      <c r="C59" s="59">
        <v>39.0</v>
      </c>
      <c r="D59" s="59">
        <v>204.0</v>
      </c>
      <c r="E59" s="59">
        <v>85.0</v>
      </c>
      <c r="F59" s="60">
        <v>16.9</v>
      </c>
      <c r="G59" s="59">
        <v>1.0</v>
      </c>
      <c r="H59" s="61">
        <f t="shared" si="4"/>
        <v>16.9</v>
      </c>
      <c r="I59" s="62"/>
      <c r="J59" s="63"/>
      <c r="K59" s="64">
        <f t="shared" si="18"/>
        <v>1</v>
      </c>
      <c r="L59" s="64"/>
      <c r="M59" s="62"/>
      <c r="N59" s="62"/>
      <c r="O59" s="62"/>
      <c r="P59" s="63">
        <f t="shared" si="8"/>
        <v>0.85</v>
      </c>
      <c r="Q59" s="64">
        <f t="shared" si="9"/>
        <v>1</v>
      </c>
      <c r="R59" s="64">
        <f t="shared" si="10"/>
        <v>0.85</v>
      </c>
      <c r="S59" s="66"/>
      <c r="T59" s="66">
        <f t="shared" si="46"/>
        <v>0.39</v>
      </c>
      <c r="U59" s="66">
        <f t="shared" si="47"/>
        <v>2.04</v>
      </c>
      <c r="V59" s="66">
        <f t="shared" si="12"/>
        <v>0.85</v>
      </c>
      <c r="W59" s="67">
        <f t="shared" si="48"/>
        <v>0.67626</v>
      </c>
      <c r="X59" s="66"/>
      <c r="Y59" s="66"/>
      <c r="Z59" s="62"/>
    </row>
    <row r="60" ht="24.0" customHeight="1">
      <c r="A60" s="57">
        <v>42.0</v>
      </c>
      <c r="B60" s="59" t="s">
        <v>28</v>
      </c>
      <c r="C60" s="59">
        <v>57.0</v>
      </c>
      <c r="D60" s="59">
        <v>204.0</v>
      </c>
      <c r="E60" s="59">
        <v>168.0</v>
      </c>
      <c r="F60" s="60">
        <v>48.82</v>
      </c>
      <c r="G60" s="59">
        <v>1.0</v>
      </c>
      <c r="H60" s="61">
        <f t="shared" si="4"/>
        <v>48.82</v>
      </c>
      <c r="I60" s="62"/>
      <c r="J60" s="63"/>
      <c r="K60" s="64">
        <f t="shared" si="18"/>
        <v>1</v>
      </c>
      <c r="L60" s="64"/>
      <c r="M60" s="62"/>
      <c r="N60" s="62"/>
      <c r="O60" s="62"/>
      <c r="P60" s="63">
        <f t="shared" si="8"/>
        <v>1.68</v>
      </c>
      <c r="Q60" s="64">
        <f t="shared" si="9"/>
        <v>1</v>
      </c>
      <c r="R60" s="64">
        <f t="shared" si="10"/>
        <v>1.68</v>
      </c>
      <c r="S60" s="66"/>
      <c r="T60" s="66">
        <f t="shared" si="46"/>
        <v>0.57</v>
      </c>
      <c r="U60" s="66">
        <f t="shared" si="47"/>
        <v>2.04</v>
      </c>
      <c r="V60" s="66">
        <f t="shared" si="12"/>
        <v>1.68</v>
      </c>
      <c r="W60" s="67">
        <f t="shared" si="48"/>
        <v>1.953504</v>
      </c>
      <c r="X60" s="66"/>
      <c r="Y60" s="66"/>
      <c r="Z60" s="62"/>
    </row>
    <row r="61" ht="24.0" customHeight="1">
      <c r="A61" s="57">
        <v>43.0</v>
      </c>
      <c r="B61" s="59" t="s">
        <v>28</v>
      </c>
      <c r="C61" s="59">
        <v>82.0</v>
      </c>
      <c r="D61" s="59">
        <v>204.0</v>
      </c>
      <c r="E61" s="71">
        <v>3536.0</v>
      </c>
      <c r="F61" s="72">
        <v>1478.38</v>
      </c>
      <c r="G61" s="71">
        <v>1.0</v>
      </c>
      <c r="H61" s="73">
        <f t="shared" si="4"/>
        <v>1478.38</v>
      </c>
      <c r="I61" s="62"/>
      <c r="J61" s="63"/>
      <c r="K61" s="64">
        <f t="shared" si="18"/>
        <v>1</v>
      </c>
      <c r="L61" s="64"/>
      <c r="M61" s="62"/>
      <c r="N61" s="62"/>
      <c r="O61" s="62"/>
      <c r="P61" s="63">
        <f t="shared" si="8"/>
        <v>35.36</v>
      </c>
      <c r="Q61" s="64">
        <f t="shared" si="9"/>
        <v>1</v>
      </c>
      <c r="R61" s="64">
        <f t="shared" si="10"/>
        <v>35.36</v>
      </c>
      <c r="S61" s="66"/>
      <c r="T61" s="66">
        <f t="shared" si="46"/>
        <v>0.82</v>
      </c>
      <c r="U61" s="66">
        <f t="shared" si="47"/>
        <v>2.04</v>
      </c>
      <c r="V61" s="66">
        <f t="shared" si="12"/>
        <v>35.36</v>
      </c>
      <c r="W61" s="67">
        <f t="shared" si="48"/>
        <v>59.150208</v>
      </c>
      <c r="X61" s="66"/>
      <c r="Y61" s="66"/>
      <c r="Z61" s="62"/>
    </row>
    <row r="62" ht="24.0" customHeight="1">
      <c r="A62" s="57">
        <v>44.0</v>
      </c>
      <c r="B62" s="58" t="s">
        <v>30</v>
      </c>
      <c r="C62" s="59">
        <v>108.0</v>
      </c>
      <c r="D62" s="59">
        <v>206.0</v>
      </c>
      <c r="E62" s="59">
        <v>173.0</v>
      </c>
      <c r="F62" s="60">
        <v>69.3</v>
      </c>
      <c r="G62" s="59">
        <v>1.0</v>
      </c>
      <c r="H62" s="61">
        <f t="shared" si="4"/>
        <v>69.3</v>
      </c>
      <c r="I62" s="62"/>
      <c r="J62" s="63"/>
      <c r="K62" s="64">
        <f t="shared" si="18"/>
        <v>1</v>
      </c>
      <c r="L62" s="64"/>
      <c r="M62" s="62"/>
      <c r="N62" s="62"/>
      <c r="O62" s="62"/>
      <c r="P62" s="63">
        <f t="shared" si="8"/>
        <v>1.73</v>
      </c>
      <c r="Q62" s="64">
        <f t="shared" si="9"/>
        <v>1</v>
      </c>
      <c r="R62" s="64">
        <f t="shared" si="10"/>
        <v>1.73</v>
      </c>
      <c r="S62" s="66"/>
      <c r="T62" s="66">
        <f t="shared" si="46"/>
        <v>1.08</v>
      </c>
      <c r="U62" s="66">
        <f t="shared" si="47"/>
        <v>2.06</v>
      </c>
      <c r="V62" s="66">
        <f t="shared" si="12"/>
        <v>1.73</v>
      </c>
      <c r="W62" s="67">
        <f t="shared" si="48"/>
        <v>3.848904</v>
      </c>
      <c r="X62" s="66"/>
      <c r="Y62" s="66"/>
      <c r="Z62" s="62"/>
    </row>
    <row r="63" ht="24.0" customHeight="1">
      <c r="A63" s="57">
        <v>45.0</v>
      </c>
      <c r="B63" s="59" t="s">
        <v>30</v>
      </c>
      <c r="C63" s="59">
        <v>74.0</v>
      </c>
      <c r="D63" s="59">
        <v>206.0</v>
      </c>
      <c r="E63" s="59">
        <v>173.0</v>
      </c>
      <c r="F63" s="60">
        <v>47.48</v>
      </c>
      <c r="G63" s="59">
        <v>1.0</v>
      </c>
      <c r="H63" s="61">
        <f t="shared" si="4"/>
        <v>47.48</v>
      </c>
      <c r="I63" s="62"/>
      <c r="J63" s="63"/>
      <c r="K63" s="64">
        <f t="shared" si="18"/>
        <v>1</v>
      </c>
      <c r="L63" s="64"/>
      <c r="M63" s="62"/>
      <c r="N63" s="62"/>
      <c r="O63" s="62"/>
      <c r="P63" s="63">
        <f t="shared" si="8"/>
        <v>1.73</v>
      </c>
      <c r="Q63" s="64">
        <f t="shared" si="9"/>
        <v>1</v>
      </c>
      <c r="R63" s="64">
        <f t="shared" si="10"/>
        <v>1.73</v>
      </c>
      <c r="S63" s="66"/>
      <c r="T63" s="66">
        <f t="shared" si="46"/>
        <v>0.74</v>
      </c>
      <c r="U63" s="66">
        <f t="shared" si="47"/>
        <v>2.06</v>
      </c>
      <c r="V63" s="66">
        <f t="shared" si="12"/>
        <v>1.73</v>
      </c>
      <c r="W63" s="67">
        <f t="shared" si="48"/>
        <v>2.637212</v>
      </c>
      <c r="X63" s="66"/>
      <c r="Y63" s="66"/>
      <c r="Z63" s="62"/>
    </row>
    <row r="64" ht="24.0" customHeight="1">
      <c r="A64" s="57">
        <v>46.0</v>
      </c>
      <c r="B64" s="59" t="s">
        <v>30</v>
      </c>
      <c r="C64" s="59">
        <v>107.0</v>
      </c>
      <c r="D64" s="59">
        <v>206.0</v>
      </c>
      <c r="E64" s="71">
        <v>2410.0</v>
      </c>
      <c r="F64" s="72">
        <v>956.45</v>
      </c>
      <c r="G64" s="71">
        <v>1.0</v>
      </c>
      <c r="H64" s="73">
        <f t="shared" si="4"/>
        <v>956.45</v>
      </c>
      <c r="I64" s="62"/>
      <c r="J64" s="63"/>
      <c r="K64" s="64">
        <f t="shared" si="18"/>
        <v>1</v>
      </c>
      <c r="L64" s="64"/>
      <c r="M64" s="62"/>
      <c r="N64" s="62"/>
      <c r="O64" s="62"/>
      <c r="P64" s="63">
        <f t="shared" si="8"/>
        <v>24.1</v>
      </c>
      <c r="Q64" s="64">
        <f t="shared" si="9"/>
        <v>1</v>
      </c>
      <c r="R64" s="64">
        <f t="shared" si="10"/>
        <v>24.1</v>
      </c>
      <c r="S64" s="66"/>
      <c r="T64" s="66">
        <f t="shared" si="46"/>
        <v>1.07</v>
      </c>
      <c r="U64" s="66">
        <f t="shared" si="47"/>
        <v>2.06</v>
      </c>
      <c r="V64" s="66">
        <f t="shared" si="12"/>
        <v>24.1</v>
      </c>
      <c r="W64" s="67">
        <f t="shared" si="48"/>
        <v>53.12122</v>
      </c>
      <c r="X64" s="66"/>
      <c r="Y64" s="66"/>
      <c r="Z64" s="62"/>
    </row>
    <row r="65" ht="24.0" customHeight="1">
      <c r="A65" s="57">
        <v>47.0</v>
      </c>
      <c r="B65" s="59"/>
      <c r="C65" s="59"/>
      <c r="D65" s="59"/>
      <c r="E65" s="59"/>
      <c r="F65" s="60"/>
      <c r="G65" s="59"/>
      <c r="H65" s="61">
        <f t="shared" si="4"/>
        <v>0</v>
      </c>
      <c r="I65" s="62"/>
      <c r="J65" s="63"/>
      <c r="K65" s="64" t="str">
        <f t="shared" si="18"/>
        <v/>
      </c>
      <c r="L65" s="64"/>
      <c r="M65" s="62"/>
      <c r="N65" s="62"/>
      <c r="O65" s="62"/>
      <c r="P65" s="63">
        <f t="shared" si="8"/>
        <v>0</v>
      </c>
      <c r="Q65" s="64" t="str">
        <f t="shared" si="9"/>
        <v/>
      </c>
      <c r="R65" s="64">
        <f t="shared" si="10"/>
        <v>0</v>
      </c>
      <c r="S65" s="66"/>
      <c r="T65" s="66">
        <f t="shared" si="46"/>
        <v>0</v>
      </c>
      <c r="U65" s="66">
        <f t="shared" si="47"/>
        <v>0</v>
      </c>
      <c r="V65" s="66">
        <f t="shared" si="12"/>
        <v>0</v>
      </c>
      <c r="W65" s="67">
        <f t="shared" si="48"/>
        <v>0</v>
      </c>
      <c r="X65" s="66"/>
      <c r="Y65" s="66"/>
      <c r="Z65" s="62"/>
    </row>
    <row r="66" ht="24.0" customHeight="1">
      <c r="A66" s="57">
        <v>48.0</v>
      </c>
      <c r="B66" s="59"/>
      <c r="C66" s="59"/>
      <c r="D66" s="59"/>
      <c r="E66" s="59"/>
      <c r="F66" s="60"/>
      <c r="G66" s="59"/>
      <c r="H66" s="61">
        <f t="shared" si="4"/>
        <v>0</v>
      </c>
      <c r="I66" s="62"/>
      <c r="J66" s="63"/>
      <c r="K66" s="64" t="str">
        <f t="shared" si="18"/>
        <v/>
      </c>
      <c r="L66" s="64"/>
      <c r="M66" s="62"/>
      <c r="N66" s="62"/>
      <c r="O66" s="62"/>
      <c r="P66" s="63">
        <f t="shared" si="8"/>
        <v>0</v>
      </c>
      <c r="Q66" s="64" t="str">
        <f t="shared" si="9"/>
        <v/>
      </c>
      <c r="R66" s="64">
        <f t="shared" si="10"/>
        <v>0</v>
      </c>
      <c r="S66" s="66"/>
      <c r="T66" s="66">
        <f t="shared" si="46"/>
        <v>0</v>
      </c>
      <c r="U66" s="66">
        <f t="shared" si="47"/>
        <v>0</v>
      </c>
      <c r="V66" s="66">
        <f t="shared" si="12"/>
        <v>0</v>
      </c>
      <c r="W66" s="67">
        <f t="shared" si="48"/>
        <v>0</v>
      </c>
      <c r="X66" s="66"/>
      <c r="Y66" s="66"/>
      <c r="Z66" s="62"/>
    </row>
    <row r="67" ht="24.0" hidden="1" customHeight="1">
      <c r="A67" s="57">
        <v>49.0</v>
      </c>
      <c r="B67" s="59"/>
      <c r="C67" s="59"/>
      <c r="D67" s="59"/>
      <c r="E67" s="59"/>
      <c r="F67" s="60"/>
      <c r="G67" s="59"/>
      <c r="H67" s="61">
        <f t="shared" si="4"/>
        <v>0</v>
      </c>
      <c r="I67" s="62"/>
      <c r="J67" s="63"/>
      <c r="K67" s="64" t="str">
        <f t="shared" si="18"/>
        <v/>
      </c>
      <c r="L67" s="64"/>
      <c r="M67" s="62"/>
      <c r="N67" s="62"/>
      <c r="O67" s="62"/>
      <c r="P67" s="63">
        <f t="shared" si="8"/>
        <v>0</v>
      </c>
      <c r="Q67" s="64" t="str">
        <f t="shared" si="9"/>
        <v/>
      </c>
      <c r="R67" s="64">
        <f t="shared" si="10"/>
        <v>0</v>
      </c>
      <c r="S67" s="66"/>
      <c r="T67" s="66">
        <f t="shared" si="46"/>
        <v>0</v>
      </c>
      <c r="U67" s="66">
        <f t="shared" si="47"/>
        <v>0</v>
      </c>
      <c r="V67" s="66">
        <f t="shared" si="12"/>
        <v>0</v>
      </c>
      <c r="W67" s="67">
        <f t="shared" si="48"/>
        <v>0</v>
      </c>
      <c r="X67" s="66"/>
      <c r="Y67" s="66"/>
      <c r="Z67" s="62"/>
    </row>
    <row r="68" ht="24.0" hidden="1" customHeight="1">
      <c r="A68" s="57">
        <v>50.0</v>
      </c>
      <c r="B68" s="59"/>
      <c r="C68" s="59"/>
      <c r="D68" s="59"/>
      <c r="E68" s="59"/>
      <c r="F68" s="60"/>
      <c r="G68" s="59"/>
      <c r="H68" s="61">
        <f t="shared" si="4"/>
        <v>0</v>
      </c>
      <c r="I68" s="62"/>
      <c r="J68" s="63"/>
      <c r="K68" s="64" t="str">
        <f t="shared" si="18"/>
        <v/>
      </c>
      <c r="L68" s="64"/>
      <c r="M68" s="62"/>
      <c r="N68" s="62"/>
      <c r="O68" s="62"/>
      <c r="P68" s="63">
        <f t="shared" si="8"/>
        <v>0</v>
      </c>
      <c r="Q68" s="64" t="str">
        <f t="shared" si="9"/>
        <v/>
      </c>
      <c r="R68" s="64">
        <f t="shared" si="10"/>
        <v>0</v>
      </c>
      <c r="S68" s="66"/>
      <c r="T68" s="66">
        <f t="shared" si="46"/>
        <v>0</v>
      </c>
      <c r="U68" s="66">
        <f t="shared" si="47"/>
        <v>0</v>
      </c>
      <c r="V68" s="66">
        <f t="shared" si="12"/>
        <v>0</v>
      </c>
      <c r="W68" s="67">
        <f t="shared" si="48"/>
        <v>0</v>
      </c>
      <c r="X68" s="66"/>
      <c r="Y68" s="66"/>
      <c r="Z68" s="62"/>
    </row>
    <row r="69" ht="24.0" hidden="1" customHeight="1">
      <c r="A69" s="57">
        <v>51.0</v>
      </c>
      <c r="B69" s="59"/>
      <c r="C69" s="59"/>
      <c r="D69" s="59"/>
      <c r="E69" s="59"/>
      <c r="F69" s="60"/>
      <c r="G69" s="59"/>
      <c r="H69" s="61">
        <f t="shared" si="4"/>
        <v>0</v>
      </c>
      <c r="I69" s="62"/>
      <c r="J69" s="63"/>
      <c r="K69" s="64" t="str">
        <f t="shared" si="18"/>
        <v/>
      </c>
      <c r="L69" s="64"/>
      <c r="M69" s="62"/>
      <c r="N69" s="62"/>
      <c r="O69" s="62"/>
      <c r="P69" s="63">
        <f t="shared" si="8"/>
        <v>0</v>
      </c>
      <c r="Q69" s="64" t="str">
        <f t="shared" si="9"/>
        <v/>
      </c>
      <c r="R69" s="64">
        <f t="shared" si="10"/>
        <v>0</v>
      </c>
      <c r="S69" s="66"/>
      <c r="T69" s="66">
        <f t="shared" si="46"/>
        <v>0</v>
      </c>
      <c r="U69" s="66">
        <f t="shared" si="47"/>
        <v>0</v>
      </c>
      <c r="V69" s="66">
        <f t="shared" si="12"/>
        <v>0</v>
      </c>
      <c r="W69" s="67">
        <f t="shared" si="48"/>
        <v>0</v>
      </c>
      <c r="X69" s="66"/>
      <c r="Y69" s="66"/>
      <c r="Z69" s="62"/>
    </row>
    <row r="70" ht="24.0" hidden="1" customHeight="1">
      <c r="A70" s="57">
        <v>52.0</v>
      </c>
      <c r="B70" s="59"/>
      <c r="C70" s="59"/>
      <c r="D70" s="59"/>
      <c r="E70" s="59"/>
      <c r="F70" s="60"/>
      <c r="G70" s="59"/>
      <c r="H70" s="61">
        <f t="shared" si="4"/>
        <v>0</v>
      </c>
      <c r="I70" s="62"/>
      <c r="J70" s="63"/>
      <c r="K70" s="64" t="str">
        <f t="shared" si="18"/>
        <v/>
      </c>
      <c r="L70" s="64"/>
      <c r="M70" s="62"/>
      <c r="N70" s="62"/>
      <c r="O70" s="62"/>
      <c r="P70" s="63">
        <f t="shared" si="8"/>
        <v>0</v>
      </c>
      <c r="Q70" s="64" t="str">
        <f t="shared" si="9"/>
        <v/>
      </c>
      <c r="R70" s="64">
        <f t="shared" si="10"/>
        <v>0</v>
      </c>
      <c r="S70" s="66"/>
      <c r="T70" s="66">
        <f t="shared" si="46"/>
        <v>0</v>
      </c>
      <c r="U70" s="66">
        <f t="shared" si="47"/>
        <v>0</v>
      </c>
      <c r="V70" s="66">
        <f t="shared" si="12"/>
        <v>0</v>
      </c>
      <c r="W70" s="67">
        <f t="shared" si="48"/>
        <v>0</v>
      </c>
      <c r="X70" s="66"/>
      <c r="Y70" s="66"/>
      <c r="Z70" s="62"/>
    </row>
    <row r="71" ht="24.0" hidden="1" customHeight="1">
      <c r="A71" s="57">
        <v>53.0</v>
      </c>
      <c r="B71" s="59"/>
      <c r="C71" s="59"/>
      <c r="D71" s="59"/>
      <c r="E71" s="59"/>
      <c r="F71" s="60"/>
      <c r="G71" s="59"/>
      <c r="H71" s="61">
        <f t="shared" si="4"/>
        <v>0</v>
      </c>
      <c r="I71" s="62"/>
      <c r="J71" s="63"/>
      <c r="K71" s="64" t="str">
        <f t="shared" si="18"/>
        <v/>
      </c>
      <c r="L71" s="64"/>
      <c r="M71" s="62"/>
      <c r="N71" s="62"/>
      <c r="O71" s="62"/>
      <c r="P71" s="63">
        <f t="shared" si="8"/>
        <v>0</v>
      </c>
      <c r="Q71" s="64" t="str">
        <f t="shared" si="9"/>
        <v/>
      </c>
      <c r="R71" s="64">
        <f t="shared" si="10"/>
        <v>0</v>
      </c>
      <c r="S71" s="66"/>
      <c r="T71" s="66">
        <f t="shared" si="46"/>
        <v>0</v>
      </c>
      <c r="U71" s="66">
        <f t="shared" si="47"/>
        <v>0</v>
      </c>
      <c r="V71" s="66">
        <f t="shared" si="12"/>
        <v>0</v>
      </c>
      <c r="W71" s="67">
        <f t="shared" si="48"/>
        <v>0</v>
      </c>
      <c r="X71" s="66"/>
      <c r="Y71" s="66"/>
      <c r="Z71" s="62"/>
    </row>
    <row r="72" ht="24.0" hidden="1" customHeight="1">
      <c r="A72" s="57">
        <v>54.0</v>
      </c>
      <c r="B72" s="59"/>
      <c r="C72" s="59"/>
      <c r="D72" s="59"/>
      <c r="E72" s="59"/>
      <c r="F72" s="60"/>
      <c r="G72" s="59"/>
      <c r="H72" s="61">
        <f t="shared" si="4"/>
        <v>0</v>
      </c>
      <c r="I72" s="62"/>
      <c r="J72" s="63"/>
      <c r="K72" s="64" t="str">
        <f t="shared" si="18"/>
        <v/>
      </c>
      <c r="L72" s="64"/>
      <c r="M72" s="62"/>
      <c r="N72" s="62"/>
      <c r="O72" s="62"/>
      <c r="P72" s="63">
        <f t="shared" si="8"/>
        <v>0</v>
      </c>
      <c r="Q72" s="64" t="str">
        <f t="shared" si="9"/>
        <v/>
      </c>
      <c r="R72" s="64">
        <f t="shared" si="10"/>
        <v>0</v>
      </c>
      <c r="S72" s="66"/>
      <c r="T72" s="66">
        <f t="shared" si="46"/>
        <v>0</v>
      </c>
      <c r="U72" s="66">
        <f t="shared" si="47"/>
        <v>0</v>
      </c>
      <c r="V72" s="66">
        <f t="shared" si="12"/>
        <v>0</v>
      </c>
      <c r="W72" s="67">
        <f t="shared" si="48"/>
        <v>0</v>
      </c>
      <c r="X72" s="66"/>
      <c r="Y72" s="66"/>
      <c r="Z72" s="62"/>
    </row>
    <row r="73" ht="24.0" hidden="1" customHeight="1">
      <c r="A73" s="57">
        <v>55.0</v>
      </c>
      <c r="B73" s="59"/>
      <c r="C73" s="59"/>
      <c r="D73" s="59"/>
      <c r="E73" s="59"/>
      <c r="F73" s="60"/>
      <c r="G73" s="59"/>
      <c r="H73" s="61">
        <f t="shared" si="4"/>
        <v>0</v>
      </c>
      <c r="I73" s="62"/>
      <c r="J73" s="63"/>
      <c r="K73" s="64" t="str">
        <f t="shared" si="18"/>
        <v/>
      </c>
      <c r="L73" s="64"/>
      <c r="M73" s="62"/>
      <c r="N73" s="62"/>
      <c r="O73" s="62"/>
      <c r="P73" s="63">
        <f t="shared" si="8"/>
        <v>0</v>
      </c>
      <c r="Q73" s="64" t="str">
        <f t="shared" si="9"/>
        <v/>
      </c>
      <c r="R73" s="64">
        <f t="shared" si="10"/>
        <v>0</v>
      </c>
      <c r="S73" s="66"/>
      <c r="T73" s="66">
        <f t="shared" si="46"/>
        <v>0</v>
      </c>
      <c r="U73" s="66">
        <f t="shared" si="47"/>
        <v>0</v>
      </c>
      <c r="V73" s="66">
        <f t="shared" si="12"/>
        <v>0</v>
      </c>
      <c r="W73" s="67">
        <f t="shared" si="48"/>
        <v>0</v>
      </c>
      <c r="X73" s="66"/>
      <c r="Y73" s="66"/>
      <c r="Z73" s="62"/>
    </row>
    <row r="74" ht="24.0" hidden="1" customHeight="1">
      <c r="A74" s="57">
        <v>56.0</v>
      </c>
      <c r="B74" s="59"/>
      <c r="C74" s="59"/>
      <c r="D74" s="59"/>
      <c r="E74" s="59"/>
      <c r="F74" s="60"/>
      <c r="G74" s="59"/>
      <c r="H74" s="61">
        <f t="shared" si="4"/>
        <v>0</v>
      </c>
      <c r="I74" s="62"/>
      <c r="J74" s="63"/>
      <c r="K74" s="64" t="str">
        <f t="shared" si="18"/>
        <v/>
      </c>
      <c r="L74" s="64"/>
      <c r="M74" s="62"/>
      <c r="N74" s="62"/>
      <c r="O74" s="62"/>
      <c r="P74" s="63">
        <f t="shared" si="8"/>
        <v>0</v>
      </c>
      <c r="Q74" s="64" t="str">
        <f t="shared" si="9"/>
        <v/>
      </c>
      <c r="R74" s="64">
        <f t="shared" si="10"/>
        <v>0</v>
      </c>
      <c r="S74" s="66"/>
      <c r="T74" s="66">
        <f t="shared" si="46"/>
        <v>0</v>
      </c>
      <c r="U74" s="66">
        <f t="shared" si="47"/>
        <v>0</v>
      </c>
      <c r="V74" s="66">
        <f t="shared" si="12"/>
        <v>0</v>
      </c>
      <c r="W74" s="67">
        <f t="shared" si="48"/>
        <v>0</v>
      </c>
      <c r="X74" s="66"/>
      <c r="Y74" s="66"/>
      <c r="Z74" s="62"/>
    </row>
    <row r="75" ht="24.0" hidden="1" customHeight="1">
      <c r="A75" s="57">
        <v>57.0</v>
      </c>
      <c r="B75" s="59"/>
      <c r="C75" s="59"/>
      <c r="D75" s="59"/>
      <c r="E75" s="59"/>
      <c r="F75" s="60"/>
      <c r="G75" s="59"/>
      <c r="H75" s="61">
        <f t="shared" si="4"/>
        <v>0</v>
      </c>
      <c r="I75" s="62"/>
      <c r="J75" s="63"/>
      <c r="K75" s="64" t="str">
        <f t="shared" si="18"/>
        <v/>
      </c>
      <c r="L75" s="64"/>
      <c r="M75" s="62"/>
      <c r="N75" s="62"/>
      <c r="O75" s="62"/>
      <c r="P75" s="63">
        <f t="shared" si="8"/>
        <v>0</v>
      </c>
      <c r="Q75" s="64" t="str">
        <f t="shared" si="9"/>
        <v/>
      </c>
      <c r="R75" s="64">
        <f t="shared" si="10"/>
        <v>0</v>
      </c>
      <c r="S75" s="66"/>
      <c r="T75" s="66">
        <f t="shared" si="46"/>
        <v>0</v>
      </c>
      <c r="U75" s="66">
        <f t="shared" si="47"/>
        <v>0</v>
      </c>
      <c r="V75" s="66">
        <f t="shared" si="12"/>
        <v>0</v>
      </c>
      <c r="W75" s="67">
        <f t="shared" si="48"/>
        <v>0</v>
      </c>
      <c r="X75" s="66"/>
      <c r="Y75" s="66"/>
      <c r="Z75" s="62"/>
    </row>
    <row r="76" ht="24.0" hidden="1" customHeight="1">
      <c r="A76" s="57">
        <v>58.0</v>
      </c>
      <c r="B76" s="59"/>
      <c r="C76" s="59"/>
      <c r="D76" s="59"/>
      <c r="E76" s="59"/>
      <c r="F76" s="60"/>
      <c r="G76" s="59"/>
      <c r="H76" s="61">
        <f t="shared" si="4"/>
        <v>0</v>
      </c>
      <c r="I76" s="62"/>
      <c r="J76" s="63"/>
      <c r="K76" s="64" t="str">
        <f t="shared" si="18"/>
        <v/>
      </c>
      <c r="L76" s="64"/>
      <c r="M76" s="62"/>
      <c r="N76" s="62"/>
      <c r="O76" s="62"/>
      <c r="P76" s="63">
        <f t="shared" si="8"/>
        <v>0</v>
      </c>
      <c r="Q76" s="64" t="str">
        <f t="shared" si="9"/>
        <v/>
      </c>
      <c r="R76" s="64">
        <f t="shared" si="10"/>
        <v>0</v>
      </c>
      <c r="S76" s="66"/>
      <c r="T76" s="66">
        <f t="shared" si="46"/>
        <v>0</v>
      </c>
      <c r="U76" s="66">
        <f t="shared" si="47"/>
        <v>0</v>
      </c>
      <c r="V76" s="66">
        <f t="shared" si="12"/>
        <v>0</v>
      </c>
      <c r="W76" s="67">
        <f t="shared" si="48"/>
        <v>0</v>
      </c>
      <c r="X76" s="66"/>
      <c r="Y76" s="66"/>
      <c r="Z76" s="62"/>
    </row>
    <row r="77" ht="24.0" hidden="1" customHeight="1">
      <c r="A77" s="57">
        <v>59.0</v>
      </c>
      <c r="B77" s="59"/>
      <c r="C77" s="59"/>
      <c r="D77" s="59"/>
      <c r="E77" s="59"/>
      <c r="F77" s="60"/>
      <c r="G77" s="59"/>
      <c r="H77" s="61">
        <f t="shared" si="4"/>
        <v>0</v>
      </c>
      <c r="I77" s="62"/>
      <c r="J77" s="63"/>
      <c r="K77" s="64" t="str">
        <f t="shared" si="18"/>
        <v/>
      </c>
      <c r="L77" s="64"/>
      <c r="M77" s="62"/>
      <c r="N77" s="62"/>
      <c r="O77" s="62"/>
      <c r="P77" s="63">
        <f t="shared" si="8"/>
        <v>0</v>
      </c>
      <c r="Q77" s="64" t="str">
        <f t="shared" si="9"/>
        <v/>
      </c>
      <c r="R77" s="64">
        <f t="shared" si="10"/>
        <v>0</v>
      </c>
      <c r="S77" s="66"/>
      <c r="T77" s="66">
        <f t="shared" si="46"/>
        <v>0</v>
      </c>
      <c r="U77" s="66">
        <f t="shared" si="47"/>
        <v>0</v>
      </c>
      <c r="V77" s="66">
        <f t="shared" si="12"/>
        <v>0</v>
      </c>
      <c r="W77" s="67">
        <f t="shared" si="48"/>
        <v>0</v>
      </c>
      <c r="X77" s="66"/>
      <c r="Y77" s="66"/>
      <c r="Z77" s="62"/>
    </row>
    <row r="78" ht="24.0" hidden="1" customHeight="1">
      <c r="A78" s="57">
        <v>60.0</v>
      </c>
      <c r="B78" s="59"/>
      <c r="C78" s="59"/>
      <c r="D78" s="59"/>
      <c r="E78" s="59"/>
      <c r="F78" s="60"/>
      <c r="G78" s="59"/>
      <c r="H78" s="61">
        <f t="shared" si="4"/>
        <v>0</v>
      </c>
      <c r="I78" s="62"/>
      <c r="J78" s="63"/>
      <c r="K78" s="64" t="str">
        <f t="shared" si="18"/>
        <v/>
      </c>
      <c r="L78" s="64"/>
      <c r="M78" s="62"/>
      <c r="N78" s="62"/>
      <c r="O78" s="62"/>
      <c r="P78" s="63">
        <f t="shared" si="8"/>
        <v>0</v>
      </c>
      <c r="Q78" s="64" t="str">
        <f t="shared" si="9"/>
        <v/>
      </c>
      <c r="R78" s="64">
        <f t="shared" si="10"/>
        <v>0</v>
      </c>
      <c r="S78" s="66"/>
      <c r="T78" s="66">
        <f t="shared" si="46"/>
        <v>0</v>
      </c>
      <c r="U78" s="66">
        <f t="shared" si="47"/>
        <v>0</v>
      </c>
      <c r="V78" s="66">
        <f t="shared" si="12"/>
        <v>0</v>
      </c>
      <c r="W78" s="67">
        <f t="shared" si="48"/>
        <v>0</v>
      </c>
      <c r="X78" s="66"/>
      <c r="Y78" s="66"/>
      <c r="Z78" s="62"/>
    </row>
    <row r="79" ht="24.0" hidden="1" customHeight="1">
      <c r="A79" s="57">
        <v>61.0</v>
      </c>
      <c r="B79" s="59"/>
      <c r="C79" s="59"/>
      <c r="D79" s="59"/>
      <c r="E79" s="59"/>
      <c r="F79" s="60"/>
      <c r="G79" s="59"/>
      <c r="H79" s="61">
        <f t="shared" si="4"/>
        <v>0</v>
      </c>
      <c r="I79" s="62"/>
      <c r="J79" s="63"/>
      <c r="K79" s="64" t="str">
        <f t="shared" si="18"/>
        <v/>
      </c>
      <c r="L79" s="64"/>
      <c r="M79" s="62"/>
      <c r="N79" s="62"/>
      <c r="O79" s="62"/>
      <c r="P79" s="63">
        <f t="shared" si="8"/>
        <v>0</v>
      </c>
      <c r="Q79" s="64" t="str">
        <f t="shared" si="9"/>
        <v/>
      </c>
      <c r="R79" s="64">
        <f t="shared" si="10"/>
        <v>0</v>
      </c>
      <c r="S79" s="66"/>
      <c r="T79" s="66">
        <f t="shared" si="46"/>
        <v>0</v>
      </c>
      <c r="U79" s="66">
        <f t="shared" si="47"/>
        <v>0</v>
      </c>
      <c r="V79" s="66">
        <f t="shared" si="12"/>
        <v>0</v>
      </c>
      <c r="W79" s="67">
        <f t="shared" si="48"/>
        <v>0</v>
      </c>
      <c r="X79" s="66"/>
      <c r="Y79" s="66"/>
      <c r="Z79" s="62"/>
    </row>
    <row r="80" ht="24.0" hidden="1" customHeight="1">
      <c r="A80" s="57">
        <v>62.0</v>
      </c>
      <c r="B80" s="59"/>
      <c r="C80" s="59"/>
      <c r="D80" s="59"/>
      <c r="E80" s="59"/>
      <c r="F80" s="60"/>
      <c r="G80" s="59"/>
      <c r="H80" s="61">
        <f t="shared" si="4"/>
        <v>0</v>
      </c>
      <c r="I80" s="62"/>
      <c r="J80" s="63"/>
      <c r="K80" s="64" t="str">
        <f t="shared" si="18"/>
        <v/>
      </c>
      <c r="L80" s="64"/>
      <c r="M80" s="62"/>
      <c r="N80" s="62"/>
      <c r="O80" s="62"/>
      <c r="P80" s="63">
        <f t="shared" si="8"/>
        <v>0</v>
      </c>
      <c r="Q80" s="64" t="str">
        <f t="shared" si="9"/>
        <v/>
      </c>
      <c r="R80" s="64">
        <f t="shared" si="10"/>
        <v>0</v>
      </c>
      <c r="S80" s="66"/>
      <c r="T80" s="66">
        <f t="shared" si="46"/>
        <v>0</v>
      </c>
      <c r="U80" s="66">
        <f t="shared" si="47"/>
        <v>0</v>
      </c>
      <c r="V80" s="66">
        <f t="shared" si="12"/>
        <v>0</v>
      </c>
      <c r="W80" s="67">
        <f t="shared" si="48"/>
        <v>0</v>
      </c>
      <c r="X80" s="66"/>
      <c r="Y80" s="66"/>
      <c r="Z80" s="62"/>
    </row>
    <row r="81" ht="24.0" hidden="1" customHeight="1">
      <c r="A81" s="57">
        <v>63.0</v>
      </c>
      <c r="B81" s="59"/>
      <c r="C81" s="59"/>
      <c r="D81" s="59"/>
      <c r="E81" s="59"/>
      <c r="F81" s="60"/>
      <c r="G81" s="59"/>
      <c r="H81" s="61">
        <f t="shared" si="4"/>
        <v>0</v>
      </c>
      <c r="I81" s="62"/>
      <c r="J81" s="63"/>
      <c r="K81" s="64" t="str">
        <f t="shared" si="18"/>
        <v/>
      </c>
      <c r="L81" s="64"/>
      <c r="M81" s="62"/>
      <c r="N81" s="62"/>
      <c r="O81" s="62"/>
      <c r="P81" s="63">
        <f t="shared" si="8"/>
        <v>0</v>
      </c>
      <c r="Q81" s="64" t="str">
        <f t="shared" si="9"/>
        <v/>
      </c>
      <c r="R81" s="64">
        <f t="shared" si="10"/>
        <v>0</v>
      </c>
      <c r="S81" s="66"/>
      <c r="T81" s="66">
        <f t="shared" si="46"/>
        <v>0</v>
      </c>
      <c r="U81" s="66">
        <f t="shared" si="47"/>
        <v>0</v>
      </c>
      <c r="V81" s="66">
        <f t="shared" si="12"/>
        <v>0</v>
      </c>
      <c r="W81" s="67">
        <f t="shared" si="48"/>
        <v>0</v>
      </c>
      <c r="X81" s="66"/>
      <c r="Y81" s="66"/>
      <c r="Z81" s="62"/>
    </row>
    <row r="82" ht="24.0" hidden="1" customHeight="1">
      <c r="A82" s="57">
        <v>64.0</v>
      </c>
      <c r="B82" s="59"/>
      <c r="C82" s="59"/>
      <c r="D82" s="59"/>
      <c r="E82" s="59"/>
      <c r="F82" s="60"/>
      <c r="G82" s="59"/>
      <c r="H82" s="61">
        <f t="shared" si="4"/>
        <v>0</v>
      </c>
      <c r="I82" s="62"/>
      <c r="J82" s="63"/>
      <c r="K82" s="64" t="str">
        <f t="shared" si="18"/>
        <v/>
      </c>
      <c r="L82" s="64"/>
      <c r="M82" s="62"/>
      <c r="N82" s="62"/>
      <c r="O82" s="62"/>
      <c r="P82" s="63">
        <f t="shared" si="8"/>
        <v>0</v>
      </c>
      <c r="Q82" s="64" t="str">
        <f t="shared" si="9"/>
        <v/>
      </c>
      <c r="R82" s="64">
        <f t="shared" si="10"/>
        <v>0</v>
      </c>
      <c r="S82" s="66"/>
      <c r="T82" s="66">
        <f t="shared" si="46"/>
        <v>0</v>
      </c>
      <c r="U82" s="66">
        <f t="shared" si="47"/>
        <v>0</v>
      </c>
      <c r="V82" s="66">
        <f t="shared" si="12"/>
        <v>0</v>
      </c>
      <c r="W82" s="67">
        <f t="shared" si="48"/>
        <v>0</v>
      </c>
      <c r="X82" s="66"/>
      <c r="Y82" s="66"/>
      <c r="Z82" s="62"/>
    </row>
    <row r="83" ht="24.0" hidden="1" customHeight="1">
      <c r="A83" s="57">
        <v>65.0</v>
      </c>
      <c r="B83" s="59"/>
      <c r="C83" s="59"/>
      <c r="D83" s="59"/>
      <c r="E83" s="59"/>
      <c r="F83" s="60"/>
      <c r="G83" s="59"/>
      <c r="H83" s="61">
        <f t="shared" si="4"/>
        <v>0</v>
      </c>
      <c r="I83" s="62"/>
      <c r="J83" s="63"/>
      <c r="K83" s="64" t="str">
        <f t="shared" si="18"/>
        <v/>
      </c>
      <c r="L83" s="64"/>
      <c r="M83" s="62"/>
      <c r="N83" s="62"/>
      <c r="O83" s="62"/>
      <c r="P83" s="63">
        <f t="shared" si="8"/>
        <v>0</v>
      </c>
      <c r="Q83" s="64" t="str">
        <f t="shared" si="9"/>
        <v/>
      </c>
      <c r="R83" s="64">
        <f t="shared" si="10"/>
        <v>0</v>
      </c>
      <c r="S83" s="66"/>
      <c r="T83" s="66">
        <f t="shared" si="46"/>
        <v>0</v>
      </c>
      <c r="U83" s="66">
        <f t="shared" si="47"/>
        <v>0</v>
      </c>
      <c r="V83" s="66">
        <f t="shared" si="12"/>
        <v>0</v>
      </c>
      <c r="W83" s="67">
        <f t="shared" si="48"/>
        <v>0</v>
      </c>
      <c r="X83" s="66"/>
      <c r="Y83" s="66"/>
      <c r="Z83" s="62"/>
    </row>
    <row r="84" ht="24.0" hidden="1" customHeight="1">
      <c r="A84" s="57">
        <v>66.0</v>
      </c>
      <c r="B84" s="59"/>
      <c r="C84" s="59"/>
      <c r="D84" s="59"/>
      <c r="E84" s="59"/>
      <c r="F84" s="60"/>
      <c r="G84" s="59"/>
      <c r="H84" s="61">
        <f t="shared" si="4"/>
        <v>0</v>
      </c>
      <c r="I84" s="62"/>
      <c r="J84" s="63"/>
      <c r="K84" s="64" t="str">
        <f t="shared" si="18"/>
        <v/>
      </c>
      <c r="L84" s="64"/>
      <c r="M84" s="62"/>
      <c r="N84" s="62"/>
      <c r="O84" s="62"/>
      <c r="P84" s="63">
        <f t="shared" si="8"/>
        <v>0</v>
      </c>
      <c r="Q84" s="64" t="str">
        <f t="shared" si="9"/>
        <v/>
      </c>
      <c r="R84" s="64">
        <f t="shared" si="10"/>
        <v>0</v>
      </c>
      <c r="S84" s="66"/>
      <c r="T84" s="66">
        <f t="shared" si="46"/>
        <v>0</v>
      </c>
      <c r="U84" s="66">
        <f t="shared" si="47"/>
        <v>0</v>
      </c>
      <c r="V84" s="66">
        <f t="shared" si="12"/>
        <v>0</v>
      </c>
      <c r="W84" s="67">
        <f t="shared" si="48"/>
        <v>0</v>
      </c>
      <c r="X84" s="66"/>
      <c r="Y84" s="66"/>
      <c r="Z84" s="62"/>
    </row>
    <row r="85" ht="24.0" hidden="1" customHeight="1">
      <c r="A85" s="57">
        <v>67.0</v>
      </c>
      <c r="B85" s="59"/>
      <c r="C85" s="59"/>
      <c r="D85" s="59"/>
      <c r="E85" s="59"/>
      <c r="F85" s="60"/>
      <c r="G85" s="59"/>
      <c r="H85" s="61">
        <f t="shared" si="4"/>
        <v>0</v>
      </c>
      <c r="I85" s="62"/>
      <c r="J85" s="63"/>
      <c r="K85" s="64" t="str">
        <f t="shared" si="18"/>
        <v/>
      </c>
      <c r="L85" s="64"/>
      <c r="M85" s="62"/>
      <c r="N85" s="62"/>
      <c r="O85" s="62"/>
      <c r="P85" s="63">
        <f t="shared" si="8"/>
        <v>0</v>
      </c>
      <c r="Q85" s="64" t="str">
        <f t="shared" si="9"/>
        <v/>
      </c>
      <c r="R85" s="64">
        <f t="shared" si="10"/>
        <v>0</v>
      </c>
      <c r="S85" s="66"/>
      <c r="T85" s="66">
        <f t="shared" si="46"/>
        <v>0</v>
      </c>
      <c r="U85" s="66">
        <f t="shared" si="47"/>
        <v>0</v>
      </c>
      <c r="V85" s="66">
        <f t="shared" si="12"/>
        <v>0</v>
      </c>
      <c r="W85" s="67">
        <f t="shared" si="48"/>
        <v>0</v>
      </c>
      <c r="X85" s="66"/>
      <c r="Y85" s="66"/>
      <c r="Z85" s="62"/>
    </row>
    <row r="86" ht="24.0" hidden="1" customHeight="1">
      <c r="A86" s="57">
        <v>68.0</v>
      </c>
      <c r="B86" s="59"/>
      <c r="C86" s="59"/>
      <c r="D86" s="59"/>
      <c r="E86" s="59"/>
      <c r="F86" s="60"/>
      <c r="G86" s="59"/>
      <c r="H86" s="61">
        <f t="shared" si="4"/>
        <v>0</v>
      </c>
      <c r="I86" s="62"/>
      <c r="J86" s="63"/>
      <c r="K86" s="64" t="str">
        <f t="shared" si="18"/>
        <v/>
      </c>
      <c r="L86" s="64"/>
      <c r="M86" s="62"/>
      <c r="N86" s="62"/>
      <c r="O86" s="62"/>
      <c r="P86" s="63">
        <f t="shared" si="8"/>
        <v>0</v>
      </c>
      <c r="Q86" s="64" t="str">
        <f t="shared" si="9"/>
        <v/>
      </c>
      <c r="R86" s="64">
        <f t="shared" si="10"/>
        <v>0</v>
      </c>
      <c r="S86" s="66"/>
      <c r="T86" s="66">
        <f t="shared" si="46"/>
        <v>0</v>
      </c>
      <c r="U86" s="66">
        <f t="shared" si="47"/>
        <v>0</v>
      </c>
      <c r="V86" s="66">
        <f t="shared" si="12"/>
        <v>0</v>
      </c>
      <c r="W86" s="67">
        <f t="shared" si="48"/>
        <v>0</v>
      </c>
      <c r="X86" s="66"/>
      <c r="Y86" s="66"/>
      <c r="Z86" s="62"/>
    </row>
    <row r="87" ht="24.0" hidden="1" customHeight="1">
      <c r="A87" s="57">
        <v>69.0</v>
      </c>
      <c r="B87" s="59"/>
      <c r="C87" s="59"/>
      <c r="D87" s="59"/>
      <c r="E87" s="59"/>
      <c r="F87" s="60"/>
      <c r="G87" s="59"/>
      <c r="H87" s="61">
        <f t="shared" si="4"/>
        <v>0</v>
      </c>
      <c r="I87" s="62"/>
      <c r="J87" s="63"/>
      <c r="K87" s="64" t="str">
        <f t="shared" si="18"/>
        <v/>
      </c>
      <c r="L87" s="64"/>
      <c r="M87" s="62"/>
      <c r="N87" s="62"/>
      <c r="O87" s="62"/>
      <c r="P87" s="63">
        <f t="shared" si="8"/>
        <v>0</v>
      </c>
      <c r="Q87" s="64" t="str">
        <f t="shared" si="9"/>
        <v/>
      </c>
      <c r="R87" s="64">
        <f t="shared" si="10"/>
        <v>0</v>
      </c>
      <c r="S87" s="66"/>
      <c r="T87" s="66">
        <f t="shared" si="46"/>
        <v>0</v>
      </c>
      <c r="U87" s="66">
        <f t="shared" si="47"/>
        <v>0</v>
      </c>
      <c r="V87" s="66">
        <f t="shared" si="12"/>
        <v>0</v>
      </c>
      <c r="W87" s="67">
        <f t="shared" si="48"/>
        <v>0</v>
      </c>
      <c r="X87" s="66"/>
      <c r="Y87" s="66"/>
      <c r="Z87" s="62"/>
    </row>
    <row r="88" ht="24.0" hidden="1" customHeight="1">
      <c r="A88" s="57">
        <v>70.0</v>
      </c>
      <c r="B88" s="59"/>
      <c r="C88" s="59"/>
      <c r="D88" s="59"/>
      <c r="E88" s="59"/>
      <c r="F88" s="60"/>
      <c r="G88" s="59"/>
      <c r="H88" s="61">
        <f t="shared" si="4"/>
        <v>0</v>
      </c>
      <c r="I88" s="62"/>
      <c r="J88" s="63"/>
      <c r="K88" s="64"/>
      <c r="L88" s="64"/>
      <c r="M88" s="62"/>
      <c r="N88" s="62"/>
      <c r="O88" s="62"/>
      <c r="P88" s="63">
        <f t="shared" si="8"/>
        <v>0</v>
      </c>
      <c r="Q88" s="64" t="str">
        <f t="shared" si="9"/>
        <v/>
      </c>
      <c r="R88" s="64">
        <f t="shared" si="10"/>
        <v>0</v>
      </c>
      <c r="S88" s="66"/>
      <c r="T88" s="66">
        <f t="shared" si="46"/>
        <v>0</v>
      </c>
      <c r="U88" s="66">
        <f t="shared" si="47"/>
        <v>0</v>
      </c>
      <c r="V88" s="66">
        <f t="shared" si="12"/>
        <v>0</v>
      </c>
      <c r="W88" s="67">
        <f t="shared" si="48"/>
        <v>0</v>
      </c>
      <c r="X88" s="66"/>
      <c r="Y88" s="66"/>
      <c r="Z88" s="62"/>
    </row>
    <row r="89" ht="24.0" hidden="1" customHeight="1">
      <c r="A89" s="57">
        <v>71.0</v>
      </c>
      <c r="B89" s="59"/>
      <c r="C89" s="59"/>
      <c r="D89" s="59"/>
      <c r="E89" s="59"/>
      <c r="F89" s="60"/>
      <c r="G89" s="59"/>
      <c r="H89" s="61">
        <f t="shared" si="4"/>
        <v>0</v>
      </c>
      <c r="I89" s="62"/>
      <c r="J89" s="63"/>
      <c r="K89" s="64"/>
      <c r="L89" s="64"/>
      <c r="M89" s="62"/>
      <c r="N89" s="62"/>
      <c r="O89" s="62"/>
      <c r="P89" s="63">
        <f t="shared" si="8"/>
        <v>0</v>
      </c>
      <c r="Q89" s="64" t="str">
        <f t="shared" si="9"/>
        <v/>
      </c>
      <c r="R89" s="64">
        <f t="shared" si="10"/>
        <v>0</v>
      </c>
      <c r="S89" s="66"/>
      <c r="T89" s="66">
        <f t="shared" si="46"/>
        <v>0</v>
      </c>
      <c r="U89" s="66">
        <f t="shared" si="47"/>
        <v>0</v>
      </c>
      <c r="V89" s="66">
        <f t="shared" si="12"/>
        <v>0</v>
      </c>
      <c r="W89" s="67">
        <f t="shared" si="48"/>
        <v>0</v>
      </c>
      <c r="X89" s="66"/>
      <c r="Y89" s="66"/>
      <c r="Z89" s="62"/>
    </row>
    <row r="90" ht="24.0" hidden="1" customHeight="1">
      <c r="A90" s="57">
        <v>72.0</v>
      </c>
      <c r="B90" s="59"/>
      <c r="C90" s="59"/>
      <c r="D90" s="59"/>
      <c r="E90" s="59"/>
      <c r="F90" s="60"/>
      <c r="G90" s="59"/>
      <c r="H90" s="61">
        <f t="shared" si="4"/>
        <v>0</v>
      </c>
      <c r="I90" s="62"/>
      <c r="J90" s="63"/>
      <c r="K90" s="64"/>
      <c r="L90" s="64"/>
      <c r="M90" s="62"/>
      <c r="N90" s="62"/>
      <c r="O90" s="62"/>
      <c r="P90" s="63">
        <f t="shared" si="8"/>
        <v>0</v>
      </c>
      <c r="Q90" s="64" t="str">
        <f t="shared" si="9"/>
        <v/>
      </c>
      <c r="R90" s="64">
        <f t="shared" si="10"/>
        <v>0</v>
      </c>
      <c r="S90" s="66"/>
      <c r="T90" s="66">
        <f t="shared" si="46"/>
        <v>0</v>
      </c>
      <c r="U90" s="66">
        <f t="shared" si="47"/>
        <v>0</v>
      </c>
      <c r="V90" s="66">
        <f t="shared" si="12"/>
        <v>0</v>
      </c>
      <c r="W90" s="67">
        <f t="shared" si="48"/>
        <v>0</v>
      </c>
      <c r="X90" s="66"/>
      <c r="Y90" s="66"/>
      <c r="Z90" s="62"/>
    </row>
    <row r="91" ht="24.0" hidden="1" customHeight="1">
      <c r="A91" s="57">
        <v>73.0</v>
      </c>
      <c r="B91" s="59"/>
      <c r="C91" s="59"/>
      <c r="D91" s="59"/>
      <c r="E91" s="59"/>
      <c r="F91" s="60"/>
      <c r="G91" s="59"/>
      <c r="H91" s="61">
        <f t="shared" si="4"/>
        <v>0</v>
      </c>
      <c r="I91" s="62"/>
      <c r="J91" s="63"/>
      <c r="K91" s="64"/>
      <c r="L91" s="64"/>
      <c r="M91" s="62"/>
      <c r="N91" s="62"/>
      <c r="O91" s="62"/>
      <c r="P91" s="63">
        <f t="shared" si="8"/>
        <v>0</v>
      </c>
      <c r="Q91" s="64" t="str">
        <f t="shared" si="9"/>
        <v/>
      </c>
      <c r="R91" s="64">
        <f t="shared" si="10"/>
        <v>0</v>
      </c>
      <c r="S91" s="66"/>
      <c r="T91" s="66">
        <f t="shared" si="46"/>
        <v>0</v>
      </c>
      <c r="U91" s="66">
        <f t="shared" si="47"/>
        <v>0</v>
      </c>
      <c r="V91" s="66">
        <f t="shared" si="12"/>
        <v>0</v>
      </c>
      <c r="W91" s="67">
        <f t="shared" si="48"/>
        <v>0</v>
      </c>
      <c r="X91" s="66"/>
      <c r="Y91" s="66"/>
      <c r="Z91" s="62"/>
    </row>
    <row r="92" ht="24.0" hidden="1" customHeight="1">
      <c r="A92" s="57">
        <v>74.0</v>
      </c>
      <c r="B92" s="59"/>
      <c r="C92" s="59"/>
      <c r="D92" s="59"/>
      <c r="E92" s="59"/>
      <c r="F92" s="60"/>
      <c r="G92" s="59"/>
      <c r="H92" s="61">
        <f t="shared" si="4"/>
        <v>0</v>
      </c>
      <c r="I92" s="62"/>
      <c r="J92" s="63"/>
      <c r="K92" s="64"/>
      <c r="L92" s="64"/>
      <c r="M92" s="62"/>
      <c r="N92" s="62"/>
      <c r="O92" s="62"/>
      <c r="P92" s="63">
        <f t="shared" si="8"/>
        <v>0</v>
      </c>
      <c r="Q92" s="64" t="str">
        <f t="shared" si="9"/>
        <v/>
      </c>
      <c r="R92" s="64">
        <f t="shared" si="10"/>
        <v>0</v>
      </c>
      <c r="S92" s="66"/>
      <c r="T92" s="66">
        <f t="shared" si="46"/>
        <v>0</v>
      </c>
      <c r="U92" s="66">
        <f t="shared" si="47"/>
        <v>0</v>
      </c>
      <c r="V92" s="66">
        <f t="shared" si="12"/>
        <v>0</v>
      </c>
      <c r="W92" s="67">
        <f t="shared" si="48"/>
        <v>0</v>
      </c>
      <c r="X92" s="66"/>
      <c r="Y92" s="66"/>
      <c r="Z92" s="62"/>
    </row>
    <row r="93" ht="24.0" hidden="1" customHeight="1">
      <c r="A93" s="57">
        <v>75.0</v>
      </c>
      <c r="B93" s="59"/>
      <c r="C93" s="59"/>
      <c r="D93" s="59"/>
      <c r="E93" s="59"/>
      <c r="F93" s="60"/>
      <c r="G93" s="59"/>
      <c r="H93" s="61">
        <f t="shared" si="4"/>
        <v>0</v>
      </c>
      <c r="I93" s="62"/>
      <c r="J93" s="63"/>
      <c r="K93" s="64"/>
      <c r="L93" s="64"/>
      <c r="M93" s="62"/>
      <c r="N93" s="62"/>
      <c r="O93" s="62"/>
      <c r="P93" s="63">
        <f t="shared" si="8"/>
        <v>0</v>
      </c>
      <c r="Q93" s="64" t="str">
        <f t="shared" si="9"/>
        <v/>
      </c>
      <c r="R93" s="64">
        <f t="shared" si="10"/>
        <v>0</v>
      </c>
      <c r="S93" s="66"/>
      <c r="T93" s="66">
        <f t="shared" si="46"/>
        <v>0</v>
      </c>
      <c r="U93" s="66">
        <f t="shared" si="47"/>
        <v>0</v>
      </c>
      <c r="V93" s="66">
        <f t="shared" si="12"/>
        <v>0</v>
      </c>
      <c r="W93" s="67">
        <f t="shared" si="48"/>
        <v>0</v>
      </c>
      <c r="X93" s="66"/>
      <c r="Y93" s="66"/>
      <c r="Z93" s="62"/>
    </row>
    <row r="94" ht="24.0" hidden="1" customHeight="1">
      <c r="A94" s="57">
        <v>76.0</v>
      </c>
      <c r="B94" s="59"/>
      <c r="C94" s="59"/>
      <c r="D94" s="59"/>
      <c r="E94" s="59"/>
      <c r="F94" s="60"/>
      <c r="G94" s="59"/>
      <c r="H94" s="61">
        <f t="shared" si="4"/>
        <v>0</v>
      </c>
      <c r="I94" s="62"/>
      <c r="J94" s="63"/>
      <c r="K94" s="64"/>
      <c r="L94" s="64"/>
      <c r="M94" s="62"/>
      <c r="N94" s="62"/>
      <c r="O94" s="62"/>
      <c r="P94" s="63">
        <f t="shared" si="8"/>
        <v>0</v>
      </c>
      <c r="Q94" s="64" t="str">
        <f t="shared" si="9"/>
        <v/>
      </c>
      <c r="R94" s="64">
        <f t="shared" si="10"/>
        <v>0</v>
      </c>
      <c r="S94" s="66"/>
      <c r="T94" s="66">
        <f t="shared" si="46"/>
        <v>0</v>
      </c>
      <c r="U94" s="66">
        <f t="shared" si="47"/>
        <v>0</v>
      </c>
      <c r="V94" s="66">
        <f t="shared" si="12"/>
        <v>0</v>
      </c>
      <c r="W94" s="67">
        <f t="shared" si="48"/>
        <v>0</v>
      </c>
      <c r="X94" s="66"/>
      <c r="Y94" s="66"/>
      <c r="Z94" s="62"/>
    </row>
    <row r="95" ht="24.0" hidden="1" customHeight="1">
      <c r="A95" s="57">
        <v>77.0</v>
      </c>
      <c r="B95" s="59"/>
      <c r="C95" s="59"/>
      <c r="D95" s="59"/>
      <c r="E95" s="59"/>
      <c r="F95" s="60"/>
      <c r="G95" s="59"/>
      <c r="H95" s="61">
        <f t="shared" si="4"/>
        <v>0</v>
      </c>
      <c r="I95" s="62"/>
      <c r="J95" s="63"/>
      <c r="K95" s="64"/>
      <c r="L95" s="64"/>
      <c r="M95" s="62"/>
      <c r="N95" s="62"/>
      <c r="O95" s="62"/>
      <c r="P95" s="63">
        <f t="shared" si="8"/>
        <v>0</v>
      </c>
      <c r="Q95" s="64" t="str">
        <f t="shared" si="9"/>
        <v/>
      </c>
      <c r="R95" s="64">
        <f t="shared" si="10"/>
        <v>0</v>
      </c>
      <c r="S95" s="66"/>
      <c r="T95" s="66">
        <f t="shared" si="46"/>
        <v>0</v>
      </c>
      <c r="U95" s="66">
        <f t="shared" si="47"/>
        <v>0</v>
      </c>
      <c r="V95" s="66">
        <f t="shared" si="12"/>
        <v>0</v>
      </c>
      <c r="W95" s="67">
        <f t="shared" si="48"/>
        <v>0</v>
      </c>
      <c r="X95" s="66"/>
      <c r="Y95" s="66"/>
      <c r="Z95" s="62"/>
    </row>
    <row r="96" ht="24.0" hidden="1" customHeight="1">
      <c r="A96" s="57">
        <v>78.0</v>
      </c>
      <c r="B96" s="59"/>
      <c r="C96" s="59"/>
      <c r="D96" s="59"/>
      <c r="E96" s="59"/>
      <c r="F96" s="60"/>
      <c r="G96" s="59"/>
      <c r="H96" s="61">
        <f t="shared" si="4"/>
        <v>0</v>
      </c>
      <c r="I96" s="62"/>
      <c r="J96" s="63"/>
      <c r="K96" s="64"/>
      <c r="L96" s="64"/>
      <c r="M96" s="62"/>
      <c r="N96" s="62"/>
      <c r="O96" s="62"/>
      <c r="P96" s="63">
        <f t="shared" si="8"/>
        <v>0</v>
      </c>
      <c r="Q96" s="64" t="str">
        <f t="shared" si="9"/>
        <v/>
      </c>
      <c r="R96" s="64">
        <f t="shared" si="10"/>
        <v>0</v>
      </c>
      <c r="S96" s="66"/>
      <c r="T96" s="66">
        <f t="shared" si="46"/>
        <v>0</v>
      </c>
      <c r="U96" s="66">
        <f t="shared" si="47"/>
        <v>0</v>
      </c>
      <c r="V96" s="66">
        <f t="shared" si="12"/>
        <v>0</v>
      </c>
      <c r="W96" s="67">
        <f t="shared" si="48"/>
        <v>0</v>
      </c>
      <c r="X96" s="66"/>
      <c r="Y96" s="66"/>
      <c r="Z96" s="62"/>
    </row>
    <row r="97" ht="24.0" hidden="1" customHeight="1">
      <c r="A97" s="57">
        <v>79.0</v>
      </c>
      <c r="B97" s="59"/>
      <c r="C97" s="59"/>
      <c r="D97" s="59"/>
      <c r="E97" s="59"/>
      <c r="F97" s="60"/>
      <c r="G97" s="59"/>
      <c r="H97" s="61">
        <f t="shared" si="4"/>
        <v>0</v>
      </c>
      <c r="I97" s="62"/>
      <c r="J97" s="63"/>
      <c r="K97" s="64"/>
      <c r="L97" s="64"/>
      <c r="M97" s="62"/>
      <c r="N97" s="62"/>
      <c r="O97" s="62"/>
      <c r="P97" s="63">
        <f t="shared" si="8"/>
        <v>0</v>
      </c>
      <c r="Q97" s="64" t="str">
        <f t="shared" si="9"/>
        <v/>
      </c>
      <c r="R97" s="64">
        <f t="shared" si="10"/>
        <v>0</v>
      </c>
      <c r="S97" s="66"/>
      <c r="T97" s="66">
        <f t="shared" si="46"/>
        <v>0</v>
      </c>
      <c r="U97" s="66">
        <f t="shared" si="47"/>
        <v>0</v>
      </c>
      <c r="V97" s="66">
        <f t="shared" si="12"/>
        <v>0</v>
      </c>
      <c r="W97" s="67">
        <f t="shared" si="48"/>
        <v>0</v>
      </c>
      <c r="X97" s="66"/>
      <c r="Y97" s="66"/>
      <c r="Z97" s="62"/>
    </row>
    <row r="98" ht="24.0" hidden="1" customHeight="1">
      <c r="A98" s="57">
        <v>80.0</v>
      </c>
      <c r="B98" s="59"/>
      <c r="C98" s="59"/>
      <c r="D98" s="59"/>
      <c r="E98" s="59"/>
      <c r="F98" s="60"/>
      <c r="G98" s="59"/>
      <c r="H98" s="61">
        <f t="shared" si="4"/>
        <v>0</v>
      </c>
      <c r="I98" s="62"/>
      <c r="J98" s="63"/>
      <c r="K98" s="64"/>
      <c r="L98" s="64"/>
      <c r="M98" s="62"/>
      <c r="N98" s="62"/>
      <c r="O98" s="62"/>
      <c r="P98" s="63">
        <f t="shared" si="8"/>
        <v>0</v>
      </c>
      <c r="Q98" s="64" t="str">
        <f t="shared" si="9"/>
        <v/>
      </c>
      <c r="R98" s="64">
        <f t="shared" si="10"/>
        <v>0</v>
      </c>
      <c r="S98" s="66"/>
      <c r="T98" s="66">
        <f t="shared" si="46"/>
        <v>0</v>
      </c>
      <c r="U98" s="66">
        <f t="shared" si="47"/>
        <v>0</v>
      </c>
      <c r="V98" s="66">
        <f t="shared" si="12"/>
        <v>0</v>
      </c>
      <c r="W98" s="67">
        <f t="shared" si="48"/>
        <v>0</v>
      </c>
      <c r="X98" s="66"/>
      <c r="Y98" s="66"/>
      <c r="Z98" s="62"/>
    </row>
    <row r="99" ht="24.0" hidden="1" customHeight="1">
      <c r="A99" s="57">
        <v>81.0</v>
      </c>
      <c r="B99" s="59"/>
      <c r="C99" s="59"/>
      <c r="D99" s="59"/>
      <c r="E99" s="59"/>
      <c r="F99" s="60"/>
      <c r="G99" s="59"/>
      <c r="H99" s="61">
        <f t="shared" si="4"/>
        <v>0</v>
      </c>
      <c r="I99" s="62"/>
      <c r="J99" s="63"/>
      <c r="K99" s="64" t="str">
        <f>+G99</f>
        <v/>
      </c>
      <c r="L99" s="64"/>
      <c r="M99" s="62"/>
      <c r="N99" s="62"/>
      <c r="O99" s="62"/>
      <c r="P99" s="63">
        <f t="shared" si="8"/>
        <v>0</v>
      </c>
      <c r="Q99" s="64" t="str">
        <f t="shared" si="9"/>
        <v/>
      </c>
      <c r="R99" s="64">
        <f t="shared" si="10"/>
        <v>0</v>
      </c>
      <c r="S99" s="66"/>
      <c r="T99" s="66">
        <f t="shared" si="46"/>
        <v>0</v>
      </c>
      <c r="U99" s="66">
        <f t="shared" si="47"/>
        <v>0</v>
      </c>
      <c r="V99" s="66">
        <f t="shared" si="12"/>
        <v>0</v>
      </c>
      <c r="W99" s="67">
        <f t="shared" si="48"/>
        <v>0</v>
      </c>
      <c r="X99" s="66"/>
      <c r="Y99" s="66"/>
      <c r="Z99" s="62"/>
    </row>
    <row r="100" ht="30.75" customHeight="1">
      <c r="A100" s="50"/>
      <c r="B100" s="50"/>
      <c r="C100" s="50"/>
      <c r="D100" s="50"/>
      <c r="E100" s="50"/>
      <c r="F100" s="54"/>
      <c r="G100" s="27">
        <f t="shared" ref="G100:H100" si="49">SUM(G19:G99)</f>
        <v>55</v>
      </c>
      <c r="H100" s="61">
        <f t="shared" si="49"/>
        <v>12286.586</v>
      </c>
      <c r="I100" s="26"/>
      <c r="J100" s="77">
        <f t="shared" ref="J100:L100" si="50">SUM(J19:J99)</f>
        <v>157.4038</v>
      </c>
      <c r="K100" s="77">
        <f t="shared" si="50"/>
        <v>54</v>
      </c>
      <c r="L100" s="77">
        <f t="shared" si="50"/>
        <v>207.2386</v>
      </c>
      <c r="P100" s="78">
        <f>+Q25</f>
        <v>1</v>
      </c>
      <c r="Q100" s="79">
        <f t="shared" ref="Q100:R100" si="51">SUM(Q19:Q99)</f>
        <v>55</v>
      </c>
      <c r="R100" s="79">
        <f t="shared" si="51"/>
        <v>274.15</v>
      </c>
      <c r="S100" s="4"/>
      <c r="T100" s="4"/>
      <c r="U100" s="4"/>
      <c r="V100" s="4"/>
      <c r="W100" s="80">
        <f>SUM(W19:W99)</f>
        <v>469.637256</v>
      </c>
      <c r="X100" s="4"/>
      <c r="Y100" s="4"/>
    </row>
    <row r="101" ht="13.5" customHeight="1">
      <c r="A101" s="50"/>
      <c r="B101" s="50"/>
      <c r="C101" s="50"/>
      <c r="D101" s="50"/>
      <c r="E101" s="50"/>
      <c r="F101" s="81"/>
      <c r="G101" s="50"/>
      <c r="H101" s="50"/>
      <c r="S101" s="4"/>
      <c r="T101" s="4"/>
      <c r="U101" s="4"/>
      <c r="V101" s="4"/>
      <c r="W101" s="4"/>
      <c r="X101" s="4"/>
      <c r="Y101" s="4"/>
    </row>
    <row r="102" ht="12.75" customHeight="1">
      <c r="B102" s="4"/>
      <c r="C102" s="4"/>
      <c r="D102" s="4"/>
      <c r="E102" s="4"/>
      <c r="F102" s="3"/>
      <c r="G102" s="4"/>
      <c r="H102" s="4"/>
      <c r="Q102" s="10">
        <f>+Q100-P100</f>
        <v>54</v>
      </c>
      <c r="S102" s="4"/>
      <c r="T102" s="4"/>
      <c r="U102" s="4"/>
      <c r="V102" s="4"/>
      <c r="W102" s="4"/>
      <c r="X102" s="4"/>
      <c r="Y102" s="4"/>
    </row>
    <row r="103" ht="12.75" customHeight="1">
      <c r="B103" s="4"/>
      <c r="C103" s="4"/>
      <c r="D103" s="4"/>
      <c r="E103" s="4"/>
      <c r="F103" s="3"/>
      <c r="G103" s="4"/>
      <c r="H103" s="4"/>
      <c r="S103" s="4"/>
      <c r="T103" s="4"/>
      <c r="U103" s="4"/>
      <c r="V103" s="4"/>
      <c r="W103" s="4"/>
      <c r="X103" s="4"/>
      <c r="Y103" s="4"/>
    </row>
    <row r="104" ht="12.75" customHeight="1">
      <c r="B104" s="4"/>
      <c r="C104" s="4"/>
      <c r="D104" s="4"/>
      <c r="E104" s="4"/>
      <c r="F104" s="3"/>
      <c r="G104" s="4"/>
      <c r="H104" s="4"/>
      <c r="P104" s="2" t="s">
        <v>31</v>
      </c>
      <c r="Q104" s="82">
        <f>+H25</f>
        <v>88.42</v>
      </c>
      <c r="S104" s="4"/>
      <c r="T104" s="4"/>
      <c r="U104" s="4"/>
      <c r="V104" s="4"/>
      <c r="W104" s="4"/>
      <c r="X104" s="4"/>
      <c r="Y104" s="4"/>
    </row>
    <row r="105" ht="18.0" customHeight="1">
      <c r="A105" s="7" t="s">
        <v>32</v>
      </c>
      <c r="B105" s="4"/>
      <c r="C105" s="4"/>
      <c r="D105" s="4" t="s">
        <v>33</v>
      </c>
      <c r="E105" s="4"/>
      <c r="F105" s="3"/>
      <c r="G105" s="4"/>
      <c r="H105" s="4"/>
      <c r="P105" s="2" t="s">
        <v>34</v>
      </c>
      <c r="Q105" s="83">
        <f>+H100-Q104</f>
        <v>12198.166</v>
      </c>
      <c r="S105" s="4"/>
      <c r="T105" s="4"/>
      <c r="U105" s="4"/>
      <c r="V105" s="4"/>
      <c r="W105" s="4"/>
      <c r="X105" s="4"/>
      <c r="Y105" s="4"/>
    </row>
    <row r="106" ht="13.5" customHeight="1">
      <c r="B106" s="4"/>
      <c r="C106" s="4"/>
      <c r="D106" s="4"/>
      <c r="E106" s="4"/>
      <c r="F106" s="3"/>
      <c r="G106" s="4"/>
      <c r="H106" s="4"/>
      <c r="S106" s="4"/>
      <c r="T106" s="4"/>
      <c r="U106" s="4"/>
      <c r="V106" s="4"/>
      <c r="W106" s="4"/>
      <c r="X106" s="4"/>
      <c r="Y106" s="4"/>
    </row>
    <row r="107" ht="32.25" customHeight="1">
      <c r="A107" s="84"/>
      <c r="B107" s="85" t="s">
        <v>12</v>
      </c>
      <c r="C107" s="15" t="s">
        <v>13</v>
      </c>
      <c r="D107" s="16"/>
      <c r="E107" s="12"/>
      <c r="F107" s="86" t="s">
        <v>14</v>
      </c>
      <c r="G107" s="87" t="s">
        <v>15</v>
      </c>
      <c r="H107" s="88" t="s">
        <v>16</v>
      </c>
      <c r="S107" s="4"/>
      <c r="T107" s="4"/>
      <c r="U107" s="4"/>
      <c r="V107" s="4"/>
      <c r="W107" s="4"/>
      <c r="X107" s="4"/>
      <c r="Y107" s="4"/>
    </row>
    <row r="108" ht="24.75" customHeight="1">
      <c r="A108" s="64">
        <v>1.0</v>
      </c>
      <c r="B108" s="74" t="s">
        <v>35</v>
      </c>
      <c r="C108" s="74">
        <v>83.0</v>
      </c>
      <c r="D108" s="74">
        <v>208.0</v>
      </c>
      <c r="E108" s="74">
        <v>116.0</v>
      </c>
      <c r="F108" s="75">
        <f>10%*50.06</f>
        <v>5.006</v>
      </c>
      <c r="G108" s="74">
        <v>1.0</v>
      </c>
      <c r="H108" s="76">
        <f t="shared" ref="H108:H114" si="52">+G108*F108</f>
        <v>5.006</v>
      </c>
      <c r="I108" s="62"/>
      <c r="J108" s="63">
        <f>D108*25.4/1000</f>
        <v>5.2832</v>
      </c>
      <c r="K108" s="64">
        <f>+G108</f>
        <v>1</v>
      </c>
      <c r="L108" s="64">
        <f>K108*J108</f>
        <v>5.2832</v>
      </c>
      <c r="M108" s="62"/>
      <c r="N108" s="62"/>
      <c r="O108" s="62"/>
      <c r="P108" s="62"/>
      <c r="Q108" s="62"/>
      <c r="R108" s="62"/>
      <c r="S108" s="66"/>
      <c r="T108" s="66"/>
      <c r="U108" s="66"/>
      <c r="V108" s="66"/>
      <c r="W108" s="66"/>
      <c r="X108" s="66"/>
      <c r="Y108" s="66"/>
      <c r="Z108" s="62"/>
    </row>
    <row r="109" ht="24.75" customHeight="1">
      <c r="A109" s="64">
        <v>2.0</v>
      </c>
      <c r="B109" s="74" t="s">
        <v>36</v>
      </c>
      <c r="C109" s="74">
        <v>99.0</v>
      </c>
      <c r="D109" s="74">
        <v>207.0</v>
      </c>
      <c r="E109" s="74">
        <v>179.0</v>
      </c>
      <c r="F109" s="75">
        <f>10%*66.04</f>
        <v>6.604</v>
      </c>
      <c r="G109" s="74">
        <v>1.0</v>
      </c>
      <c r="H109" s="76">
        <f t="shared" si="52"/>
        <v>6.604</v>
      </c>
      <c r="I109" s="62"/>
      <c r="J109" s="63"/>
      <c r="K109" s="64"/>
      <c r="L109" s="64"/>
      <c r="M109" s="62"/>
      <c r="N109" s="62"/>
      <c r="O109" s="62"/>
      <c r="P109" s="62"/>
      <c r="Q109" s="62"/>
      <c r="R109" s="62"/>
      <c r="S109" s="66"/>
      <c r="T109" s="66"/>
      <c r="U109" s="66"/>
      <c r="V109" s="66"/>
      <c r="W109" s="66"/>
      <c r="X109" s="66"/>
      <c r="Y109" s="66"/>
      <c r="Z109" s="62"/>
    </row>
    <row r="110" ht="24.75" customHeight="1">
      <c r="A110" s="64">
        <v>3.0</v>
      </c>
      <c r="B110" s="74" t="s">
        <v>37</v>
      </c>
      <c r="C110" s="74">
        <v>74.0</v>
      </c>
      <c r="D110" s="74">
        <v>204.0</v>
      </c>
      <c r="E110" s="74">
        <v>170.0</v>
      </c>
      <c r="F110" s="75">
        <f>10%*64.14</f>
        <v>6.414</v>
      </c>
      <c r="G110" s="74">
        <v>1.0</v>
      </c>
      <c r="H110" s="76">
        <f t="shared" si="52"/>
        <v>6.414</v>
      </c>
      <c r="I110" s="62"/>
      <c r="J110" s="63"/>
      <c r="K110" s="64"/>
      <c r="L110" s="64"/>
      <c r="M110" s="62"/>
      <c r="N110" s="62"/>
      <c r="O110" s="62"/>
      <c r="P110" s="62"/>
      <c r="Q110" s="62"/>
      <c r="R110" s="62"/>
      <c r="S110" s="66"/>
      <c r="T110" s="66"/>
      <c r="U110" s="66"/>
      <c r="V110" s="66"/>
      <c r="W110" s="66"/>
      <c r="X110" s="66"/>
      <c r="Y110" s="66"/>
      <c r="Z110" s="62"/>
    </row>
    <row r="111" ht="24.75" hidden="1" customHeight="1">
      <c r="A111" s="64">
        <v>4.0</v>
      </c>
      <c r="B111" s="59"/>
      <c r="C111" s="59"/>
      <c r="D111" s="59"/>
      <c r="E111" s="59"/>
      <c r="F111" s="60"/>
      <c r="G111" s="59"/>
      <c r="H111" s="61">
        <f t="shared" si="52"/>
        <v>0</v>
      </c>
      <c r="I111" s="62"/>
      <c r="J111" s="63"/>
      <c r="K111" s="64"/>
      <c r="L111" s="64"/>
      <c r="M111" s="62"/>
      <c r="N111" s="62"/>
      <c r="O111" s="62"/>
      <c r="P111" s="62"/>
      <c r="Q111" s="62"/>
      <c r="R111" s="62"/>
      <c r="S111" s="66"/>
      <c r="T111" s="66"/>
      <c r="U111" s="66"/>
      <c r="V111" s="66"/>
      <c r="W111" s="66"/>
      <c r="X111" s="66"/>
      <c r="Y111" s="66"/>
      <c r="Z111" s="62"/>
    </row>
    <row r="112" ht="24.75" hidden="1" customHeight="1">
      <c r="A112" s="64">
        <v>5.0</v>
      </c>
      <c r="B112" s="59"/>
      <c r="C112" s="59"/>
      <c r="D112" s="59"/>
      <c r="E112" s="59"/>
      <c r="F112" s="60"/>
      <c r="G112" s="59"/>
      <c r="H112" s="61">
        <f t="shared" si="52"/>
        <v>0</v>
      </c>
      <c r="I112" s="62"/>
      <c r="J112" s="63"/>
      <c r="K112" s="64"/>
      <c r="L112" s="64"/>
      <c r="M112" s="62"/>
      <c r="N112" s="62"/>
      <c r="O112" s="62"/>
      <c r="P112" s="62"/>
      <c r="Q112" s="62"/>
      <c r="R112" s="62"/>
      <c r="S112" s="66"/>
      <c r="T112" s="66"/>
      <c r="U112" s="66"/>
      <c r="V112" s="66"/>
      <c r="W112" s="66"/>
      <c r="X112" s="66"/>
      <c r="Y112" s="66"/>
      <c r="Z112" s="62"/>
    </row>
    <row r="113" ht="24.75" hidden="1" customHeight="1">
      <c r="A113" s="64">
        <v>6.0</v>
      </c>
      <c r="B113" s="59"/>
      <c r="C113" s="59"/>
      <c r="D113" s="59"/>
      <c r="E113" s="59"/>
      <c r="F113" s="60"/>
      <c r="G113" s="59"/>
      <c r="H113" s="61">
        <f t="shared" si="52"/>
        <v>0</v>
      </c>
      <c r="I113" s="62"/>
      <c r="J113" s="63"/>
      <c r="K113" s="64"/>
      <c r="L113" s="64"/>
      <c r="M113" s="62"/>
      <c r="N113" s="62"/>
      <c r="O113" s="62"/>
      <c r="P113" s="62"/>
      <c r="Q113" s="62"/>
      <c r="R113" s="62"/>
      <c r="S113" s="66"/>
      <c r="T113" s="66"/>
      <c r="U113" s="66"/>
      <c r="V113" s="66"/>
      <c r="W113" s="66"/>
      <c r="X113" s="66"/>
      <c r="Y113" s="66"/>
      <c r="Z113" s="62"/>
    </row>
    <row r="114" ht="24.75" hidden="1" customHeight="1">
      <c r="A114" s="64">
        <v>7.0</v>
      </c>
      <c r="B114" s="59"/>
      <c r="C114" s="59"/>
      <c r="D114" s="59"/>
      <c r="E114" s="59"/>
      <c r="F114" s="60"/>
      <c r="G114" s="59"/>
      <c r="H114" s="61">
        <f t="shared" si="52"/>
        <v>0</v>
      </c>
      <c r="I114" s="62"/>
      <c r="J114" s="63">
        <f>D114*25.4/1000</f>
        <v>0</v>
      </c>
      <c r="K114" s="64" t="str">
        <f>+G114</f>
        <v/>
      </c>
      <c r="L114" s="64">
        <f>K114*J114</f>
        <v>0</v>
      </c>
      <c r="M114" s="62"/>
      <c r="N114" s="62"/>
      <c r="O114" s="62"/>
      <c r="P114" s="62"/>
      <c r="Q114" s="89"/>
      <c r="R114" s="62"/>
      <c r="S114" s="66"/>
      <c r="T114" s="66"/>
      <c r="U114" s="66"/>
      <c r="V114" s="66"/>
      <c r="W114" s="66"/>
      <c r="X114" s="66"/>
      <c r="Y114" s="66"/>
      <c r="Z114" s="62"/>
    </row>
    <row r="115" ht="15.75" customHeight="1">
      <c r="A115" s="64"/>
      <c r="B115" s="90"/>
      <c r="C115" s="90"/>
      <c r="D115" s="4"/>
      <c r="E115" s="90"/>
      <c r="F115" s="91" t="s">
        <v>38</v>
      </c>
      <c r="G115" s="90"/>
      <c r="H115" s="92">
        <f>SUM(H108:H114)</f>
        <v>18.024</v>
      </c>
      <c r="P115" s="93"/>
      <c r="S115" s="4"/>
      <c r="T115" s="4"/>
      <c r="U115" s="4"/>
      <c r="V115" s="4"/>
      <c r="W115" s="4"/>
      <c r="X115" s="4"/>
      <c r="Y115" s="4"/>
    </row>
    <row r="116" ht="13.5" customHeight="1">
      <c r="A116" s="45"/>
      <c r="B116" s="45"/>
      <c r="C116" s="45"/>
      <c r="D116" s="45"/>
      <c r="E116" s="45"/>
      <c r="F116" s="94"/>
      <c r="G116" s="45"/>
      <c r="H116" s="49"/>
      <c r="P116" s="93"/>
      <c r="S116" s="4"/>
      <c r="T116" s="4"/>
      <c r="U116" s="4"/>
      <c r="V116" s="4"/>
      <c r="W116" s="4"/>
      <c r="X116" s="4"/>
      <c r="Y116" s="4"/>
    </row>
    <row r="117" ht="12.75" customHeight="1">
      <c r="F117" s="3"/>
      <c r="P117" s="93"/>
      <c r="S117" s="4"/>
      <c r="T117" s="4"/>
      <c r="U117" s="4"/>
      <c r="V117" s="4"/>
      <c r="W117" s="4"/>
      <c r="X117" s="4"/>
      <c r="Y117" s="4"/>
    </row>
    <row r="118" ht="12.75" customHeight="1">
      <c r="F118" s="3"/>
      <c r="P118" s="93"/>
      <c r="S118" s="4"/>
      <c r="T118" s="4"/>
      <c r="U118" s="4"/>
      <c r="V118" s="4"/>
      <c r="W118" s="4"/>
      <c r="X118" s="4"/>
      <c r="Y118" s="4"/>
    </row>
    <row r="119" ht="18.0" customHeight="1">
      <c r="A119" s="7" t="s">
        <v>39</v>
      </c>
      <c r="F119" s="3"/>
      <c r="P119" s="93"/>
      <c r="S119" s="4"/>
      <c r="T119" s="4"/>
      <c r="U119" s="4"/>
      <c r="V119" s="4"/>
      <c r="W119" s="4"/>
      <c r="X119" s="4"/>
      <c r="Y119" s="4"/>
    </row>
    <row r="120" ht="13.5" customHeight="1">
      <c r="F120" s="3"/>
      <c r="P120" s="93"/>
      <c r="S120" s="4"/>
      <c r="T120" s="4"/>
      <c r="U120" s="4"/>
      <c r="V120" s="4"/>
      <c r="W120" s="4"/>
      <c r="X120" s="4"/>
      <c r="Y120" s="4"/>
    </row>
    <row r="121" ht="33.75" customHeight="1">
      <c r="A121" s="84"/>
      <c r="B121" s="85" t="s">
        <v>12</v>
      </c>
      <c r="C121" s="15" t="s">
        <v>40</v>
      </c>
      <c r="D121" s="16"/>
      <c r="E121" s="12"/>
      <c r="F121" s="86" t="s">
        <v>14</v>
      </c>
      <c r="G121" s="87" t="s">
        <v>15</v>
      </c>
      <c r="H121" s="88" t="s">
        <v>16</v>
      </c>
      <c r="P121" s="93"/>
      <c r="S121" s="4"/>
      <c r="T121" s="4"/>
      <c r="U121" s="4"/>
      <c r="V121" s="4"/>
      <c r="W121" s="4"/>
      <c r="X121" s="4"/>
      <c r="Y121" s="4"/>
    </row>
    <row r="122" ht="24.0" customHeight="1">
      <c r="A122" s="95">
        <v>1.0</v>
      </c>
      <c r="B122" s="96" t="s">
        <v>23</v>
      </c>
      <c r="C122" s="18"/>
      <c r="D122" s="27"/>
      <c r="E122" s="27"/>
      <c r="F122" s="97">
        <v>38.0</v>
      </c>
      <c r="G122" s="98">
        <v>1.0</v>
      </c>
      <c r="H122" s="99">
        <f t="shared" ref="H122:H131" si="53">+G122*F122</f>
        <v>38</v>
      </c>
      <c r="I122" s="66"/>
      <c r="J122" s="66"/>
      <c r="K122" s="66"/>
      <c r="L122" s="66"/>
      <c r="M122" s="66"/>
      <c r="N122" s="66"/>
      <c r="O122" s="66"/>
      <c r="P122" s="100"/>
      <c r="Q122" s="66"/>
      <c r="R122" s="66"/>
      <c r="S122" s="66"/>
      <c r="T122" s="66"/>
      <c r="U122" s="66"/>
      <c r="V122" s="66"/>
      <c r="W122" s="66"/>
      <c r="X122" s="66"/>
      <c r="Y122" s="66"/>
      <c r="Z122" s="66"/>
    </row>
    <row r="123" ht="24.0" customHeight="1">
      <c r="A123" s="101">
        <v>2.0</v>
      </c>
      <c r="B123" s="96" t="s">
        <v>23</v>
      </c>
      <c r="C123" s="18"/>
      <c r="D123" s="27"/>
      <c r="E123" s="27"/>
      <c r="F123" s="97">
        <v>13.0</v>
      </c>
      <c r="G123" s="98">
        <v>1.0</v>
      </c>
      <c r="H123" s="32">
        <f t="shared" si="53"/>
        <v>13</v>
      </c>
      <c r="I123" s="66"/>
      <c r="J123" s="66"/>
      <c r="K123" s="66"/>
      <c r="L123" s="66"/>
      <c r="M123" s="66"/>
      <c r="N123" s="66"/>
      <c r="O123" s="66"/>
      <c r="P123" s="100"/>
      <c r="Q123" s="66"/>
      <c r="R123" s="66"/>
      <c r="S123" s="66"/>
      <c r="T123" s="66"/>
      <c r="U123" s="66"/>
      <c r="V123" s="66"/>
      <c r="W123" s="66"/>
      <c r="X123" s="66"/>
      <c r="Y123" s="66"/>
      <c r="Z123" s="66"/>
    </row>
    <row r="124" ht="24.0" customHeight="1">
      <c r="A124" s="95">
        <v>3.0</v>
      </c>
      <c r="B124" s="96" t="s">
        <v>24</v>
      </c>
      <c r="C124" s="27"/>
      <c r="D124" s="27"/>
      <c r="E124" s="27"/>
      <c r="F124" s="102">
        <v>39.0</v>
      </c>
      <c r="G124" s="98">
        <v>1.0</v>
      </c>
      <c r="H124" s="32">
        <f t="shared" si="53"/>
        <v>39</v>
      </c>
      <c r="I124" s="66"/>
      <c r="J124" s="66"/>
      <c r="K124" s="66"/>
      <c r="L124" s="66"/>
      <c r="M124" s="66"/>
      <c r="N124" s="66"/>
      <c r="O124" s="66"/>
      <c r="P124" s="103"/>
      <c r="Q124" s="66"/>
      <c r="R124" s="66"/>
      <c r="S124" s="66"/>
      <c r="T124" s="66"/>
      <c r="U124" s="66"/>
      <c r="V124" s="66"/>
      <c r="W124" s="66"/>
      <c r="X124" s="66"/>
      <c r="Y124" s="66"/>
      <c r="Z124" s="66"/>
    </row>
    <row r="125" ht="24.0" customHeight="1">
      <c r="A125" s="101">
        <v>4.0</v>
      </c>
      <c r="B125" s="96" t="s">
        <v>24</v>
      </c>
      <c r="C125" s="27"/>
      <c r="D125" s="27"/>
      <c r="E125" s="27"/>
      <c r="F125" s="102">
        <v>14.0</v>
      </c>
      <c r="G125" s="98">
        <v>1.0</v>
      </c>
      <c r="H125" s="32">
        <f t="shared" si="53"/>
        <v>14</v>
      </c>
      <c r="I125" s="66"/>
      <c r="J125" s="66"/>
      <c r="K125" s="66"/>
      <c r="L125" s="66"/>
      <c r="M125" s="66"/>
      <c r="N125" s="66"/>
      <c r="O125" s="66"/>
      <c r="P125" s="103"/>
      <c r="Q125" s="66"/>
      <c r="R125" s="66"/>
      <c r="S125" s="66"/>
      <c r="T125" s="66"/>
      <c r="U125" s="66"/>
      <c r="V125" s="66"/>
      <c r="W125" s="66"/>
      <c r="X125" s="66"/>
      <c r="Y125" s="66"/>
      <c r="Z125" s="66"/>
    </row>
    <row r="126" ht="24.0" customHeight="1">
      <c r="A126" s="95">
        <v>5.0</v>
      </c>
      <c r="B126" s="96" t="s">
        <v>26</v>
      </c>
      <c r="C126" s="27"/>
      <c r="D126" s="27"/>
      <c r="E126" s="27"/>
      <c r="F126" s="102">
        <v>33.0</v>
      </c>
      <c r="G126" s="98">
        <v>1.0</v>
      </c>
      <c r="H126" s="32">
        <f t="shared" si="53"/>
        <v>33</v>
      </c>
      <c r="I126" s="66"/>
      <c r="J126" s="66"/>
      <c r="K126" s="66"/>
      <c r="L126" s="66"/>
      <c r="M126" s="66"/>
      <c r="N126" s="66"/>
      <c r="O126" s="66"/>
      <c r="P126" s="103"/>
      <c r="Q126" s="66"/>
      <c r="R126" s="66"/>
      <c r="S126" s="66"/>
      <c r="T126" s="66"/>
      <c r="U126" s="66"/>
      <c r="V126" s="66"/>
      <c r="W126" s="66"/>
      <c r="X126" s="66"/>
      <c r="Y126" s="66"/>
      <c r="Z126" s="66"/>
    </row>
    <row r="127" ht="24.0" customHeight="1">
      <c r="A127" s="101">
        <v>6.0</v>
      </c>
      <c r="B127" s="96" t="s">
        <v>26</v>
      </c>
      <c r="C127" s="27"/>
      <c r="D127" s="104"/>
      <c r="E127" s="27"/>
      <c r="F127" s="102">
        <v>12.0</v>
      </c>
      <c r="G127" s="98">
        <v>1.0</v>
      </c>
      <c r="H127" s="32">
        <f t="shared" si="53"/>
        <v>12</v>
      </c>
      <c r="I127" s="66"/>
      <c r="J127" s="66"/>
      <c r="K127" s="66"/>
      <c r="L127" s="66"/>
      <c r="M127" s="66"/>
      <c r="N127" s="66"/>
      <c r="O127" s="66"/>
      <c r="P127" s="103"/>
      <c r="Q127" s="66"/>
      <c r="R127" s="66"/>
      <c r="S127" s="66"/>
      <c r="T127" s="66"/>
      <c r="U127" s="66"/>
      <c r="V127" s="66"/>
      <c r="W127" s="66"/>
      <c r="X127" s="66"/>
      <c r="Y127" s="66"/>
      <c r="Z127" s="66"/>
    </row>
    <row r="128" ht="24.0" customHeight="1">
      <c r="A128" s="95">
        <v>7.0</v>
      </c>
      <c r="B128" s="96" t="s">
        <v>30</v>
      </c>
      <c r="C128" s="27"/>
      <c r="D128" s="104"/>
      <c r="E128" s="27"/>
      <c r="F128" s="102">
        <v>24.0</v>
      </c>
      <c r="G128" s="98">
        <v>1.0</v>
      </c>
      <c r="H128" s="32">
        <f t="shared" si="53"/>
        <v>24</v>
      </c>
      <c r="I128" s="66"/>
      <c r="J128" s="66"/>
      <c r="K128" s="66"/>
      <c r="L128" s="66"/>
      <c r="M128" s="66"/>
      <c r="N128" s="66"/>
      <c r="O128" s="66"/>
      <c r="P128" s="103"/>
      <c r="Q128" s="66"/>
      <c r="R128" s="66"/>
      <c r="S128" s="66"/>
      <c r="T128" s="66"/>
      <c r="U128" s="66"/>
      <c r="V128" s="66"/>
      <c r="W128" s="66"/>
      <c r="X128" s="66"/>
      <c r="Y128" s="66"/>
      <c r="Z128" s="66"/>
    </row>
    <row r="129" ht="24.0" customHeight="1">
      <c r="A129" s="101">
        <v>8.0</v>
      </c>
      <c r="B129" s="96" t="s">
        <v>30</v>
      </c>
      <c r="C129" s="27"/>
      <c r="D129" s="104"/>
      <c r="E129" s="27"/>
      <c r="F129" s="102">
        <v>9.0</v>
      </c>
      <c r="G129" s="98">
        <v>1.0</v>
      </c>
      <c r="H129" s="32">
        <f t="shared" si="53"/>
        <v>9</v>
      </c>
      <c r="I129" s="66"/>
      <c r="J129" s="66"/>
      <c r="K129" s="66"/>
      <c r="L129" s="66"/>
      <c r="M129" s="66"/>
      <c r="N129" s="66"/>
      <c r="O129" s="66"/>
      <c r="P129" s="103"/>
      <c r="Q129" s="66"/>
      <c r="R129" s="66"/>
      <c r="S129" s="66"/>
      <c r="T129" s="66"/>
      <c r="U129" s="66"/>
      <c r="V129" s="66"/>
      <c r="W129" s="66"/>
      <c r="X129" s="66"/>
      <c r="Y129" s="66"/>
      <c r="Z129" s="66"/>
    </row>
    <row r="130" ht="24.0" customHeight="1">
      <c r="A130" s="95">
        <v>9.0</v>
      </c>
      <c r="B130" s="96" t="s">
        <v>28</v>
      </c>
      <c r="C130" s="27"/>
      <c r="D130" s="104"/>
      <c r="E130" s="27"/>
      <c r="F130" s="102">
        <v>34.0</v>
      </c>
      <c r="G130" s="98">
        <v>1.0</v>
      </c>
      <c r="H130" s="32">
        <f t="shared" si="53"/>
        <v>34</v>
      </c>
      <c r="I130" s="66"/>
      <c r="J130" s="66"/>
      <c r="K130" s="66"/>
      <c r="L130" s="66"/>
      <c r="M130" s="66"/>
      <c r="N130" s="66"/>
      <c r="O130" s="66"/>
      <c r="P130" s="103"/>
      <c r="Q130" s="66"/>
      <c r="R130" s="66"/>
      <c r="S130" s="66"/>
      <c r="T130" s="66"/>
      <c r="U130" s="66"/>
      <c r="V130" s="66"/>
      <c r="W130" s="66"/>
      <c r="X130" s="66"/>
      <c r="Y130" s="66"/>
      <c r="Z130" s="66"/>
    </row>
    <row r="131" ht="24.0" customHeight="1">
      <c r="A131" s="101">
        <v>10.0</v>
      </c>
      <c r="B131" s="96" t="s">
        <v>28</v>
      </c>
      <c r="C131" s="27"/>
      <c r="D131" s="105"/>
      <c r="E131" s="27"/>
      <c r="F131" s="102">
        <v>12.0</v>
      </c>
      <c r="G131" s="98">
        <v>1.0</v>
      </c>
      <c r="H131" s="32">
        <f t="shared" si="53"/>
        <v>12</v>
      </c>
      <c r="I131" s="66"/>
      <c r="J131" s="66"/>
      <c r="K131" s="66"/>
      <c r="L131" s="66"/>
      <c r="M131" s="66"/>
      <c r="N131" s="66"/>
      <c r="O131" s="66"/>
      <c r="P131" s="103"/>
      <c r="Q131" s="66"/>
      <c r="R131" s="66"/>
      <c r="S131" s="66"/>
      <c r="T131" s="66"/>
      <c r="U131" s="66"/>
      <c r="V131" s="66"/>
      <c r="W131" s="66"/>
      <c r="X131" s="66"/>
      <c r="Y131" s="66"/>
      <c r="Z131" s="66"/>
    </row>
    <row r="132" ht="15.75" customHeight="1">
      <c r="A132" s="4"/>
      <c r="B132" s="90"/>
      <c r="C132" s="90"/>
      <c r="E132" s="90"/>
      <c r="F132" s="91" t="s">
        <v>38</v>
      </c>
      <c r="G132" s="90"/>
      <c r="H132" s="106">
        <f>SUM(H122:H131)</f>
        <v>228</v>
      </c>
      <c r="P132" s="93"/>
      <c r="S132" s="4"/>
      <c r="T132" s="4"/>
      <c r="U132" s="4"/>
      <c r="V132" s="4"/>
      <c r="W132" s="4"/>
      <c r="X132" s="4"/>
      <c r="Y132" s="4"/>
    </row>
    <row r="133" ht="13.5" customHeight="1">
      <c r="A133" s="45"/>
      <c r="B133" s="45"/>
      <c r="C133" s="45"/>
      <c r="D133" s="45"/>
      <c r="E133" s="45"/>
      <c r="F133" s="94"/>
      <c r="G133" s="45"/>
      <c r="H133" s="49"/>
      <c r="P133" s="93"/>
      <c r="S133" s="4"/>
      <c r="T133" s="4"/>
      <c r="U133" s="4"/>
      <c r="V133" s="4"/>
      <c r="W133" s="4"/>
      <c r="X133" s="4"/>
      <c r="Y133" s="4"/>
    </row>
    <row r="134" ht="12.75" customHeight="1">
      <c r="F134" s="3"/>
      <c r="P134" s="93"/>
      <c r="S134" s="4"/>
      <c r="T134" s="4"/>
      <c r="U134" s="4"/>
      <c r="V134" s="4"/>
      <c r="W134" s="4"/>
      <c r="X134" s="4"/>
      <c r="Y134" s="4"/>
    </row>
    <row r="135" ht="12.75" customHeight="1">
      <c r="F135" s="3"/>
      <c r="P135" s="93"/>
      <c r="S135" s="4"/>
      <c r="T135" s="4"/>
      <c r="U135" s="4"/>
      <c r="V135" s="4"/>
      <c r="W135" s="4"/>
      <c r="X135" s="4"/>
      <c r="Y135" s="4"/>
    </row>
    <row r="136" ht="19.5" customHeight="1">
      <c r="A136" s="107" t="s">
        <v>41</v>
      </c>
      <c r="F136" s="3"/>
      <c r="P136" s="93"/>
      <c r="S136" s="4"/>
      <c r="T136" s="4"/>
      <c r="U136" s="4"/>
      <c r="V136" s="4"/>
      <c r="W136" s="4"/>
      <c r="X136" s="4"/>
      <c r="Y136" s="4"/>
    </row>
    <row r="137" ht="48.0" customHeight="1">
      <c r="A137" s="108"/>
      <c r="B137" s="13" t="s">
        <v>42</v>
      </c>
      <c r="C137" s="13" t="s">
        <v>43</v>
      </c>
      <c r="D137" s="13" t="s">
        <v>44</v>
      </c>
      <c r="E137" s="13" t="s">
        <v>45</v>
      </c>
      <c r="F137" s="109" t="s">
        <v>46</v>
      </c>
      <c r="G137" s="17" t="s">
        <v>47</v>
      </c>
      <c r="H137" s="66"/>
      <c r="I137" s="66"/>
      <c r="J137" s="66"/>
      <c r="K137" s="66"/>
      <c r="L137" s="66"/>
      <c r="M137" s="66"/>
      <c r="N137" s="66"/>
      <c r="O137" s="66"/>
      <c r="P137" s="93"/>
      <c r="Q137" s="66"/>
      <c r="R137" s="66"/>
      <c r="S137" s="66"/>
      <c r="T137" s="66"/>
      <c r="U137" s="66"/>
      <c r="V137" s="66"/>
      <c r="W137" s="66"/>
      <c r="X137" s="66"/>
      <c r="Y137" s="66"/>
      <c r="Z137" s="66"/>
    </row>
    <row r="138" ht="15.75" customHeight="1">
      <c r="A138" s="110" t="s">
        <v>48</v>
      </c>
      <c r="B138" s="111">
        <f>+E12</f>
        <v>0</v>
      </c>
      <c r="C138" s="112">
        <f>+H100</f>
        <v>12286.586</v>
      </c>
      <c r="D138" s="112">
        <f>+H115</f>
        <v>18.024</v>
      </c>
      <c r="E138" s="113">
        <f>+H132</f>
        <v>228</v>
      </c>
      <c r="F138" s="114">
        <f>+G12</f>
        <v>0</v>
      </c>
      <c r="G138" s="115">
        <f>+B138-C138-D138-E138-F138</f>
        <v>-12532.61</v>
      </c>
      <c r="P138" s="93"/>
      <c r="S138" s="4"/>
      <c r="T138" s="4"/>
      <c r="U138" s="4"/>
      <c r="V138" s="4"/>
      <c r="W138" s="4"/>
      <c r="X138" s="4"/>
      <c r="Y138" s="4"/>
    </row>
    <row r="139" ht="16.5" customHeight="1">
      <c r="A139" s="116" t="s">
        <v>49</v>
      </c>
      <c r="B139" s="105"/>
      <c r="C139" s="117" t="str">
        <f>+C138/B138</f>
        <v>#DIV/0!</v>
      </c>
      <c r="D139" s="118" t="str">
        <f>+D138/B138</f>
        <v>#DIV/0!</v>
      </c>
      <c r="E139" s="118" t="str">
        <f>+E138/B138</f>
        <v>#DIV/0!</v>
      </c>
      <c r="F139" s="119" t="str">
        <f>+F138/B138</f>
        <v>#DIV/0!</v>
      </c>
      <c r="G139" s="120" t="str">
        <f>+G138/B138</f>
        <v>#DIV/0!</v>
      </c>
      <c r="P139" s="93"/>
      <c r="S139" s="4"/>
      <c r="T139" s="4"/>
      <c r="U139" s="4"/>
      <c r="V139" s="4"/>
      <c r="W139" s="4"/>
      <c r="X139" s="4"/>
      <c r="Y139" s="4"/>
    </row>
    <row r="140" ht="16.5" customHeight="1">
      <c r="A140" s="121"/>
      <c r="B140" s="122"/>
      <c r="C140" s="123"/>
      <c r="D140" s="123"/>
      <c r="E140" s="123"/>
      <c r="F140" s="124"/>
      <c r="G140" s="125"/>
      <c r="P140" s="93"/>
      <c r="S140" s="4"/>
      <c r="T140" s="4"/>
      <c r="U140" s="4"/>
      <c r="V140" s="4"/>
      <c r="W140" s="4"/>
      <c r="X140" s="4"/>
      <c r="Y140" s="4"/>
    </row>
    <row r="141" ht="16.5" customHeight="1">
      <c r="A141" s="126"/>
      <c r="B141" s="90"/>
      <c r="C141" s="90"/>
      <c r="D141" s="127" t="s">
        <v>50</v>
      </c>
      <c r="E141" s="127" t="s">
        <v>48</v>
      </c>
      <c r="F141" s="128">
        <f>+D138+E138+F138+G138</f>
        <v>-12286.586</v>
      </c>
      <c r="G141" s="129"/>
      <c r="P141" s="130"/>
      <c r="S141" s="4"/>
      <c r="T141" s="4"/>
      <c r="U141" s="4"/>
      <c r="V141" s="4"/>
      <c r="W141" s="4"/>
      <c r="X141" s="4"/>
      <c r="Y141" s="4"/>
    </row>
    <row r="142" ht="16.5" customHeight="1">
      <c r="A142" s="131"/>
      <c r="B142" s="4"/>
      <c r="C142" s="4"/>
      <c r="D142" s="2"/>
      <c r="E142" s="26" t="s">
        <v>49</v>
      </c>
      <c r="F142" s="132" t="str">
        <f>+F141/B138</f>
        <v>#DIV/0!</v>
      </c>
      <c r="G142" s="133"/>
      <c r="P142" s="130"/>
      <c r="S142" s="4"/>
      <c r="T142" s="4"/>
      <c r="U142" s="4"/>
      <c r="V142" s="4"/>
      <c r="W142" s="4"/>
      <c r="X142" s="4"/>
      <c r="Y142" s="4"/>
    </row>
    <row r="143" ht="15.75" customHeight="1">
      <c r="A143" s="134"/>
      <c r="B143" s="66"/>
      <c r="C143" s="26" t="s">
        <v>51</v>
      </c>
      <c r="D143" s="66"/>
      <c r="E143" s="66"/>
      <c r="F143" s="135"/>
      <c r="G143" s="136"/>
      <c r="P143" s="137"/>
      <c r="S143" s="4"/>
      <c r="T143" s="4"/>
      <c r="U143" s="4"/>
      <c r="V143" s="4"/>
      <c r="W143" s="4"/>
      <c r="X143" s="4"/>
      <c r="Y143" s="4"/>
    </row>
    <row r="144" ht="15.75" customHeight="1">
      <c r="A144" s="134"/>
      <c r="B144" s="66"/>
      <c r="C144" s="66"/>
      <c r="D144" s="26" t="s">
        <v>52</v>
      </c>
      <c r="E144" s="66"/>
      <c r="F144" s="135">
        <f>+F143*(F141-F138)</f>
        <v>0</v>
      </c>
      <c r="G144" s="136"/>
      <c r="S144" s="4"/>
      <c r="T144" s="4"/>
      <c r="U144" s="4"/>
      <c r="V144" s="4"/>
      <c r="W144" s="4"/>
      <c r="X144" s="4"/>
      <c r="Y144" s="4"/>
    </row>
    <row r="145" ht="13.5" customHeight="1">
      <c r="A145" s="44"/>
      <c r="B145" s="45"/>
      <c r="C145" s="45"/>
      <c r="D145" s="45"/>
      <c r="E145" s="45"/>
      <c r="F145" s="94"/>
      <c r="G145" s="138"/>
      <c r="S145" s="4"/>
      <c r="T145" s="4"/>
      <c r="U145" s="4"/>
      <c r="V145" s="4"/>
      <c r="W145" s="4"/>
      <c r="X145" s="4"/>
      <c r="Y145" s="4"/>
    </row>
    <row r="146" ht="12.75" customHeight="1">
      <c r="F146" s="3"/>
      <c r="S146" s="4"/>
      <c r="T146" s="4"/>
      <c r="U146" s="4"/>
      <c r="V146" s="4"/>
      <c r="W146" s="4"/>
      <c r="X146" s="4"/>
      <c r="Y146" s="4"/>
    </row>
    <row r="147" ht="12.75" customHeight="1">
      <c r="F147" s="3"/>
      <c r="S147" s="4"/>
      <c r="T147" s="4"/>
      <c r="U147" s="4"/>
      <c r="V147" s="4"/>
      <c r="W147" s="4"/>
      <c r="X147" s="4"/>
      <c r="Y147" s="4"/>
    </row>
    <row r="148" ht="12.75" customHeight="1">
      <c r="F148" s="3"/>
      <c r="S148" s="4"/>
      <c r="T148" s="4"/>
      <c r="U148" s="4"/>
      <c r="V148" s="4"/>
      <c r="W148" s="4"/>
      <c r="X148" s="4"/>
      <c r="Y148" s="4"/>
    </row>
    <row r="149" ht="12.75" customHeight="1">
      <c r="F149" s="3"/>
      <c r="S149" s="4"/>
      <c r="T149" s="4"/>
      <c r="U149" s="4"/>
      <c r="V149" s="4"/>
      <c r="W149" s="4"/>
      <c r="X149" s="4"/>
      <c r="Y149" s="4"/>
    </row>
    <row r="150" ht="12.75" customHeight="1">
      <c r="F150" s="3"/>
      <c r="S150" s="4"/>
      <c r="T150" s="4"/>
      <c r="U150" s="4"/>
      <c r="V150" s="4"/>
      <c r="W150" s="4"/>
      <c r="X150" s="4"/>
      <c r="Y150" s="4"/>
    </row>
    <row r="151" ht="12.75" customHeight="1">
      <c r="F151" s="3"/>
      <c r="S151" s="4"/>
      <c r="T151" s="4"/>
      <c r="U151" s="4"/>
      <c r="V151" s="4"/>
      <c r="W151" s="4"/>
      <c r="X151" s="4"/>
      <c r="Y151" s="4"/>
    </row>
    <row r="152" ht="12.75" customHeight="1">
      <c r="F152" s="3"/>
      <c r="S152" s="4"/>
      <c r="T152" s="4"/>
      <c r="U152" s="4"/>
      <c r="V152" s="4"/>
      <c r="W152" s="4"/>
      <c r="X152" s="4"/>
      <c r="Y152" s="4"/>
    </row>
    <row r="153" ht="12.75" customHeight="1">
      <c r="F153" s="3"/>
      <c r="S153" s="4"/>
      <c r="T153" s="4"/>
      <c r="U153" s="4"/>
      <c r="V153" s="4"/>
      <c r="W153" s="4"/>
      <c r="X153" s="4"/>
      <c r="Y153" s="4"/>
    </row>
    <row r="154" ht="12.75" customHeight="1">
      <c r="F154" s="3"/>
      <c r="S154" s="4"/>
      <c r="T154" s="4"/>
      <c r="U154" s="4"/>
      <c r="V154" s="4"/>
      <c r="W154" s="4"/>
      <c r="X154" s="4"/>
      <c r="Y154" s="4"/>
    </row>
    <row r="155" ht="12.75" customHeight="1">
      <c r="F155" s="3"/>
      <c r="S155" s="4"/>
      <c r="T155" s="4"/>
      <c r="U155" s="4"/>
      <c r="V155" s="4"/>
      <c r="W155" s="4"/>
      <c r="X155" s="4"/>
      <c r="Y155" s="4"/>
    </row>
    <row r="156" ht="12.75" customHeight="1">
      <c r="F156" s="3"/>
      <c r="S156" s="4"/>
      <c r="T156" s="4"/>
      <c r="U156" s="4"/>
      <c r="V156" s="4"/>
      <c r="W156" s="4"/>
      <c r="X156" s="4"/>
      <c r="Y156" s="4"/>
    </row>
    <row r="157" ht="12.75" customHeight="1">
      <c r="F157" s="3"/>
      <c r="S157" s="4"/>
      <c r="T157" s="4"/>
      <c r="U157" s="4"/>
      <c r="V157" s="4"/>
      <c r="W157" s="4"/>
      <c r="X157" s="4"/>
      <c r="Y157" s="4"/>
    </row>
    <row r="158" ht="12.75" customHeight="1">
      <c r="F158" s="3"/>
      <c r="S158" s="4"/>
      <c r="T158" s="4"/>
      <c r="U158" s="4"/>
      <c r="V158" s="4"/>
      <c r="W158" s="4"/>
      <c r="X158" s="4"/>
      <c r="Y158" s="4"/>
    </row>
    <row r="159" ht="12.75" customHeight="1">
      <c r="F159" s="3"/>
      <c r="S159" s="4"/>
      <c r="T159" s="4"/>
      <c r="U159" s="4"/>
      <c r="V159" s="4"/>
      <c r="W159" s="4"/>
      <c r="X159" s="4"/>
      <c r="Y159" s="4"/>
    </row>
    <row r="160" ht="12.75" customHeight="1">
      <c r="F160" s="3"/>
      <c r="S160" s="4"/>
      <c r="T160" s="4"/>
      <c r="U160" s="4"/>
      <c r="V160" s="4"/>
      <c r="W160" s="4"/>
      <c r="X160" s="4"/>
      <c r="Y160" s="4"/>
    </row>
    <row r="161" ht="12.75" customHeight="1">
      <c r="F161" s="3"/>
      <c r="S161" s="4"/>
      <c r="T161" s="4"/>
      <c r="U161" s="4"/>
      <c r="V161" s="4"/>
      <c r="W161" s="4"/>
      <c r="X161" s="4"/>
      <c r="Y161" s="4"/>
    </row>
    <row r="162" ht="12.75" customHeight="1">
      <c r="F162" s="3"/>
      <c r="S162" s="4"/>
      <c r="T162" s="4"/>
      <c r="U162" s="4"/>
      <c r="V162" s="4"/>
      <c r="W162" s="4"/>
      <c r="X162" s="4"/>
      <c r="Y162" s="4"/>
    </row>
    <row r="163" ht="12.75" customHeight="1">
      <c r="F163" s="3"/>
      <c r="S163" s="4"/>
      <c r="T163" s="4"/>
      <c r="U163" s="4"/>
      <c r="V163" s="4"/>
      <c r="W163" s="4"/>
      <c r="X163" s="4"/>
      <c r="Y163" s="4"/>
    </row>
    <row r="164" ht="12.75" customHeight="1">
      <c r="F164" s="3"/>
      <c r="S164" s="4"/>
      <c r="T164" s="4"/>
      <c r="U164" s="4"/>
      <c r="V164" s="4"/>
      <c r="W164" s="4"/>
      <c r="X164" s="4"/>
      <c r="Y164" s="4"/>
    </row>
    <row r="165" ht="12.75" customHeight="1">
      <c r="F165" s="3"/>
      <c r="S165" s="4"/>
      <c r="T165" s="4"/>
      <c r="U165" s="4"/>
      <c r="V165" s="4"/>
      <c r="W165" s="4"/>
      <c r="X165" s="4"/>
      <c r="Y165" s="4"/>
    </row>
    <row r="166" ht="12.75" customHeight="1">
      <c r="F166" s="3"/>
      <c r="S166" s="4"/>
      <c r="T166" s="4"/>
      <c r="U166" s="4"/>
      <c r="V166" s="4"/>
      <c r="W166" s="4"/>
      <c r="X166" s="4"/>
      <c r="Y166" s="4"/>
    </row>
    <row r="167" ht="12.75" customHeight="1">
      <c r="F167" s="3"/>
      <c r="S167" s="4"/>
      <c r="T167" s="4"/>
      <c r="U167" s="4"/>
      <c r="V167" s="4"/>
      <c r="W167" s="4"/>
      <c r="X167" s="4"/>
      <c r="Y167" s="4"/>
    </row>
    <row r="168" ht="12.75" customHeight="1">
      <c r="F168" s="3"/>
      <c r="S168" s="4"/>
      <c r="T168" s="4"/>
      <c r="U168" s="4"/>
      <c r="V168" s="4"/>
      <c r="W168" s="4"/>
      <c r="X168" s="4"/>
      <c r="Y168" s="4"/>
    </row>
    <row r="169" ht="12.75" customHeight="1">
      <c r="F169" s="3"/>
      <c r="S169" s="4"/>
      <c r="T169" s="4"/>
      <c r="U169" s="4"/>
      <c r="V169" s="4"/>
      <c r="W169" s="4"/>
      <c r="X169" s="4"/>
      <c r="Y169" s="4"/>
    </row>
    <row r="170" ht="12.75" customHeight="1">
      <c r="F170" s="3"/>
      <c r="S170" s="4"/>
      <c r="T170" s="4"/>
      <c r="U170" s="4"/>
      <c r="V170" s="4"/>
      <c r="W170" s="4"/>
      <c r="X170" s="4"/>
      <c r="Y170" s="4"/>
    </row>
    <row r="171" ht="12.75" customHeight="1">
      <c r="F171" s="3"/>
      <c r="S171" s="4"/>
      <c r="T171" s="4"/>
      <c r="U171" s="4"/>
      <c r="V171" s="4"/>
      <c r="W171" s="4"/>
      <c r="X171" s="4"/>
      <c r="Y171" s="4"/>
    </row>
    <row r="172" ht="12.75" customHeight="1">
      <c r="F172" s="3"/>
      <c r="S172" s="4"/>
      <c r="T172" s="4"/>
      <c r="U172" s="4"/>
      <c r="V172" s="4"/>
      <c r="W172" s="4"/>
      <c r="X172" s="4"/>
      <c r="Y172" s="4"/>
    </row>
    <row r="173" ht="12.75" customHeight="1">
      <c r="F173" s="3"/>
      <c r="S173" s="4"/>
      <c r="T173" s="4"/>
      <c r="U173" s="4"/>
      <c r="V173" s="4"/>
      <c r="W173" s="4"/>
      <c r="X173" s="4"/>
      <c r="Y173" s="4"/>
    </row>
    <row r="174" ht="12.75" customHeight="1">
      <c r="F174" s="3"/>
      <c r="S174" s="4"/>
      <c r="T174" s="4"/>
      <c r="U174" s="4"/>
      <c r="V174" s="4"/>
      <c r="W174" s="4"/>
      <c r="X174" s="4"/>
      <c r="Y174" s="4"/>
    </row>
    <row r="175" ht="12.75" customHeight="1">
      <c r="F175" s="3"/>
      <c r="S175" s="4"/>
      <c r="T175" s="4"/>
      <c r="U175" s="4"/>
      <c r="V175" s="4"/>
      <c r="W175" s="4"/>
      <c r="X175" s="4"/>
      <c r="Y175" s="4"/>
    </row>
    <row r="176" ht="12.75" customHeight="1">
      <c r="F176" s="3"/>
      <c r="S176" s="4"/>
      <c r="T176" s="4"/>
      <c r="U176" s="4"/>
      <c r="V176" s="4"/>
      <c r="W176" s="4"/>
      <c r="X176" s="4"/>
      <c r="Y176" s="4"/>
    </row>
    <row r="177" ht="12.75" customHeight="1">
      <c r="F177" s="3"/>
      <c r="S177" s="4"/>
      <c r="T177" s="4"/>
      <c r="U177" s="4"/>
      <c r="V177" s="4"/>
      <c r="W177" s="4"/>
      <c r="X177" s="4"/>
      <c r="Y177" s="4"/>
    </row>
    <row r="178" ht="12.75" customHeight="1">
      <c r="F178" s="3"/>
      <c r="S178" s="4"/>
      <c r="T178" s="4"/>
      <c r="U178" s="4"/>
      <c r="V178" s="4"/>
      <c r="W178" s="4"/>
      <c r="X178" s="4"/>
      <c r="Y178" s="4"/>
    </row>
    <row r="179" ht="12.75" customHeight="1">
      <c r="F179" s="3"/>
      <c r="S179" s="4"/>
      <c r="T179" s="4"/>
      <c r="U179" s="4"/>
      <c r="V179" s="4"/>
      <c r="W179" s="4"/>
      <c r="X179" s="4"/>
      <c r="Y179" s="4"/>
    </row>
    <row r="180" ht="12.75" customHeight="1">
      <c r="F180" s="3"/>
      <c r="S180" s="4"/>
      <c r="T180" s="4"/>
      <c r="U180" s="4"/>
      <c r="V180" s="4"/>
      <c r="W180" s="4"/>
      <c r="X180" s="4"/>
      <c r="Y180" s="4"/>
    </row>
    <row r="181" ht="12.75" customHeight="1">
      <c r="F181" s="3"/>
      <c r="S181" s="4"/>
      <c r="T181" s="4"/>
      <c r="U181" s="4"/>
      <c r="V181" s="4"/>
      <c r="W181" s="4"/>
      <c r="X181" s="4"/>
      <c r="Y181" s="4"/>
    </row>
    <row r="182" ht="12.75" customHeight="1">
      <c r="F182" s="3"/>
      <c r="S182" s="4"/>
      <c r="T182" s="4"/>
      <c r="U182" s="4"/>
      <c r="V182" s="4"/>
      <c r="W182" s="4"/>
      <c r="X182" s="4"/>
      <c r="Y182" s="4"/>
    </row>
    <row r="183" ht="12.75" customHeight="1">
      <c r="F183" s="3"/>
      <c r="S183" s="4"/>
      <c r="T183" s="4"/>
      <c r="U183" s="4"/>
      <c r="V183" s="4"/>
      <c r="W183" s="4"/>
      <c r="X183" s="4"/>
      <c r="Y183" s="4"/>
    </row>
    <row r="184" ht="12.75" customHeight="1">
      <c r="F184" s="3"/>
      <c r="S184" s="4"/>
      <c r="T184" s="4"/>
      <c r="U184" s="4"/>
      <c r="V184" s="4"/>
      <c r="W184" s="4"/>
      <c r="X184" s="4"/>
      <c r="Y184" s="4"/>
    </row>
    <row r="185" ht="12.75" customHeight="1">
      <c r="F185" s="3"/>
      <c r="S185" s="4"/>
      <c r="T185" s="4"/>
      <c r="U185" s="4"/>
      <c r="V185" s="4"/>
      <c r="W185" s="4"/>
      <c r="X185" s="4"/>
      <c r="Y185" s="4"/>
    </row>
    <row r="186" ht="12.75" customHeight="1">
      <c r="F186" s="3"/>
      <c r="S186" s="4"/>
      <c r="T186" s="4"/>
      <c r="U186" s="4"/>
      <c r="V186" s="4"/>
      <c r="W186" s="4"/>
      <c r="X186" s="4"/>
      <c r="Y186" s="4"/>
    </row>
    <row r="187" ht="12.75" customHeight="1">
      <c r="F187" s="3"/>
      <c r="S187" s="4"/>
      <c r="T187" s="4"/>
      <c r="U187" s="4"/>
      <c r="V187" s="4"/>
      <c r="W187" s="4"/>
      <c r="X187" s="4"/>
      <c r="Y187" s="4"/>
    </row>
    <row r="188" ht="12.75" customHeight="1">
      <c r="F188" s="3"/>
      <c r="S188" s="4"/>
      <c r="T188" s="4"/>
      <c r="U188" s="4"/>
      <c r="V188" s="4"/>
      <c r="W188" s="4"/>
      <c r="X188" s="4"/>
      <c r="Y188" s="4"/>
    </row>
    <row r="189" ht="12.75" customHeight="1">
      <c r="F189" s="3"/>
      <c r="S189" s="4"/>
      <c r="T189" s="4"/>
      <c r="U189" s="4"/>
      <c r="V189" s="4"/>
      <c r="W189" s="4"/>
      <c r="X189" s="4"/>
      <c r="Y189" s="4"/>
    </row>
    <row r="190" ht="12.75" customHeight="1">
      <c r="F190" s="3"/>
      <c r="S190" s="4"/>
      <c r="T190" s="4"/>
      <c r="U190" s="4"/>
      <c r="V190" s="4"/>
      <c r="W190" s="4"/>
      <c r="X190" s="4"/>
      <c r="Y190" s="4"/>
    </row>
    <row r="191" ht="12.75" customHeight="1">
      <c r="F191" s="3"/>
      <c r="S191" s="4"/>
      <c r="T191" s="4"/>
      <c r="U191" s="4"/>
      <c r="V191" s="4"/>
      <c r="W191" s="4"/>
      <c r="X191" s="4"/>
      <c r="Y191" s="4"/>
    </row>
    <row r="192" ht="12.75" customHeight="1">
      <c r="F192" s="3"/>
      <c r="S192" s="4"/>
      <c r="T192" s="4"/>
      <c r="U192" s="4"/>
      <c r="V192" s="4"/>
      <c r="W192" s="4"/>
      <c r="X192" s="4"/>
      <c r="Y192" s="4"/>
    </row>
    <row r="193" ht="12.75" customHeight="1">
      <c r="F193" s="3"/>
      <c r="S193" s="4"/>
      <c r="T193" s="4"/>
      <c r="U193" s="4"/>
      <c r="V193" s="4"/>
      <c r="W193" s="4"/>
      <c r="X193" s="4"/>
      <c r="Y193" s="4"/>
    </row>
    <row r="194" ht="12.75" customHeight="1">
      <c r="F194" s="3"/>
      <c r="S194" s="4"/>
      <c r="T194" s="4"/>
      <c r="U194" s="4"/>
      <c r="V194" s="4"/>
      <c r="W194" s="4"/>
      <c r="X194" s="4"/>
      <c r="Y194" s="4"/>
    </row>
    <row r="195" ht="12.75" customHeight="1">
      <c r="F195" s="3"/>
      <c r="S195" s="4"/>
      <c r="T195" s="4"/>
      <c r="U195" s="4"/>
      <c r="V195" s="4"/>
      <c r="W195" s="4"/>
      <c r="X195" s="4"/>
      <c r="Y195" s="4"/>
    </row>
    <row r="196" ht="12.75" customHeight="1">
      <c r="F196" s="3"/>
      <c r="S196" s="4"/>
      <c r="T196" s="4"/>
      <c r="U196" s="4"/>
      <c r="V196" s="4"/>
      <c r="W196" s="4"/>
      <c r="X196" s="4"/>
      <c r="Y196" s="4"/>
    </row>
    <row r="197" ht="12.75" customHeight="1">
      <c r="F197" s="3"/>
      <c r="S197" s="4"/>
      <c r="T197" s="4"/>
      <c r="U197" s="4"/>
      <c r="V197" s="4"/>
      <c r="W197" s="4"/>
      <c r="X197" s="4"/>
      <c r="Y197" s="4"/>
    </row>
    <row r="198" ht="12.75" customHeight="1">
      <c r="F198" s="3"/>
      <c r="S198" s="4"/>
      <c r="T198" s="4"/>
      <c r="U198" s="4"/>
      <c r="V198" s="4"/>
      <c r="W198" s="4"/>
      <c r="X198" s="4"/>
      <c r="Y198" s="4"/>
    </row>
    <row r="199" ht="12.75" customHeight="1">
      <c r="F199" s="3"/>
      <c r="S199" s="4"/>
      <c r="T199" s="4"/>
      <c r="U199" s="4"/>
      <c r="V199" s="4"/>
      <c r="W199" s="4"/>
      <c r="X199" s="4"/>
      <c r="Y199" s="4"/>
    </row>
    <row r="200" ht="12.75" customHeight="1">
      <c r="F200" s="3"/>
      <c r="S200" s="4"/>
      <c r="T200" s="4"/>
      <c r="U200" s="4"/>
      <c r="V200" s="4"/>
      <c r="W200" s="4"/>
      <c r="X200" s="4"/>
      <c r="Y200" s="4"/>
    </row>
    <row r="201" ht="12.75" customHeight="1">
      <c r="F201" s="3"/>
      <c r="S201" s="4"/>
      <c r="T201" s="4"/>
      <c r="U201" s="4"/>
      <c r="V201" s="4"/>
      <c r="W201" s="4"/>
      <c r="X201" s="4"/>
      <c r="Y201" s="4"/>
    </row>
    <row r="202" ht="12.75" customHeight="1">
      <c r="F202" s="3"/>
      <c r="S202" s="4"/>
      <c r="T202" s="4"/>
      <c r="U202" s="4"/>
      <c r="V202" s="4"/>
      <c r="W202" s="4"/>
      <c r="X202" s="4"/>
      <c r="Y202" s="4"/>
    </row>
    <row r="203" ht="12.75" customHeight="1">
      <c r="F203" s="3"/>
      <c r="S203" s="4"/>
      <c r="T203" s="4"/>
      <c r="U203" s="4"/>
      <c r="V203" s="4"/>
      <c r="W203" s="4"/>
      <c r="X203" s="4"/>
      <c r="Y203" s="4"/>
    </row>
    <row r="204" ht="12.75" customHeight="1">
      <c r="F204" s="3"/>
      <c r="S204" s="4"/>
      <c r="T204" s="4"/>
      <c r="U204" s="4"/>
      <c r="V204" s="4"/>
      <c r="W204" s="4"/>
      <c r="X204" s="4"/>
      <c r="Y204" s="4"/>
    </row>
    <row r="205" ht="12.75" customHeight="1">
      <c r="F205" s="3"/>
      <c r="S205" s="4"/>
      <c r="T205" s="4"/>
      <c r="U205" s="4"/>
      <c r="V205" s="4"/>
      <c r="W205" s="4"/>
      <c r="X205" s="4"/>
      <c r="Y205" s="4"/>
    </row>
    <row r="206" ht="12.75" customHeight="1">
      <c r="F206" s="3"/>
      <c r="S206" s="4"/>
      <c r="T206" s="4"/>
      <c r="U206" s="4"/>
      <c r="V206" s="4"/>
      <c r="W206" s="4"/>
      <c r="X206" s="4"/>
      <c r="Y206" s="4"/>
    </row>
    <row r="207" ht="12.75" customHeight="1">
      <c r="F207" s="3"/>
      <c r="S207" s="4"/>
      <c r="T207" s="4"/>
      <c r="U207" s="4"/>
      <c r="V207" s="4"/>
      <c r="W207" s="4"/>
      <c r="X207" s="4"/>
      <c r="Y207" s="4"/>
    </row>
    <row r="208" ht="12.75" customHeight="1">
      <c r="F208" s="3"/>
      <c r="S208" s="4"/>
      <c r="T208" s="4"/>
      <c r="U208" s="4"/>
      <c r="V208" s="4"/>
      <c r="W208" s="4"/>
      <c r="X208" s="4"/>
      <c r="Y208" s="4"/>
    </row>
    <row r="209" ht="12.75" customHeight="1">
      <c r="F209" s="3"/>
      <c r="S209" s="4"/>
      <c r="T209" s="4"/>
      <c r="U209" s="4"/>
      <c r="V209" s="4"/>
      <c r="W209" s="4"/>
      <c r="X209" s="4"/>
      <c r="Y209" s="4"/>
    </row>
    <row r="210" ht="12.75" customHeight="1">
      <c r="F210" s="3"/>
      <c r="S210" s="4"/>
      <c r="T210" s="4"/>
      <c r="U210" s="4"/>
      <c r="V210" s="4"/>
      <c r="W210" s="4"/>
      <c r="X210" s="4"/>
      <c r="Y210" s="4"/>
    </row>
    <row r="211" ht="12.75" customHeight="1">
      <c r="F211" s="3"/>
      <c r="S211" s="4"/>
      <c r="T211" s="4"/>
      <c r="U211" s="4"/>
      <c r="V211" s="4"/>
      <c r="W211" s="4"/>
      <c r="X211" s="4"/>
      <c r="Y211" s="4"/>
    </row>
    <row r="212" ht="12.75" customHeight="1">
      <c r="F212" s="3"/>
      <c r="S212" s="4"/>
      <c r="T212" s="4"/>
      <c r="U212" s="4"/>
      <c r="V212" s="4"/>
      <c r="W212" s="4"/>
      <c r="X212" s="4"/>
      <c r="Y212" s="4"/>
    </row>
    <row r="213" ht="12.75" customHeight="1">
      <c r="F213" s="3"/>
      <c r="S213" s="4"/>
      <c r="T213" s="4"/>
      <c r="U213" s="4"/>
      <c r="V213" s="4"/>
      <c r="W213" s="4"/>
      <c r="X213" s="4"/>
      <c r="Y213" s="4"/>
    </row>
    <row r="214" ht="12.75" customHeight="1">
      <c r="F214" s="3"/>
      <c r="S214" s="4"/>
      <c r="T214" s="4"/>
      <c r="U214" s="4"/>
      <c r="V214" s="4"/>
      <c r="W214" s="4"/>
      <c r="X214" s="4"/>
      <c r="Y214" s="4"/>
    </row>
    <row r="215" ht="12.75" customHeight="1">
      <c r="F215" s="3"/>
      <c r="S215" s="4"/>
      <c r="T215" s="4"/>
      <c r="U215" s="4"/>
      <c r="V215" s="4"/>
      <c r="W215" s="4"/>
      <c r="X215" s="4"/>
      <c r="Y215" s="4"/>
    </row>
    <row r="216" ht="12.75" customHeight="1">
      <c r="F216" s="3"/>
      <c r="S216" s="4"/>
      <c r="T216" s="4"/>
      <c r="U216" s="4"/>
      <c r="V216" s="4"/>
      <c r="W216" s="4"/>
      <c r="X216" s="4"/>
      <c r="Y216" s="4"/>
    </row>
    <row r="217" ht="12.75" customHeight="1">
      <c r="F217" s="3"/>
      <c r="S217" s="4"/>
      <c r="T217" s="4"/>
      <c r="U217" s="4"/>
      <c r="V217" s="4"/>
      <c r="W217" s="4"/>
      <c r="X217" s="4"/>
      <c r="Y217" s="4"/>
    </row>
    <row r="218" ht="12.75" customHeight="1">
      <c r="F218" s="3"/>
      <c r="S218" s="4"/>
      <c r="T218" s="4"/>
      <c r="U218" s="4"/>
      <c r="V218" s="4"/>
      <c r="W218" s="4"/>
      <c r="X218" s="4"/>
      <c r="Y218" s="4"/>
    </row>
    <row r="219" ht="12.75" customHeight="1">
      <c r="F219" s="3"/>
      <c r="S219" s="4"/>
      <c r="T219" s="4"/>
      <c r="U219" s="4"/>
      <c r="V219" s="4"/>
      <c r="W219" s="4"/>
      <c r="X219" s="4"/>
      <c r="Y219" s="4"/>
    </row>
    <row r="220" ht="12.75" customHeight="1">
      <c r="F220" s="3"/>
      <c r="S220" s="4"/>
      <c r="T220" s="4"/>
      <c r="U220" s="4"/>
      <c r="V220" s="4"/>
      <c r="W220" s="4"/>
      <c r="X220" s="4"/>
      <c r="Y220" s="4"/>
    </row>
    <row r="221" ht="12.75" customHeight="1">
      <c r="F221" s="3"/>
      <c r="S221" s="4"/>
      <c r="T221" s="4"/>
      <c r="U221" s="4"/>
      <c r="V221" s="4"/>
      <c r="W221" s="4"/>
      <c r="X221" s="4"/>
      <c r="Y221" s="4"/>
    </row>
    <row r="222" ht="12.75" customHeight="1">
      <c r="F222" s="3"/>
      <c r="S222" s="4"/>
      <c r="T222" s="4"/>
      <c r="U222" s="4"/>
      <c r="V222" s="4"/>
      <c r="W222" s="4"/>
      <c r="X222" s="4"/>
      <c r="Y222" s="4"/>
    </row>
    <row r="223" ht="12.75" customHeight="1">
      <c r="F223" s="3"/>
      <c r="S223" s="4"/>
      <c r="T223" s="4"/>
      <c r="U223" s="4"/>
      <c r="V223" s="4"/>
      <c r="W223" s="4"/>
      <c r="X223" s="4"/>
      <c r="Y223" s="4"/>
    </row>
    <row r="224" ht="12.75" customHeight="1">
      <c r="F224" s="3"/>
      <c r="S224" s="4"/>
      <c r="T224" s="4"/>
      <c r="U224" s="4"/>
      <c r="V224" s="4"/>
      <c r="W224" s="4"/>
      <c r="X224" s="4"/>
      <c r="Y224" s="4"/>
    </row>
    <row r="225" ht="12.75" customHeight="1">
      <c r="F225" s="3"/>
      <c r="S225" s="4"/>
      <c r="T225" s="4"/>
      <c r="U225" s="4"/>
      <c r="V225" s="4"/>
      <c r="W225" s="4"/>
      <c r="X225" s="4"/>
      <c r="Y225" s="4"/>
    </row>
    <row r="226" ht="12.75" customHeight="1">
      <c r="F226" s="3"/>
      <c r="S226" s="4"/>
      <c r="T226" s="4"/>
      <c r="U226" s="4"/>
      <c r="V226" s="4"/>
      <c r="W226" s="4"/>
      <c r="X226" s="4"/>
      <c r="Y226" s="4"/>
    </row>
    <row r="227" ht="12.75" customHeight="1">
      <c r="F227" s="3"/>
      <c r="S227" s="4"/>
      <c r="T227" s="4"/>
      <c r="U227" s="4"/>
      <c r="V227" s="4"/>
      <c r="W227" s="4"/>
      <c r="X227" s="4"/>
      <c r="Y227" s="4"/>
    </row>
    <row r="228" ht="12.75" customHeight="1">
      <c r="F228" s="3"/>
      <c r="S228" s="4"/>
      <c r="T228" s="4"/>
      <c r="U228" s="4"/>
      <c r="V228" s="4"/>
      <c r="W228" s="4"/>
      <c r="X228" s="4"/>
      <c r="Y228" s="4"/>
    </row>
    <row r="229" ht="12.75" customHeight="1">
      <c r="F229" s="3"/>
      <c r="S229" s="4"/>
      <c r="T229" s="4"/>
      <c r="U229" s="4"/>
      <c r="V229" s="4"/>
      <c r="W229" s="4"/>
      <c r="X229" s="4"/>
      <c r="Y229" s="4"/>
    </row>
    <row r="230" ht="12.75" customHeight="1">
      <c r="F230" s="3"/>
      <c r="S230" s="4"/>
      <c r="T230" s="4"/>
      <c r="U230" s="4"/>
      <c r="V230" s="4"/>
      <c r="W230" s="4"/>
      <c r="X230" s="4"/>
      <c r="Y230" s="4"/>
    </row>
    <row r="231" ht="12.75" customHeight="1">
      <c r="F231" s="3"/>
      <c r="S231" s="4"/>
      <c r="T231" s="4"/>
      <c r="U231" s="4"/>
      <c r="V231" s="4"/>
      <c r="W231" s="4"/>
      <c r="X231" s="4"/>
      <c r="Y231" s="4"/>
    </row>
    <row r="232" ht="12.75" customHeight="1">
      <c r="F232" s="3"/>
      <c r="S232" s="4"/>
      <c r="T232" s="4"/>
      <c r="U232" s="4"/>
      <c r="V232" s="4"/>
      <c r="W232" s="4"/>
      <c r="X232" s="4"/>
      <c r="Y232" s="4"/>
    </row>
    <row r="233" ht="12.75" customHeight="1">
      <c r="F233" s="3"/>
      <c r="S233" s="4"/>
      <c r="T233" s="4"/>
      <c r="U233" s="4"/>
      <c r="V233" s="4"/>
      <c r="W233" s="4"/>
      <c r="X233" s="4"/>
      <c r="Y233" s="4"/>
    </row>
    <row r="234" ht="12.75" customHeight="1">
      <c r="F234" s="3"/>
      <c r="S234" s="4"/>
      <c r="T234" s="4"/>
      <c r="U234" s="4"/>
      <c r="V234" s="4"/>
      <c r="W234" s="4"/>
      <c r="X234" s="4"/>
      <c r="Y234" s="4"/>
    </row>
    <row r="235" ht="12.75" customHeight="1">
      <c r="F235" s="3"/>
      <c r="S235" s="4"/>
      <c r="T235" s="4"/>
      <c r="U235" s="4"/>
      <c r="V235" s="4"/>
      <c r="W235" s="4"/>
      <c r="X235" s="4"/>
      <c r="Y235" s="4"/>
    </row>
    <row r="236" ht="12.75" customHeight="1">
      <c r="F236" s="3"/>
      <c r="S236" s="4"/>
      <c r="T236" s="4"/>
      <c r="U236" s="4"/>
      <c r="V236" s="4"/>
      <c r="W236" s="4"/>
      <c r="X236" s="4"/>
      <c r="Y236" s="4"/>
    </row>
    <row r="237" ht="12.75" customHeight="1">
      <c r="F237" s="3"/>
      <c r="S237" s="4"/>
      <c r="T237" s="4"/>
      <c r="U237" s="4"/>
      <c r="V237" s="4"/>
      <c r="W237" s="4"/>
      <c r="X237" s="4"/>
      <c r="Y237" s="4"/>
    </row>
    <row r="238" ht="12.75" customHeight="1">
      <c r="F238" s="3"/>
      <c r="S238" s="4"/>
      <c r="T238" s="4"/>
      <c r="U238" s="4"/>
      <c r="V238" s="4"/>
      <c r="W238" s="4"/>
      <c r="X238" s="4"/>
      <c r="Y238" s="4"/>
    </row>
    <row r="239" ht="12.75" customHeight="1">
      <c r="F239" s="3"/>
      <c r="S239" s="4"/>
      <c r="T239" s="4"/>
      <c r="U239" s="4"/>
      <c r="V239" s="4"/>
      <c r="W239" s="4"/>
      <c r="X239" s="4"/>
      <c r="Y239" s="4"/>
    </row>
    <row r="240" ht="12.75" customHeight="1">
      <c r="F240" s="3"/>
      <c r="S240" s="4"/>
      <c r="T240" s="4"/>
      <c r="U240" s="4"/>
      <c r="V240" s="4"/>
      <c r="W240" s="4"/>
      <c r="X240" s="4"/>
      <c r="Y240" s="4"/>
    </row>
    <row r="241" ht="12.75" customHeight="1">
      <c r="F241" s="3"/>
      <c r="S241" s="4"/>
      <c r="T241" s="4"/>
      <c r="U241" s="4"/>
      <c r="V241" s="4"/>
      <c r="W241" s="4"/>
      <c r="X241" s="4"/>
      <c r="Y241" s="4"/>
    </row>
    <row r="242" ht="12.75" customHeight="1">
      <c r="F242" s="3"/>
      <c r="S242" s="4"/>
      <c r="T242" s="4"/>
      <c r="U242" s="4"/>
      <c r="V242" s="4"/>
      <c r="W242" s="4"/>
      <c r="X242" s="4"/>
      <c r="Y242" s="4"/>
    </row>
    <row r="243" ht="12.75" customHeight="1">
      <c r="F243" s="3"/>
      <c r="S243" s="4"/>
      <c r="T243" s="4"/>
      <c r="U243" s="4"/>
      <c r="V243" s="4"/>
      <c r="W243" s="4"/>
      <c r="X243" s="4"/>
      <c r="Y243" s="4"/>
    </row>
    <row r="244" ht="12.75" customHeight="1">
      <c r="F244" s="3"/>
      <c r="S244" s="4"/>
      <c r="T244" s="4"/>
      <c r="U244" s="4"/>
      <c r="V244" s="4"/>
      <c r="W244" s="4"/>
      <c r="X244" s="4"/>
      <c r="Y244" s="4"/>
    </row>
    <row r="245" ht="12.75" customHeight="1">
      <c r="F245" s="3"/>
      <c r="S245" s="4"/>
      <c r="T245" s="4"/>
      <c r="U245" s="4"/>
      <c r="V245" s="4"/>
      <c r="W245" s="4"/>
      <c r="X245" s="4"/>
      <c r="Y245" s="4"/>
    </row>
    <row r="246" ht="12.75" customHeight="1">
      <c r="F246" s="3"/>
      <c r="S246" s="4"/>
      <c r="T246" s="4"/>
      <c r="U246" s="4"/>
      <c r="V246" s="4"/>
      <c r="W246" s="4"/>
      <c r="X246" s="4"/>
      <c r="Y246" s="4"/>
    </row>
    <row r="247" ht="12.75" customHeight="1">
      <c r="F247" s="3"/>
      <c r="S247" s="4"/>
      <c r="T247" s="4"/>
      <c r="U247" s="4"/>
      <c r="V247" s="4"/>
      <c r="W247" s="4"/>
      <c r="X247" s="4"/>
      <c r="Y247" s="4"/>
    </row>
    <row r="248" ht="12.75" customHeight="1">
      <c r="F248" s="3"/>
      <c r="S248" s="4"/>
      <c r="T248" s="4"/>
      <c r="U248" s="4"/>
      <c r="V248" s="4"/>
      <c r="W248" s="4"/>
      <c r="X248" s="4"/>
      <c r="Y248" s="4"/>
    </row>
    <row r="249" ht="12.75" customHeight="1">
      <c r="F249" s="3"/>
      <c r="S249" s="4"/>
      <c r="T249" s="4"/>
      <c r="U249" s="4"/>
      <c r="V249" s="4"/>
      <c r="W249" s="4"/>
      <c r="X249" s="4"/>
      <c r="Y249" s="4"/>
    </row>
    <row r="250" ht="12.75" customHeight="1">
      <c r="F250" s="3"/>
      <c r="S250" s="4"/>
      <c r="T250" s="4"/>
      <c r="U250" s="4"/>
      <c r="V250" s="4"/>
      <c r="W250" s="4"/>
      <c r="X250" s="4"/>
      <c r="Y250" s="4"/>
    </row>
    <row r="251" ht="12.75" customHeight="1">
      <c r="F251" s="3"/>
      <c r="S251" s="4"/>
      <c r="T251" s="4"/>
      <c r="U251" s="4"/>
      <c r="V251" s="4"/>
      <c r="W251" s="4"/>
      <c r="X251" s="4"/>
      <c r="Y251" s="4"/>
    </row>
    <row r="252" ht="12.75" customHeight="1">
      <c r="F252" s="3"/>
      <c r="S252" s="4"/>
      <c r="T252" s="4"/>
      <c r="U252" s="4"/>
      <c r="V252" s="4"/>
      <c r="W252" s="4"/>
      <c r="X252" s="4"/>
      <c r="Y252" s="4"/>
    </row>
    <row r="253" ht="12.75" customHeight="1">
      <c r="F253" s="3"/>
      <c r="S253" s="4"/>
      <c r="T253" s="4"/>
      <c r="U253" s="4"/>
      <c r="V253" s="4"/>
      <c r="W253" s="4"/>
      <c r="X253" s="4"/>
      <c r="Y253" s="4"/>
    </row>
    <row r="254" ht="12.75" customHeight="1">
      <c r="F254" s="3"/>
      <c r="S254" s="4"/>
      <c r="T254" s="4"/>
      <c r="U254" s="4"/>
      <c r="V254" s="4"/>
      <c r="W254" s="4"/>
      <c r="X254" s="4"/>
      <c r="Y254" s="4"/>
    </row>
    <row r="255" ht="12.75" customHeight="1">
      <c r="F255" s="3"/>
      <c r="S255" s="4"/>
      <c r="T255" s="4"/>
      <c r="U255" s="4"/>
      <c r="V255" s="4"/>
      <c r="W255" s="4"/>
      <c r="X255" s="4"/>
      <c r="Y255" s="4"/>
    </row>
    <row r="256" ht="12.75" customHeight="1">
      <c r="F256" s="3"/>
      <c r="S256" s="4"/>
      <c r="T256" s="4"/>
      <c r="U256" s="4"/>
      <c r="V256" s="4"/>
      <c r="W256" s="4"/>
      <c r="X256" s="4"/>
      <c r="Y256" s="4"/>
    </row>
    <row r="257" ht="12.75" customHeight="1">
      <c r="F257" s="3"/>
      <c r="S257" s="4"/>
      <c r="T257" s="4"/>
      <c r="U257" s="4"/>
      <c r="V257" s="4"/>
      <c r="W257" s="4"/>
      <c r="X257" s="4"/>
      <c r="Y257" s="4"/>
    </row>
    <row r="258" ht="12.75" customHeight="1">
      <c r="F258" s="3"/>
      <c r="S258" s="4"/>
      <c r="T258" s="4"/>
      <c r="U258" s="4"/>
      <c r="V258" s="4"/>
      <c r="W258" s="4"/>
      <c r="X258" s="4"/>
      <c r="Y258" s="4"/>
    </row>
    <row r="259" ht="12.75" customHeight="1">
      <c r="F259" s="3"/>
      <c r="S259" s="4"/>
      <c r="T259" s="4"/>
      <c r="U259" s="4"/>
      <c r="V259" s="4"/>
      <c r="W259" s="4"/>
      <c r="X259" s="4"/>
      <c r="Y259" s="4"/>
    </row>
    <row r="260" ht="12.75" customHeight="1">
      <c r="F260" s="3"/>
      <c r="S260" s="4"/>
      <c r="T260" s="4"/>
      <c r="U260" s="4"/>
      <c r="V260" s="4"/>
      <c r="W260" s="4"/>
      <c r="X260" s="4"/>
      <c r="Y260" s="4"/>
    </row>
    <row r="261" ht="12.75" customHeight="1">
      <c r="F261" s="3"/>
      <c r="S261" s="4"/>
      <c r="T261" s="4"/>
      <c r="U261" s="4"/>
      <c r="V261" s="4"/>
      <c r="W261" s="4"/>
      <c r="X261" s="4"/>
      <c r="Y261" s="4"/>
    </row>
    <row r="262" ht="12.75" customHeight="1">
      <c r="F262" s="3"/>
      <c r="S262" s="4"/>
      <c r="T262" s="4"/>
      <c r="U262" s="4"/>
      <c r="V262" s="4"/>
      <c r="W262" s="4"/>
      <c r="X262" s="4"/>
      <c r="Y262" s="4"/>
    </row>
    <row r="263" ht="12.75" customHeight="1">
      <c r="F263" s="3"/>
      <c r="S263" s="4"/>
      <c r="T263" s="4"/>
      <c r="U263" s="4"/>
      <c r="V263" s="4"/>
      <c r="W263" s="4"/>
      <c r="X263" s="4"/>
      <c r="Y263" s="4"/>
    </row>
    <row r="264" ht="12.75" customHeight="1">
      <c r="F264" s="3"/>
      <c r="S264" s="4"/>
      <c r="T264" s="4"/>
      <c r="U264" s="4"/>
      <c r="V264" s="4"/>
      <c r="W264" s="4"/>
      <c r="X264" s="4"/>
      <c r="Y264" s="4"/>
    </row>
    <row r="265" ht="12.75" customHeight="1">
      <c r="F265" s="3"/>
      <c r="S265" s="4"/>
      <c r="T265" s="4"/>
      <c r="U265" s="4"/>
      <c r="V265" s="4"/>
      <c r="W265" s="4"/>
      <c r="X265" s="4"/>
      <c r="Y265" s="4"/>
    </row>
    <row r="266" ht="12.75" customHeight="1">
      <c r="F266" s="3"/>
      <c r="S266" s="4"/>
      <c r="T266" s="4"/>
      <c r="U266" s="4"/>
      <c r="V266" s="4"/>
      <c r="W266" s="4"/>
      <c r="X266" s="4"/>
      <c r="Y266" s="4"/>
    </row>
    <row r="267" ht="12.75" customHeight="1">
      <c r="F267" s="3"/>
      <c r="S267" s="4"/>
      <c r="T267" s="4"/>
      <c r="U267" s="4"/>
      <c r="V267" s="4"/>
      <c r="W267" s="4"/>
      <c r="X267" s="4"/>
      <c r="Y267" s="4"/>
    </row>
    <row r="268" ht="12.75" customHeight="1">
      <c r="F268" s="3"/>
      <c r="S268" s="4"/>
      <c r="T268" s="4"/>
      <c r="U268" s="4"/>
      <c r="V268" s="4"/>
      <c r="W268" s="4"/>
      <c r="X268" s="4"/>
      <c r="Y268" s="4"/>
    </row>
    <row r="269" ht="12.75" customHeight="1">
      <c r="F269" s="3"/>
      <c r="S269" s="4"/>
      <c r="T269" s="4"/>
      <c r="U269" s="4"/>
      <c r="V269" s="4"/>
      <c r="W269" s="4"/>
      <c r="X269" s="4"/>
      <c r="Y269" s="4"/>
    </row>
    <row r="270" ht="12.75" customHeight="1">
      <c r="F270" s="3"/>
      <c r="S270" s="4"/>
      <c r="T270" s="4"/>
      <c r="U270" s="4"/>
      <c r="V270" s="4"/>
      <c r="W270" s="4"/>
      <c r="X270" s="4"/>
      <c r="Y270" s="4"/>
    </row>
    <row r="271" ht="12.75" customHeight="1">
      <c r="F271" s="3"/>
      <c r="S271" s="4"/>
      <c r="T271" s="4"/>
      <c r="U271" s="4"/>
      <c r="V271" s="4"/>
      <c r="W271" s="4"/>
      <c r="X271" s="4"/>
      <c r="Y271" s="4"/>
    </row>
    <row r="272" ht="12.75" customHeight="1">
      <c r="F272" s="3"/>
      <c r="S272" s="4"/>
      <c r="T272" s="4"/>
      <c r="U272" s="4"/>
      <c r="V272" s="4"/>
      <c r="W272" s="4"/>
      <c r="X272" s="4"/>
      <c r="Y272" s="4"/>
    </row>
    <row r="273" ht="12.75" customHeight="1">
      <c r="F273" s="3"/>
      <c r="S273" s="4"/>
      <c r="T273" s="4"/>
      <c r="U273" s="4"/>
      <c r="V273" s="4"/>
      <c r="W273" s="4"/>
      <c r="X273" s="4"/>
      <c r="Y273" s="4"/>
    </row>
    <row r="274" ht="12.75" customHeight="1">
      <c r="F274" s="3"/>
      <c r="S274" s="4"/>
      <c r="T274" s="4"/>
      <c r="U274" s="4"/>
      <c r="V274" s="4"/>
      <c r="W274" s="4"/>
      <c r="X274" s="4"/>
      <c r="Y274" s="4"/>
    </row>
    <row r="275" ht="12.75" customHeight="1">
      <c r="F275" s="3"/>
      <c r="S275" s="4"/>
      <c r="T275" s="4"/>
      <c r="U275" s="4"/>
      <c r="V275" s="4"/>
      <c r="W275" s="4"/>
      <c r="X275" s="4"/>
      <c r="Y275" s="4"/>
    </row>
    <row r="276" ht="12.75" customHeight="1">
      <c r="F276" s="3"/>
      <c r="S276" s="4"/>
      <c r="T276" s="4"/>
      <c r="U276" s="4"/>
      <c r="V276" s="4"/>
      <c r="W276" s="4"/>
      <c r="X276" s="4"/>
      <c r="Y276" s="4"/>
    </row>
    <row r="277" ht="12.75" customHeight="1">
      <c r="F277" s="3"/>
      <c r="S277" s="4"/>
      <c r="T277" s="4"/>
      <c r="U277" s="4"/>
      <c r="V277" s="4"/>
      <c r="W277" s="4"/>
      <c r="X277" s="4"/>
      <c r="Y277" s="4"/>
    </row>
    <row r="278" ht="12.75" customHeight="1">
      <c r="F278" s="3"/>
      <c r="S278" s="4"/>
      <c r="T278" s="4"/>
      <c r="U278" s="4"/>
      <c r="V278" s="4"/>
      <c r="W278" s="4"/>
      <c r="X278" s="4"/>
      <c r="Y278" s="4"/>
    </row>
    <row r="279" ht="12.75" customHeight="1">
      <c r="F279" s="3"/>
      <c r="S279" s="4"/>
      <c r="T279" s="4"/>
      <c r="U279" s="4"/>
      <c r="V279" s="4"/>
      <c r="W279" s="4"/>
      <c r="X279" s="4"/>
      <c r="Y279" s="4"/>
    </row>
    <row r="280" ht="12.75" customHeight="1">
      <c r="F280" s="3"/>
      <c r="S280" s="4"/>
      <c r="T280" s="4"/>
      <c r="U280" s="4"/>
      <c r="V280" s="4"/>
      <c r="W280" s="4"/>
      <c r="X280" s="4"/>
      <c r="Y280" s="4"/>
    </row>
    <row r="281" ht="12.75" customHeight="1">
      <c r="F281" s="3"/>
      <c r="S281" s="4"/>
      <c r="T281" s="4"/>
      <c r="U281" s="4"/>
      <c r="V281" s="4"/>
      <c r="W281" s="4"/>
      <c r="X281" s="4"/>
      <c r="Y281" s="4"/>
    </row>
    <row r="282" ht="12.75" customHeight="1">
      <c r="F282" s="3"/>
      <c r="S282" s="4"/>
      <c r="T282" s="4"/>
      <c r="U282" s="4"/>
      <c r="V282" s="4"/>
      <c r="W282" s="4"/>
      <c r="X282" s="4"/>
      <c r="Y282" s="4"/>
    </row>
    <row r="283" ht="12.75" customHeight="1">
      <c r="F283" s="3"/>
      <c r="S283" s="4"/>
      <c r="T283" s="4"/>
      <c r="U283" s="4"/>
      <c r="V283" s="4"/>
      <c r="W283" s="4"/>
      <c r="X283" s="4"/>
      <c r="Y283" s="4"/>
    </row>
    <row r="284" ht="12.75" customHeight="1">
      <c r="F284" s="3"/>
      <c r="S284" s="4"/>
      <c r="T284" s="4"/>
      <c r="U284" s="4"/>
      <c r="V284" s="4"/>
      <c r="W284" s="4"/>
      <c r="X284" s="4"/>
      <c r="Y284" s="4"/>
    </row>
    <row r="285" ht="12.75" customHeight="1">
      <c r="F285" s="3"/>
      <c r="S285" s="4"/>
      <c r="T285" s="4"/>
      <c r="U285" s="4"/>
      <c r="V285" s="4"/>
      <c r="W285" s="4"/>
      <c r="X285" s="4"/>
      <c r="Y285" s="4"/>
    </row>
    <row r="286" ht="12.75" customHeight="1">
      <c r="F286" s="3"/>
      <c r="S286" s="4"/>
      <c r="T286" s="4"/>
      <c r="U286" s="4"/>
      <c r="V286" s="4"/>
      <c r="W286" s="4"/>
      <c r="X286" s="4"/>
      <c r="Y286" s="4"/>
    </row>
    <row r="287" ht="12.75" customHeight="1">
      <c r="F287" s="3"/>
      <c r="S287" s="4"/>
      <c r="T287" s="4"/>
      <c r="U287" s="4"/>
      <c r="V287" s="4"/>
      <c r="W287" s="4"/>
      <c r="X287" s="4"/>
      <c r="Y287" s="4"/>
    </row>
    <row r="288" ht="12.75" customHeight="1">
      <c r="F288" s="3"/>
      <c r="S288" s="4"/>
      <c r="T288" s="4"/>
      <c r="U288" s="4"/>
      <c r="V288" s="4"/>
      <c r="W288" s="4"/>
      <c r="X288" s="4"/>
      <c r="Y288" s="4"/>
    </row>
    <row r="289" ht="12.75" customHeight="1">
      <c r="F289" s="3"/>
      <c r="S289" s="4"/>
      <c r="T289" s="4"/>
      <c r="U289" s="4"/>
      <c r="V289" s="4"/>
      <c r="W289" s="4"/>
      <c r="X289" s="4"/>
      <c r="Y289" s="4"/>
    </row>
    <row r="290" ht="12.75" customHeight="1">
      <c r="F290" s="3"/>
      <c r="S290" s="4"/>
      <c r="T290" s="4"/>
      <c r="U290" s="4"/>
      <c r="V290" s="4"/>
      <c r="W290" s="4"/>
      <c r="X290" s="4"/>
      <c r="Y290" s="4"/>
    </row>
    <row r="291" ht="12.75" customHeight="1">
      <c r="F291" s="3"/>
      <c r="S291" s="4"/>
      <c r="T291" s="4"/>
      <c r="U291" s="4"/>
      <c r="V291" s="4"/>
      <c r="W291" s="4"/>
      <c r="X291" s="4"/>
      <c r="Y291" s="4"/>
    </row>
    <row r="292" ht="12.75" customHeight="1">
      <c r="F292" s="3"/>
      <c r="S292" s="4"/>
      <c r="T292" s="4"/>
      <c r="U292" s="4"/>
      <c r="V292" s="4"/>
      <c r="W292" s="4"/>
      <c r="X292" s="4"/>
      <c r="Y292" s="4"/>
    </row>
    <row r="293" ht="12.75" customHeight="1">
      <c r="F293" s="3"/>
      <c r="S293" s="4"/>
      <c r="T293" s="4"/>
      <c r="U293" s="4"/>
      <c r="V293" s="4"/>
      <c r="W293" s="4"/>
      <c r="X293" s="4"/>
      <c r="Y293" s="4"/>
    </row>
    <row r="294" ht="12.75" customHeight="1">
      <c r="F294" s="3"/>
      <c r="S294" s="4"/>
      <c r="T294" s="4"/>
      <c r="U294" s="4"/>
      <c r="V294" s="4"/>
      <c r="W294" s="4"/>
      <c r="X294" s="4"/>
      <c r="Y294" s="4"/>
    </row>
    <row r="295" ht="12.75" customHeight="1">
      <c r="F295" s="3"/>
      <c r="S295" s="4"/>
      <c r="T295" s="4"/>
      <c r="U295" s="4"/>
      <c r="V295" s="4"/>
      <c r="W295" s="4"/>
      <c r="X295" s="4"/>
      <c r="Y295" s="4"/>
    </row>
    <row r="296" ht="12.75" customHeight="1">
      <c r="F296" s="3"/>
      <c r="S296" s="4"/>
      <c r="T296" s="4"/>
      <c r="U296" s="4"/>
      <c r="V296" s="4"/>
      <c r="W296" s="4"/>
      <c r="X296" s="4"/>
      <c r="Y296" s="4"/>
    </row>
    <row r="297" ht="12.75" customHeight="1">
      <c r="F297" s="3"/>
      <c r="S297" s="4"/>
      <c r="T297" s="4"/>
      <c r="U297" s="4"/>
      <c r="V297" s="4"/>
      <c r="W297" s="4"/>
      <c r="X297" s="4"/>
      <c r="Y297" s="4"/>
    </row>
    <row r="298" ht="12.75" customHeight="1">
      <c r="F298" s="3"/>
      <c r="S298" s="4"/>
      <c r="T298" s="4"/>
      <c r="U298" s="4"/>
      <c r="V298" s="4"/>
      <c r="W298" s="4"/>
      <c r="X298" s="4"/>
      <c r="Y298" s="4"/>
    </row>
    <row r="299" ht="12.75" customHeight="1">
      <c r="F299" s="3"/>
      <c r="S299" s="4"/>
      <c r="T299" s="4"/>
      <c r="U299" s="4"/>
      <c r="V299" s="4"/>
      <c r="W299" s="4"/>
      <c r="X299" s="4"/>
      <c r="Y299" s="4"/>
    </row>
    <row r="300" ht="12.75" customHeight="1">
      <c r="F300" s="3"/>
      <c r="S300" s="4"/>
      <c r="T300" s="4"/>
      <c r="U300" s="4"/>
      <c r="V300" s="4"/>
      <c r="W300" s="4"/>
      <c r="X300" s="4"/>
      <c r="Y300" s="4"/>
    </row>
    <row r="301" ht="12.75" customHeight="1">
      <c r="F301" s="3"/>
      <c r="S301" s="4"/>
      <c r="T301" s="4"/>
      <c r="U301" s="4"/>
      <c r="V301" s="4"/>
      <c r="W301" s="4"/>
      <c r="X301" s="4"/>
      <c r="Y301" s="4"/>
    </row>
    <row r="302" ht="12.75" customHeight="1">
      <c r="F302" s="3"/>
      <c r="S302" s="4"/>
      <c r="T302" s="4"/>
      <c r="U302" s="4"/>
      <c r="V302" s="4"/>
      <c r="W302" s="4"/>
      <c r="X302" s="4"/>
      <c r="Y302" s="4"/>
    </row>
    <row r="303" ht="12.75" customHeight="1">
      <c r="F303" s="3"/>
      <c r="S303" s="4"/>
      <c r="T303" s="4"/>
      <c r="U303" s="4"/>
      <c r="V303" s="4"/>
      <c r="W303" s="4"/>
      <c r="X303" s="4"/>
      <c r="Y303" s="4"/>
    </row>
    <row r="304" ht="12.75" customHeight="1">
      <c r="F304" s="3"/>
      <c r="S304" s="4"/>
      <c r="T304" s="4"/>
      <c r="U304" s="4"/>
      <c r="V304" s="4"/>
      <c r="W304" s="4"/>
      <c r="X304" s="4"/>
      <c r="Y304" s="4"/>
    </row>
    <row r="305" ht="12.75" customHeight="1">
      <c r="F305" s="3"/>
      <c r="S305" s="4"/>
      <c r="T305" s="4"/>
      <c r="U305" s="4"/>
      <c r="V305" s="4"/>
      <c r="W305" s="4"/>
      <c r="X305" s="4"/>
      <c r="Y305" s="4"/>
    </row>
    <row r="306" ht="12.75" customHeight="1">
      <c r="F306" s="3"/>
      <c r="S306" s="4"/>
      <c r="T306" s="4"/>
      <c r="U306" s="4"/>
      <c r="V306" s="4"/>
      <c r="W306" s="4"/>
      <c r="X306" s="4"/>
      <c r="Y306" s="4"/>
    </row>
    <row r="307" ht="12.75" customHeight="1">
      <c r="F307" s="3"/>
      <c r="S307" s="4"/>
      <c r="T307" s="4"/>
      <c r="U307" s="4"/>
      <c r="V307" s="4"/>
      <c r="W307" s="4"/>
      <c r="X307" s="4"/>
      <c r="Y307" s="4"/>
    </row>
    <row r="308" ht="12.75" customHeight="1">
      <c r="F308" s="3"/>
      <c r="S308" s="4"/>
      <c r="T308" s="4"/>
      <c r="U308" s="4"/>
      <c r="V308" s="4"/>
      <c r="W308" s="4"/>
      <c r="X308" s="4"/>
      <c r="Y308" s="4"/>
    </row>
    <row r="309" ht="12.75" customHeight="1">
      <c r="F309" s="3"/>
      <c r="S309" s="4"/>
      <c r="T309" s="4"/>
      <c r="U309" s="4"/>
      <c r="V309" s="4"/>
      <c r="W309" s="4"/>
      <c r="X309" s="4"/>
      <c r="Y309" s="4"/>
    </row>
    <row r="310" ht="12.75" customHeight="1">
      <c r="F310" s="3"/>
      <c r="S310" s="4"/>
      <c r="T310" s="4"/>
      <c r="U310" s="4"/>
      <c r="V310" s="4"/>
      <c r="W310" s="4"/>
      <c r="X310" s="4"/>
      <c r="Y310" s="4"/>
    </row>
    <row r="311" ht="12.75" customHeight="1">
      <c r="F311" s="3"/>
      <c r="S311" s="4"/>
      <c r="T311" s="4"/>
      <c r="U311" s="4"/>
      <c r="V311" s="4"/>
      <c r="W311" s="4"/>
      <c r="X311" s="4"/>
      <c r="Y311" s="4"/>
    </row>
    <row r="312" ht="12.75" customHeight="1">
      <c r="F312" s="3"/>
      <c r="S312" s="4"/>
      <c r="T312" s="4"/>
      <c r="U312" s="4"/>
      <c r="V312" s="4"/>
      <c r="W312" s="4"/>
      <c r="X312" s="4"/>
      <c r="Y312" s="4"/>
    </row>
    <row r="313" ht="12.75" customHeight="1">
      <c r="F313" s="3"/>
      <c r="S313" s="4"/>
      <c r="T313" s="4"/>
      <c r="U313" s="4"/>
      <c r="V313" s="4"/>
      <c r="W313" s="4"/>
      <c r="X313" s="4"/>
      <c r="Y313" s="4"/>
    </row>
    <row r="314" ht="12.75" customHeight="1">
      <c r="F314" s="3"/>
      <c r="S314" s="4"/>
      <c r="T314" s="4"/>
      <c r="U314" s="4"/>
      <c r="V314" s="4"/>
      <c r="W314" s="4"/>
      <c r="X314" s="4"/>
      <c r="Y314" s="4"/>
    </row>
    <row r="315" ht="12.75" customHeight="1">
      <c r="F315" s="3"/>
      <c r="S315" s="4"/>
      <c r="T315" s="4"/>
      <c r="U315" s="4"/>
      <c r="V315" s="4"/>
      <c r="W315" s="4"/>
      <c r="X315" s="4"/>
      <c r="Y315" s="4"/>
    </row>
    <row r="316" ht="12.75" customHeight="1">
      <c r="F316" s="3"/>
      <c r="S316" s="4"/>
      <c r="T316" s="4"/>
      <c r="U316" s="4"/>
      <c r="V316" s="4"/>
      <c r="W316" s="4"/>
      <c r="X316" s="4"/>
      <c r="Y316" s="4"/>
    </row>
    <row r="317" ht="12.75" customHeight="1">
      <c r="F317" s="3"/>
      <c r="S317" s="4"/>
      <c r="T317" s="4"/>
      <c r="U317" s="4"/>
      <c r="V317" s="4"/>
      <c r="W317" s="4"/>
      <c r="X317" s="4"/>
      <c r="Y317" s="4"/>
    </row>
    <row r="318" ht="12.75" customHeight="1">
      <c r="F318" s="3"/>
      <c r="S318" s="4"/>
      <c r="T318" s="4"/>
      <c r="U318" s="4"/>
      <c r="V318" s="4"/>
      <c r="W318" s="4"/>
      <c r="X318" s="4"/>
      <c r="Y318" s="4"/>
    </row>
    <row r="319" ht="12.75" customHeight="1">
      <c r="F319" s="3"/>
      <c r="S319" s="4"/>
      <c r="T319" s="4"/>
      <c r="U319" s="4"/>
      <c r="V319" s="4"/>
      <c r="W319" s="4"/>
      <c r="X319" s="4"/>
      <c r="Y319" s="4"/>
    </row>
    <row r="320" ht="12.75" customHeight="1">
      <c r="F320" s="3"/>
      <c r="S320" s="4"/>
      <c r="T320" s="4"/>
      <c r="U320" s="4"/>
      <c r="V320" s="4"/>
      <c r="W320" s="4"/>
      <c r="X320" s="4"/>
      <c r="Y320" s="4"/>
    </row>
    <row r="321" ht="12.75" customHeight="1">
      <c r="F321" s="3"/>
      <c r="S321" s="4"/>
      <c r="T321" s="4"/>
      <c r="U321" s="4"/>
      <c r="V321" s="4"/>
      <c r="W321" s="4"/>
      <c r="X321" s="4"/>
      <c r="Y321" s="4"/>
    </row>
    <row r="322" ht="12.75" customHeight="1">
      <c r="F322" s="3"/>
      <c r="S322" s="4"/>
      <c r="T322" s="4"/>
      <c r="U322" s="4"/>
      <c r="V322" s="4"/>
      <c r="W322" s="4"/>
      <c r="X322" s="4"/>
      <c r="Y322" s="4"/>
    </row>
    <row r="323" ht="12.75" customHeight="1">
      <c r="F323" s="3"/>
      <c r="S323" s="4"/>
      <c r="T323" s="4"/>
      <c r="U323" s="4"/>
      <c r="V323" s="4"/>
      <c r="W323" s="4"/>
      <c r="X323" s="4"/>
      <c r="Y323" s="4"/>
    </row>
    <row r="324" ht="12.75" customHeight="1">
      <c r="F324" s="3"/>
      <c r="S324" s="4"/>
      <c r="T324" s="4"/>
      <c r="U324" s="4"/>
      <c r="V324" s="4"/>
      <c r="W324" s="4"/>
      <c r="X324" s="4"/>
      <c r="Y324" s="4"/>
    </row>
    <row r="325" ht="12.75" customHeight="1">
      <c r="F325" s="3"/>
      <c r="S325" s="4"/>
      <c r="T325" s="4"/>
      <c r="U325" s="4"/>
      <c r="V325" s="4"/>
      <c r="W325" s="4"/>
      <c r="X325" s="4"/>
      <c r="Y325" s="4"/>
    </row>
    <row r="326" ht="12.75" customHeight="1">
      <c r="F326" s="3"/>
      <c r="S326" s="4"/>
      <c r="T326" s="4"/>
      <c r="U326" s="4"/>
      <c r="V326" s="4"/>
      <c r="W326" s="4"/>
      <c r="X326" s="4"/>
      <c r="Y326" s="4"/>
    </row>
    <row r="327" ht="12.75" customHeight="1">
      <c r="F327" s="3"/>
      <c r="S327" s="4"/>
      <c r="T327" s="4"/>
      <c r="U327" s="4"/>
      <c r="V327" s="4"/>
      <c r="W327" s="4"/>
      <c r="X327" s="4"/>
      <c r="Y327" s="4"/>
    </row>
    <row r="328" ht="12.75" customHeight="1">
      <c r="F328" s="3"/>
      <c r="S328" s="4"/>
      <c r="T328" s="4"/>
      <c r="U328" s="4"/>
      <c r="V328" s="4"/>
      <c r="W328" s="4"/>
      <c r="X328" s="4"/>
      <c r="Y328" s="4"/>
    </row>
    <row r="329" ht="12.75" customHeight="1">
      <c r="F329" s="3"/>
      <c r="S329" s="4"/>
      <c r="T329" s="4"/>
      <c r="U329" s="4"/>
      <c r="V329" s="4"/>
      <c r="W329" s="4"/>
      <c r="X329" s="4"/>
      <c r="Y329" s="4"/>
    </row>
    <row r="330" ht="12.75" customHeight="1">
      <c r="F330" s="3"/>
      <c r="S330" s="4"/>
      <c r="T330" s="4"/>
      <c r="U330" s="4"/>
      <c r="V330" s="4"/>
      <c r="W330" s="4"/>
      <c r="X330" s="4"/>
      <c r="Y330" s="4"/>
    </row>
    <row r="331" ht="12.75" customHeight="1">
      <c r="F331" s="3"/>
      <c r="S331" s="4"/>
      <c r="T331" s="4"/>
      <c r="U331" s="4"/>
      <c r="V331" s="4"/>
      <c r="W331" s="4"/>
      <c r="X331" s="4"/>
      <c r="Y331" s="4"/>
    </row>
    <row r="332" ht="12.75" customHeight="1">
      <c r="F332" s="3"/>
      <c r="S332" s="4"/>
      <c r="T332" s="4"/>
      <c r="U332" s="4"/>
      <c r="V332" s="4"/>
      <c r="W332" s="4"/>
      <c r="X332" s="4"/>
      <c r="Y332" s="4"/>
    </row>
    <row r="333" ht="12.75" customHeight="1">
      <c r="F333" s="3"/>
      <c r="S333" s="4"/>
      <c r="T333" s="4"/>
      <c r="U333" s="4"/>
      <c r="V333" s="4"/>
      <c r="W333" s="4"/>
      <c r="X333" s="4"/>
      <c r="Y333" s="4"/>
    </row>
    <row r="334" ht="12.75" customHeight="1">
      <c r="F334" s="3"/>
      <c r="S334" s="4"/>
      <c r="T334" s="4"/>
      <c r="U334" s="4"/>
      <c r="V334" s="4"/>
      <c r="W334" s="4"/>
      <c r="X334" s="4"/>
      <c r="Y334" s="4"/>
    </row>
    <row r="335" ht="12.75" customHeight="1">
      <c r="F335" s="3"/>
      <c r="S335" s="4"/>
      <c r="T335" s="4"/>
      <c r="U335" s="4"/>
      <c r="V335" s="4"/>
      <c r="W335" s="4"/>
      <c r="X335" s="4"/>
      <c r="Y335" s="4"/>
    </row>
    <row r="336" ht="12.75" customHeight="1">
      <c r="F336" s="3"/>
      <c r="S336" s="4"/>
      <c r="T336" s="4"/>
      <c r="U336" s="4"/>
      <c r="V336" s="4"/>
      <c r="W336" s="4"/>
      <c r="X336" s="4"/>
      <c r="Y336" s="4"/>
    </row>
    <row r="337" ht="12.75" customHeight="1">
      <c r="F337" s="3"/>
      <c r="S337" s="4"/>
      <c r="T337" s="4"/>
      <c r="U337" s="4"/>
      <c r="V337" s="4"/>
      <c r="W337" s="4"/>
      <c r="X337" s="4"/>
      <c r="Y337" s="4"/>
    </row>
    <row r="338" ht="12.75" customHeight="1">
      <c r="F338" s="3"/>
      <c r="S338" s="4"/>
      <c r="T338" s="4"/>
      <c r="U338" s="4"/>
      <c r="V338" s="4"/>
      <c r="W338" s="4"/>
      <c r="X338" s="4"/>
      <c r="Y338" s="4"/>
    </row>
    <row r="339" ht="12.75" customHeight="1">
      <c r="F339" s="3"/>
      <c r="S339" s="4"/>
      <c r="T339" s="4"/>
      <c r="U339" s="4"/>
      <c r="V339" s="4"/>
      <c r="W339" s="4"/>
      <c r="X339" s="4"/>
      <c r="Y339" s="4"/>
    </row>
    <row r="340" ht="12.75" customHeight="1">
      <c r="F340" s="3"/>
      <c r="S340" s="4"/>
      <c r="T340" s="4"/>
      <c r="U340" s="4"/>
      <c r="V340" s="4"/>
      <c r="W340" s="4"/>
      <c r="X340" s="4"/>
      <c r="Y340" s="4"/>
    </row>
    <row r="341" ht="12.75" customHeight="1">
      <c r="F341" s="3"/>
      <c r="S341" s="4"/>
      <c r="T341" s="4"/>
      <c r="U341" s="4"/>
      <c r="V341" s="4"/>
      <c r="W341" s="4"/>
      <c r="X341" s="4"/>
      <c r="Y341" s="4"/>
    </row>
    <row r="342" ht="12.75" customHeight="1">
      <c r="F342" s="3"/>
      <c r="S342" s="4"/>
      <c r="T342" s="4"/>
      <c r="U342" s="4"/>
      <c r="V342" s="4"/>
      <c r="W342" s="4"/>
      <c r="X342" s="4"/>
      <c r="Y342" s="4"/>
    </row>
    <row r="343" ht="12.75" customHeight="1">
      <c r="F343" s="3"/>
      <c r="S343" s="4"/>
      <c r="T343" s="4"/>
      <c r="U343" s="4"/>
      <c r="V343" s="4"/>
      <c r="W343" s="4"/>
      <c r="X343" s="4"/>
      <c r="Y343" s="4"/>
    </row>
    <row r="344" ht="12.75" customHeight="1">
      <c r="F344" s="3"/>
      <c r="S344" s="4"/>
      <c r="T344" s="4"/>
      <c r="U344" s="4"/>
      <c r="V344" s="4"/>
      <c r="W344" s="4"/>
      <c r="X344" s="4"/>
      <c r="Y344" s="4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F7"/>
    <mergeCell ref="C12:D12"/>
    <mergeCell ref="E12:F12"/>
    <mergeCell ref="E13:F13"/>
    <mergeCell ref="C18:E18"/>
    <mergeCell ref="C107:E107"/>
    <mergeCell ref="C121:E1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44531.0</v>
      </c>
      <c r="J4" s="139" t="str">
        <f>+B8&amp;"/"&amp;B9&amp;"/"&amp;B10&amp;"/"&amp;B11&amp;"/"&amp;B12&amp;"/"&amp;B13&amp;"/"&amp;B14&amp;"/"&amp;B15</f>
        <v>HRD2940/HRD2940/HRD5040/HRD2940/HRD2930/HRD2940/D2220/D1650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</row>
    <row r="7" ht="36.0" customHeight="1">
      <c r="A7" s="146" t="s">
        <v>6</v>
      </c>
      <c r="B7" s="147"/>
      <c r="C7" s="148" t="s">
        <v>54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+I304</f>
        <v>0.04028463492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252.8*15</f>
        <v>3792</v>
      </c>
      <c r="F8" s="157"/>
      <c r="G8" s="157"/>
      <c r="H8" s="158">
        <v>15.0</v>
      </c>
      <c r="I8" s="159">
        <f t="shared" ref="I8:I22" si="1">+D8*E8</f>
        <v>55.3632</v>
      </c>
      <c r="J8" s="160">
        <f t="shared" ref="J8:J22" si="2">E8-I8</f>
        <v>3736.6368</v>
      </c>
      <c r="K8" s="139"/>
      <c r="L8" s="139"/>
      <c r="M8" s="139"/>
      <c r="N8" s="139"/>
      <c r="O8" s="139"/>
      <c r="P8" s="139"/>
      <c r="Q8" s="139"/>
      <c r="R8" s="16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245.58*35</f>
        <v>8595.3</v>
      </c>
      <c r="F9" s="157"/>
      <c r="G9" s="157"/>
      <c r="H9" s="158">
        <v>35.0</v>
      </c>
      <c r="I9" s="159">
        <f t="shared" si="1"/>
        <v>125.49138</v>
      </c>
      <c r="J9" s="160">
        <f t="shared" si="2"/>
        <v>8469.80862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56</v>
      </c>
      <c r="C10" s="155">
        <v>50.5</v>
      </c>
      <c r="D10" s="156">
        <v>0.0222</v>
      </c>
      <c r="E10" s="157">
        <f>254.29*1.3</f>
        <v>330.577</v>
      </c>
      <c r="F10" s="157"/>
      <c r="G10" s="157"/>
      <c r="H10" s="158">
        <v>1.3</v>
      </c>
      <c r="I10" s="159">
        <f t="shared" si="1"/>
        <v>7.3388094</v>
      </c>
      <c r="J10" s="160">
        <f t="shared" si="2"/>
        <v>323.2381906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55</v>
      </c>
      <c r="C11" s="155">
        <v>29.5</v>
      </c>
      <c r="D11" s="163">
        <v>0.0146</v>
      </c>
      <c r="E11" s="164">
        <f>252.8*34.8</f>
        <v>8797.44</v>
      </c>
      <c r="F11" s="164"/>
      <c r="G11" s="164"/>
      <c r="H11" s="158">
        <v>34.8</v>
      </c>
      <c r="I11" s="159">
        <f t="shared" si="1"/>
        <v>128.442624</v>
      </c>
      <c r="J11" s="160">
        <f t="shared" si="2"/>
        <v>8668.997376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57</v>
      </c>
      <c r="C12" s="155">
        <v>29.5</v>
      </c>
      <c r="D12" s="163">
        <v>0.0155</v>
      </c>
      <c r="E12" s="164">
        <f>253.14*21.2</f>
        <v>5366.568</v>
      </c>
      <c r="F12" s="164"/>
      <c r="G12" s="164"/>
      <c r="H12" s="158">
        <v>21.2</v>
      </c>
      <c r="I12" s="159">
        <f t="shared" si="1"/>
        <v>83.181804</v>
      </c>
      <c r="J12" s="160">
        <f t="shared" si="2"/>
        <v>5283.386196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55</v>
      </c>
      <c r="C13" s="155">
        <v>29.5</v>
      </c>
      <c r="D13" s="163">
        <v>0.0146</v>
      </c>
      <c r="E13" s="164">
        <f>252.8*49.7</f>
        <v>12564.16</v>
      </c>
      <c r="F13" s="164"/>
      <c r="G13" s="164"/>
      <c r="H13" s="158">
        <v>49.7</v>
      </c>
      <c r="I13" s="159">
        <f t="shared" si="1"/>
        <v>183.436736</v>
      </c>
      <c r="J13" s="160">
        <f t="shared" si="2"/>
        <v>12380.72326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58</v>
      </c>
      <c r="C14" s="162">
        <v>22.5</v>
      </c>
      <c r="D14" s="163">
        <v>0.1086</v>
      </c>
      <c r="E14" s="164">
        <f>208.59*22</f>
        <v>4588.98</v>
      </c>
      <c r="F14" s="164"/>
      <c r="G14" s="164"/>
      <c r="H14" s="158">
        <v>22.0</v>
      </c>
      <c r="I14" s="159">
        <f t="shared" si="1"/>
        <v>498.363228</v>
      </c>
      <c r="J14" s="160">
        <f t="shared" si="2"/>
        <v>4090.616772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4">
        <v>8.0</v>
      </c>
      <c r="B15" s="162" t="s">
        <v>59</v>
      </c>
      <c r="C15" s="162">
        <v>16.5</v>
      </c>
      <c r="D15" s="163">
        <v>0.1057</v>
      </c>
      <c r="E15" s="164">
        <f>187.67*7.3</f>
        <v>1369.991</v>
      </c>
      <c r="F15" s="164"/>
      <c r="G15" s="164"/>
      <c r="H15" s="158">
        <v>7.3</v>
      </c>
      <c r="I15" s="159">
        <f t="shared" si="1"/>
        <v>144.8080487</v>
      </c>
      <c r="J15" s="160">
        <f t="shared" si="2"/>
        <v>1225.182951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11.0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12.0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13.0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14.0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15.0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16.0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17.0</v>
      </c>
      <c r="B22" s="162"/>
      <c r="C22" s="162"/>
      <c r="D22" s="163"/>
      <c r="E22" s="164"/>
      <c r="F22" s="164"/>
      <c r="G22" s="164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65"/>
      <c r="B23" s="166"/>
      <c r="C23" s="167"/>
      <c r="D23" s="168"/>
      <c r="E23" s="169">
        <f>SUM(E8:E22)</f>
        <v>45405.016</v>
      </c>
      <c r="F23" s="170"/>
      <c r="G23" s="170"/>
      <c r="H23" s="171"/>
      <c r="I23" s="172">
        <f t="shared" ref="I23:J23" si="3">SUM(I8:I22)</f>
        <v>1226.42583</v>
      </c>
      <c r="J23" s="173">
        <f t="shared" si="3"/>
        <v>44178.59017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74"/>
      <c r="B24" s="144"/>
      <c r="C24" s="144"/>
      <c r="D24" s="175"/>
      <c r="E24" s="176"/>
      <c r="F24" s="151"/>
      <c r="G24" s="151"/>
      <c r="H24" s="147"/>
      <c r="I24" s="177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40.5" customHeight="1">
      <c r="A29" s="178"/>
      <c r="B29" s="162" t="s">
        <v>12</v>
      </c>
      <c r="C29" s="179" t="s">
        <v>60</v>
      </c>
      <c r="D29" s="52"/>
      <c r="E29" s="53"/>
      <c r="F29" s="180"/>
      <c r="G29" s="180"/>
      <c r="H29" s="181" t="s">
        <v>14</v>
      </c>
      <c r="I29" s="162" t="s">
        <v>15</v>
      </c>
      <c r="J29" s="162" t="s">
        <v>16</v>
      </c>
      <c r="K29" s="139"/>
      <c r="L29" s="162" t="s">
        <v>17</v>
      </c>
      <c r="M29" s="162" t="s">
        <v>15</v>
      </c>
      <c r="N29" s="178" t="s">
        <v>18</v>
      </c>
      <c r="O29" s="139"/>
      <c r="P29" s="139"/>
      <c r="Q29" s="178" t="s">
        <v>61</v>
      </c>
      <c r="R29" s="182"/>
      <c r="S29" s="162" t="s">
        <v>17</v>
      </c>
      <c r="T29" s="162" t="s">
        <v>15</v>
      </c>
      <c r="U29" s="178" t="s">
        <v>18</v>
      </c>
      <c r="V29" s="139"/>
      <c r="W29" s="178" t="s">
        <v>19</v>
      </c>
      <c r="X29" s="178" t="s">
        <v>20</v>
      </c>
      <c r="Y29" s="178" t="s">
        <v>21</v>
      </c>
      <c r="Z29" s="178" t="s">
        <v>62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1.0</v>
      </c>
      <c r="B30" s="183" t="s">
        <v>63</v>
      </c>
      <c r="C30" s="184">
        <v>84.0</v>
      </c>
      <c r="D30" s="184">
        <v>206.0</v>
      </c>
      <c r="E30" s="184">
        <v>177.0</v>
      </c>
      <c r="F30" s="184">
        <f t="shared" ref="F30:F239" si="5">VALUE(IF(RIGHT(B30, 1)="%", RIGHT(B30, 3), 0))</f>
        <v>0.8</v>
      </c>
      <c r="G30" s="184">
        <f t="shared" ref="G30:G239" si="6">+R30*C30/100*D30/100*E30/100</f>
        <v>91.88424</v>
      </c>
      <c r="H30" s="185">
        <f t="shared" ref="H30:H239" si="7">IF(F30=0, G30, F30*G30)</f>
        <v>73.507392</v>
      </c>
      <c r="I30" s="184">
        <v>1.0</v>
      </c>
      <c r="J30" s="186">
        <f t="shared" ref="J30:J239" si="8">+I30*H30</f>
        <v>73.507392</v>
      </c>
      <c r="K30" s="187"/>
      <c r="L30" s="188">
        <f>D30*25.4/1000</f>
        <v>5.2324</v>
      </c>
      <c r="M30" s="189">
        <f>+I30</f>
        <v>1</v>
      </c>
      <c r="N30" s="189">
        <f>M30*L30</f>
        <v>5.2324</v>
      </c>
      <c r="O30" s="187"/>
      <c r="P30" s="187"/>
      <c r="Q30" s="188">
        <v>98.0</v>
      </c>
      <c r="R30" s="190">
        <v>30.0</v>
      </c>
      <c r="S30" s="178">
        <f t="shared" ref="S30:S240" si="9">E30/100</f>
        <v>1.77</v>
      </c>
      <c r="T30" s="162">
        <f t="shared" ref="T30:T240" si="10">I30</f>
        <v>1</v>
      </c>
      <c r="U30" s="162">
        <f t="shared" ref="U30:U240" si="11">T30*S30</f>
        <v>1.77</v>
      </c>
      <c r="V30" s="191">
        <f t="shared" ref="V30:V97" si="12">R30*C30/100*D30/100*E30/100</f>
        <v>91.88424</v>
      </c>
      <c r="W30" s="178">
        <f t="shared" ref="W30:X30" si="4">C30/100</f>
        <v>0.84</v>
      </c>
      <c r="X30" s="178">
        <f t="shared" si="4"/>
        <v>2.06</v>
      </c>
      <c r="Y30" s="178">
        <f t="shared" ref="Y30:Y240" si="14">U30</f>
        <v>1.77</v>
      </c>
      <c r="Z30" s="192">
        <f t="shared" ref="Z30:Z240" si="15">W30*X30*Y30</f>
        <v>3.062808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2.0</v>
      </c>
      <c r="B31" s="193" t="s">
        <v>55</v>
      </c>
      <c r="C31" s="193">
        <v>96.0</v>
      </c>
      <c r="D31" s="193">
        <v>206.0</v>
      </c>
      <c r="E31" s="193">
        <v>196.0</v>
      </c>
      <c r="F31" s="193">
        <f t="shared" si="5"/>
        <v>0</v>
      </c>
      <c r="G31" s="193">
        <f t="shared" si="6"/>
        <v>116.28288</v>
      </c>
      <c r="H31" s="194">
        <f t="shared" si="7"/>
        <v>116.28288</v>
      </c>
      <c r="I31" s="193">
        <v>1.0</v>
      </c>
      <c r="J31" s="195">
        <f t="shared" si="8"/>
        <v>116.28288</v>
      </c>
      <c r="K31" s="139"/>
      <c r="L31" s="178"/>
      <c r="M31" s="162"/>
      <c r="N31" s="162"/>
      <c r="O31" s="139"/>
      <c r="P31" s="139"/>
      <c r="Q31" s="178">
        <v>118.0</v>
      </c>
      <c r="R31" s="190">
        <v>30.0</v>
      </c>
      <c r="S31" s="178">
        <f t="shared" si="9"/>
        <v>1.96</v>
      </c>
      <c r="T31" s="162">
        <f t="shared" si="10"/>
        <v>1</v>
      </c>
      <c r="U31" s="162">
        <f t="shared" si="11"/>
        <v>1.96</v>
      </c>
      <c r="V31" s="191">
        <f t="shared" si="12"/>
        <v>116.28288</v>
      </c>
      <c r="W31" s="178">
        <f t="shared" ref="W31:X31" si="13">C31/100</f>
        <v>0.96</v>
      </c>
      <c r="X31" s="178">
        <f t="shared" si="13"/>
        <v>2.06</v>
      </c>
      <c r="Y31" s="178">
        <f t="shared" si="14"/>
        <v>1.96</v>
      </c>
      <c r="Z31" s="192">
        <f t="shared" si="15"/>
        <v>3.876096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3.0</v>
      </c>
      <c r="B32" s="193" t="s">
        <v>55</v>
      </c>
      <c r="C32" s="193">
        <v>98.0</v>
      </c>
      <c r="D32" s="193">
        <v>206.0</v>
      </c>
      <c r="E32" s="193">
        <v>2710.0</v>
      </c>
      <c r="F32" s="193">
        <f t="shared" si="5"/>
        <v>0</v>
      </c>
      <c r="G32" s="193">
        <f t="shared" si="6"/>
        <v>1641.2844</v>
      </c>
      <c r="H32" s="194">
        <f t="shared" si="7"/>
        <v>1641.2844</v>
      </c>
      <c r="I32" s="193">
        <v>1.0</v>
      </c>
      <c r="J32" s="195">
        <f t="shared" si="8"/>
        <v>1641.2844</v>
      </c>
      <c r="K32" s="139"/>
      <c r="L32" s="178">
        <f t="shared" ref="L32:L54" si="17">D32*25.4/1000</f>
        <v>5.2324</v>
      </c>
      <c r="M32" s="162">
        <f t="shared" ref="M32:M67" si="18">+I32</f>
        <v>1</v>
      </c>
      <c r="N32" s="162">
        <f t="shared" ref="N32:N54" si="19">M32*L32</f>
        <v>5.2324</v>
      </c>
      <c r="O32" s="139"/>
      <c r="P32" s="139"/>
      <c r="Q32" s="178">
        <v>1595.0</v>
      </c>
      <c r="R32" s="190">
        <v>30.0</v>
      </c>
      <c r="S32" s="178">
        <f t="shared" si="9"/>
        <v>27.1</v>
      </c>
      <c r="T32" s="162">
        <f t="shared" si="10"/>
        <v>1</v>
      </c>
      <c r="U32" s="162">
        <f t="shared" si="11"/>
        <v>27.1</v>
      </c>
      <c r="V32" s="191">
        <f t="shared" si="12"/>
        <v>1641.2844</v>
      </c>
      <c r="W32" s="178">
        <f t="shared" ref="W32:X32" si="16">C32/100</f>
        <v>0.98</v>
      </c>
      <c r="X32" s="178">
        <f t="shared" si="16"/>
        <v>2.06</v>
      </c>
      <c r="Y32" s="178">
        <f t="shared" si="14"/>
        <v>27.1</v>
      </c>
      <c r="Z32" s="192">
        <f t="shared" si="15"/>
        <v>54.70948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4.0</v>
      </c>
      <c r="B33" s="193" t="s">
        <v>55</v>
      </c>
      <c r="C33" s="193">
        <v>96.0</v>
      </c>
      <c r="D33" s="193">
        <v>206.0</v>
      </c>
      <c r="E33" s="193">
        <v>2870.0</v>
      </c>
      <c r="F33" s="193">
        <f t="shared" si="5"/>
        <v>0</v>
      </c>
      <c r="G33" s="193">
        <f t="shared" si="6"/>
        <v>1702.7136</v>
      </c>
      <c r="H33" s="194">
        <f t="shared" si="7"/>
        <v>1702.7136</v>
      </c>
      <c r="I33" s="193">
        <v>1.0</v>
      </c>
      <c r="J33" s="195">
        <f t="shared" si="8"/>
        <v>1702.7136</v>
      </c>
      <c r="K33" s="139"/>
      <c r="L33" s="178">
        <f t="shared" si="17"/>
        <v>5.2324</v>
      </c>
      <c r="M33" s="162">
        <f t="shared" si="18"/>
        <v>1</v>
      </c>
      <c r="N33" s="162">
        <f t="shared" si="19"/>
        <v>5.2324</v>
      </c>
      <c r="O33" s="139"/>
      <c r="P33" s="139"/>
      <c r="Q33" s="178">
        <v>1705.0</v>
      </c>
      <c r="R33" s="190">
        <v>30.0</v>
      </c>
      <c r="S33" s="178">
        <f t="shared" si="9"/>
        <v>28.7</v>
      </c>
      <c r="T33" s="162">
        <f t="shared" si="10"/>
        <v>1</v>
      </c>
      <c r="U33" s="162">
        <f t="shared" si="11"/>
        <v>28.7</v>
      </c>
      <c r="V33" s="191">
        <f t="shared" si="12"/>
        <v>1702.7136</v>
      </c>
      <c r="W33" s="178">
        <f t="shared" ref="W33:X33" si="20">C33/100</f>
        <v>0.96</v>
      </c>
      <c r="X33" s="178">
        <f t="shared" si="20"/>
        <v>2.06</v>
      </c>
      <c r="Y33" s="178">
        <f t="shared" si="14"/>
        <v>28.7</v>
      </c>
      <c r="Z33" s="192">
        <f t="shared" si="15"/>
        <v>56.75712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5.0</v>
      </c>
      <c r="B34" s="183" t="s">
        <v>63</v>
      </c>
      <c r="C34" s="184">
        <v>81.0</v>
      </c>
      <c r="D34" s="184">
        <v>184.0</v>
      </c>
      <c r="E34" s="184">
        <v>187.0</v>
      </c>
      <c r="F34" s="184">
        <f t="shared" si="5"/>
        <v>0.8</v>
      </c>
      <c r="G34" s="184">
        <f t="shared" si="6"/>
        <v>84.4475544</v>
      </c>
      <c r="H34" s="185">
        <f t="shared" si="7"/>
        <v>67.55804352</v>
      </c>
      <c r="I34" s="184">
        <v>1.0</v>
      </c>
      <c r="J34" s="186">
        <f t="shared" si="8"/>
        <v>67.55804352</v>
      </c>
      <c r="K34" s="187"/>
      <c r="L34" s="188">
        <f t="shared" si="17"/>
        <v>4.6736</v>
      </c>
      <c r="M34" s="189">
        <f t="shared" si="18"/>
        <v>1</v>
      </c>
      <c r="N34" s="189">
        <f t="shared" si="19"/>
        <v>4.6736</v>
      </c>
      <c r="O34" s="187"/>
      <c r="P34" s="187"/>
      <c r="Q34" s="188">
        <v>89.0</v>
      </c>
      <c r="R34" s="190">
        <v>30.3</v>
      </c>
      <c r="S34" s="178">
        <f t="shared" si="9"/>
        <v>1.87</v>
      </c>
      <c r="T34" s="162">
        <f t="shared" si="10"/>
        <v>1</v>
      </c>
      <c r="U34" s="162">
        <f t="shared" si="11"/>
        <v>1.87</v>
      </c>
      <c r="V34" s="191">
        <f t="shared" si="12"/>
        <v>84.4475544</v>
      </c>
      <c r="W34" s="178">
        <f t="shared" ref="W34:X34" si="21">C34/100</f>
        <v>0.81</v>
      </c>
      <c r="X34" s="178">
        <f t="shared" si="21"/>
        <v>1.84</v>
      </c>
      <c r="Y34" s="178">
        <f t="shared" si="14"/>
        <v>1.87</v>
      </c>
      <c r="Z34" s="192">
        <f t="shared" si="15"/>
        <v>2.787048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6.0</v>
      </c>
      <c r="B35" s="193" t="s">
        <v>55</v>
      </c>
      <c r="C35" s="193">
        <v>100.0</v>
      </c>
      <c r="D35" s="193">
        <v>184.0</v>
      </c>
      <c r="E35" s="193">
        <v>184.0</v>
      </c>
      <c r="F35" s="193">
        <f t="shared" si="5"/>
        <v>0</v>
      </c>
      <c r="G35" s="193">
        <f t="shared" si="6"/>
        <v>102.58368</v>
      </c>
      <c r="H35" s="194">
        <f t="shared" si="7"/>
        <v>102.58368</v>
      </c>
      <c r="I35" s="193">
        <v>1.0</v>
      </c>
      <c r="J35" s="195">
        <f t="shared" si="8"/>
        <v>102.58368</v>
      </c>
      <c r="K35" s="139"/>
      <c r="L35" s="178">
        <f t="shared" si="17"/>
        <v>4.6736</v>
      </c>
      <c r="M35" s="162">
        <f t="shared" si="18"/>
        <v>1</v>
      </c>
      <c r="N35" s="162">
        <f t="shared" si="19"/>
        <v>4.6736</v>
      </c>
      <c r="O35" s="139"/>
      <c r="P35" s="139"/>
      <c r="Q35" s="178">
        <v>116.0</v>
      </c>
      <c r="R35" s="190">
        <v>30.3</v>
      </c>
      <c r="S35" s="178">
        <f t="shared" si="9"/>
        <v>1.84</v>
      </c>
      <c r="T35" s="162">
        <f t="shared" si="10"/>
        <v>1</v>
      </c>
      <c r="U35" s="162">
        <f t="shared" si="11"/>
        <v>1.84</v>
      </c>
      <c r="V35" s="191">
        <f t="shared" si="12"/>
        <v>102.58368</v>
      </c>
      <c r="W35" s="178">
        <f t="shared" ref="W35:X35" si="22">C35/100</f>
        <v>1</v>
      </c>
      <c r="X35" s="178">
        <f t="shared" si="22"/>
        <v>1.84</v>
      </c>
      <c r="Y35" s="178">
        <f t="shared" si="14"/>
        <v>1.84</v>
      </c>
      <c r="Z35" s="192">
        <f t="shared" si="15"/>
        <v>3.3856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7.0</v>
      </c>
      <c r="B36" s="193" t="s">
        <v>55</v>
      </c>
      <c r="C36" s="193">
        <v>100.0</v>
      </c>
      <c r="D36" s="193">
        <v>184.0</v>
      </c>
      <c r="E36" s="193">
        <v>2868.0</v>
      </c>
      <c r="F36" s="193">
        <f t="shared" si="5"/>
        <v>0</v>
      </c>
      <c r="G36" s="193">
        <f t="shared" si="6"/>
        <v>1598.96736</v>
      </c>
      <c r="H36" s="194">
        <f t="shared" si="7"/>
        <v>1598.96736</v>
      </c>
      <c r="I36" s="193">
        <v>1.0</v>
      </c>
      <c r="J36" s="195">
        <f t="shared" si="8"/>
        <v>1598.96736</v>
      </c>
      <c r="K36" s="139"/>
      <c r="L36" s="178">
        <f t="shared" si="17"/>
        <v>4.6736</v>
      </c>
      <c r="M36" s="162">
        <f t="shared" si="18"/>
        <v>1</v>
      </c>
      <c r="N36" s="162">
        <f t="shared" si="19"/>
        <v>4.6736</v>
      </c>
      <c r="O36" s="139"/>
      <c r="P36" s="139"/>
      <c r="Q36" s="178">
        <v>1590.0</v>
      </c>
      <c r="R36" s="190">
        <v>30.3</v>
      </c>
      <c r="S36" s="178">
        <f t="shared" si="9"/>
        <v>28.68</v>
      </c>
      <c r="T36" s="162">
        <f t="shared" si="10"/>
        <v>1</v>
      </c>
      <c r="U36" s="162">
        <f t="shared" si="11"/>
        <v>28.68</v>
      </c>
      <c r="V36" s="191">
        <f t="shared" si="12"/>
        <v>1598.96736</v>
      </c>
      <c r="W36" s="178">
        <f t="shared" ref="W36:X36" si="23">C36/100</f>
        <v>1</v>
      </c>
      <c r="X36" s="178">
        <f t="shared" si="23"/>
        <v>1.84</v>
      </c>
      <c r="Y36" s="178">
        <f t="shared" si="14"/>
        <v>28.68</v>
      </c>
      <c r="Z36" s="192">
        <f t="shared" si="15"/>
        <v>52.7712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8.0</v>
      </c>
      <c r="B37" s="193" t="s">
        <v>55</v>
      </c>
      <c r="C37" s="193">
        <v>100.0</v>
      </c>
      <c r="D37" s="193">
        <v>184.0</v>
      </c>
      <c r="E37" s="193">
        <v>2869.0</v>
      </c>
      <c r="F37" s="193">
        <f t="shared" si="5"/>
        <v>0</v>
      </c>
      <c r="G37" s="193">
        <f t="shared" si="6"/>
        <v>1599.52488</v>
      </c>
      <c r="H37" s="194">
        <f t="shared" si="7"/>
        <v>1599.52488</v>
      </c>
      <c r="I37" s="193">
        <v>1.0</v>
      </c>
      <c r="J37" s="195">
        <f t="shared" si="8"/>
        <v>1599.52488</v>
      </c>
      <c r="K37" s="139"/>
      <c r="L37" s="178">
        <f t="shared" si="17"/>
        <v>4.6736</v>
      </c>
      <c r="M37" s="162">
        <f t="shared" si="18"/>
        <v>1</v>
      </c>
      <c r="N37" s="162">
        <f t="shared" si="19"/>
        <v>4.6736</v>
      </c>
      <c r="O37" s="139"/>
      <c r="P37" s="139"/>
      <c r="Q37" s="178">
        <v>1620.0</v>
      </c>
      <c r="R37" s="190">
        <v>30.3</v>
      </c>
      <c r="S37" s="178">
        <f t="shared" si="9"/>
        <v>28.69</v>
      </c>
      <c r="T37" s="162">
        <f t="shared" si="10"/>
        <v>1</v>
      </c>
      <c r="U37" s="162">
        <f t="shared" si="11"/>
        <v>28.69</v>
      </c>
      <c r="V37" s="191">
        <f t="shared" si="12"/>
        <v>1599.52488</v>
      </c>
      <c r="W37" s="178">
        <f t="shared" ref="W37:X37" si="24">C37/100</f>
        <v>1</v>
      </c>
      <c r="X37" s="178">
        <f t="shared" si="24"/>
        <v>1.84</v>
      </c>
      <c r="Y37" s="178">
        <f t="shared" si="14"/>
        <v>28.69</v>
      </c>
      <c r="Z37" s="192">
        <f t="shared" si="15"/>
        <v>52.7896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9.0</v>
      </c>
      <c r="B38" s="193" t="s">
        <v>55</v>
      </c>
      <c r="C38" s="193">
        <v>100.0</v>
      </c>
      <c r="D38" s="193">
        <v>184.0</v>
      </c>
      <c r="E38" s="193">
        <v>2865.0</v>
      </c>
      <c r="F38" s="193">
        <f t="shared" si="5"/>
        <v>0</v>
      </c>
      <c r="G38" s="193">
        <f t="shared" si="6"/>
        <v>1597.2948</v>
      </c>
      <c r="H38" s="194">
        <f t="shared" si="7"/>
        <v>1597.2948</v>
      </c>
      <c r="I38" s="193">
        <v>1.0</v>
      </c>
      <c r="J38" s="195">
        <f t="shared" si="8"/>
        <v>1597.2948</v>
      </c>
      <c r="K38" s="139"/>
      <c r="L38" s="178">
        <f t="shared" si="17"/>
        <v>4.6736</v>
      </c>
      <c r="M38" s="162">
        <f t="shared" si="18"/>
        <v>1</v>
      </c>
      <c r="N38" s="162">
        <f t="shared" si="19"/>
        <v>4.6736</v>
      </c>
      <c r="O38" s="139"/>
      <c r="P38" s="139"/>
      <c r="Q38" s="178">
        <v>1605.0</v>
      </c>
      <c r="R38" s="190">
        <v>30.3</v>
      </c>
      <c r="S38" s="178">
        <f t="shared" si="9"/>
        <v>28.65</v>
      </c>
      <c r="T38" s="162">
        <f t="shared" si="10"/>
        <v>1</v>
      </c>
      <c r="U38" s="162">
        <f t="shared" si="11"/>
        <v>28.65</v>
      </c>
      <c r="V38" s="191">
        <f t="shared" si="12"/>
        <v>1597.2948</v>
      </c>
      <c r="W38" s="178">
        <f t="shared" ref="W38:X38" si="25">C38/100</f>
        <v>1</v>
      </c>
      <c r="X38" s="178">
        <f t="shared" si="25"/>
        <v>1.84</v>
      </c>
      <c r="Y38" s="178">
        <f t="shared" si="14"/>
        <v>28.65</v>
      </c>
      <c r="Z38" s="192">
        <f t="shared" si="15"/>
        <v>52.716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10.0</v>
      </c>
      <c r="B39" s="193" t="s">
        <v>55</v>
      </c>
      <c r="C39" s="193">
        <v>100.0</v>
      </c>
      <c r="D39" s="193">
        <v>184.0</v>
      </c>
      <c r="E39" s="193">
        <v>2870.0</v>
      </c>
      <c r="F39" s="193">
        <f t="shared" si="5"/>
        <v>0</v>
      </c>
      <c r="G39" s="193">
        <f t="shared" si="6"/>
        <v>1600.0824</v>
      </c>
      <c r="H39" s="194">
        <f t="shared" si="7"/>
        <v>1600.0824</v>
      </c>
      <c r="I39" s="193">
        <v>1.0</v>
      </c>
      <c r="J39" s="195">
        <f t="shared" si="8"/>
        <v>1600.0824</v>
      </c>
      <c r="K39" s="139"/>
      <c r="L39" s="178">
        <f t="shared" si="17"/>
        <v>4.6736</v>
      </c>
      <c r="M39" s="162">
        <f t="shared" si="18"/>
        <v>1</v>
      </c>
      <c r="N39" s="162">
        <f t="shared" si="19"/>
        <v>4.6736</v>
      </c>
      <c r="O39" s="139"/>
      <c r="P39" s="139"/>
      <c r="Q39" s="178">
        <v>1545.0</v>
      </c>
      <c r="R39" s="190">
        <v>30.3</v>
      </c>
      <c r="S39" s="178">
        <f t="shared" si="9"/>
        <v>28.7</v>
      </c>
      <c r="T39" s="162">
        <f t="shared" si="10"/>
        <v>1</v>
      </c>
      <c r="U39" s="162">
        <f t="shared" si="11"/>
        <v>28.7</v>
      </c>
      <c r="V39" s="191">
        <f t="shared" si="12"/>
        <v>1600.0824</v>
      </c>
      <c r="W39" s="178">
        <f t="shared" ref="W39:X39" si="26">C39/100</f>
        <v>1</v>
      </c>
      <c r="X39" s="178">
        <f t="shared" si="26"/>
        <v>1.84</v>
      </c>
      <c r="Y39" s="178">
        <f t="shared" si="14"/>
        <v>28.7</v>
      </c>
      <c r="Z39" s="192">
        <f t="shared" si="15"/>
        <v>52.808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11.0</v>
      </c>
      <c r="B40" s="193" t="s">
        <v>55</v>
      </c>
      <c r="C40" s="193">
        <v>100.0</v>
      </c>
      <c r="D40" s="193">
        <v>184.0</v>
      </c>
      <c r="E40" s="193">
        <v>2870.0</v>
      </c>
      <c r="F40" s="193">
        <f t="shared" si="5"/>
        <v>0</v>
      </c>
      <c r="G40" s="193">
        <f t="shared" si="6"/>
        <v>1600.0824</v>
      </c>
      <c r="H40" s="194">
        <f t="shared" si="7"/>
        <v>1600.0824</v>
      </c>
      <c r="I40" s="193">
        <v>1.0</v>
      </c>
      <c r="J40" s="195">
        <f t="shared" si="8"/>
        <v>1600.0824</v>
      </c>
      <c r="K40" s="139"/>
      <c r="L40" s="178">
        <f t="shared" si="17"/>
        <v>4.6736</v>
      </c>
      <c r="M40" s="162">
        <f t="shared" si="18"/>
        <v>1</v>
      </c>
      <c r="N40" s="162">
        <f t="shared" si="19"/>
        <v>4.6736</v>
      </c>
      <c r="O40" s="139"/>
      <c r="P40" s="139"/>
      <c r="Q40" s="178">
        <v>1585.0</v>
      </c>
      <c r="R40" s="190">
        <v>30.3</v>
      </c>
      <c r="S40" s="178">
        <f t="shared" si="9"/>
        <v>28.7</v>
      </c>
      <c r="T40" s="162">
        <f t="shared" si="10"/>
        <v>1</v>
      </c>
      <c r="U40" s="162">
        <f t="shared" si="11"/>
        <v>28.7</v>
      </c>
      <c r="V40" s="191">
        <f t="shared" si="12"/>
        <v>1600.0824</v>
      </c>
      <c r="W40" s="178">
        <f t="shared" ref="W40:X40" si="27">C40/100</f>
        <v>1</v>
      </c>
      <c r="X40" s="178">
        <f t="shared" si="27"/>
        <v>1.84</v>
      </c>
      <c r="Y40" s="178">
        <f t="shared" si="14"/>
        <v>28.7</v>
      </c>
      <c r="Z40" s="192">
        <f t="shared" si="15"/>
        <v>52.808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12.0</v>
      </c>
      <c r="B41" s="183" t="s">
        <v>64</v>
      </c>
      <c r="C41" s="184">
        <v>48.0</v>
      </c>
      <c r="D41" s="184">
        <v>195.0</v>
      </c>
      <c r="E41" s="184">
        <v>204.0</v>
      </c>
      <c r="F41" s="184">
        <f t="shared" si="5"/>
        <v>0.8</v>
      </c>
      <c r="G41" s="184">
        <f t="shared" si="6"/>
        <v>96.42672</v>
      </c>
      <c r="H41" s="185">
        <f t="shared" si="7"/>
        <v>77.141376</v>
      </c>
      <c r="I41" s="184">
        <v>1.0</v>
      </c>
      <c r="J41" s="186">
        <f t="shared" si="8"/>
        <v>77.141376</v>
      </c>
      <c r="K41" s="187"/>
      <c r="L41" s="188">
        <f t="shared" si="17"/>
        <v>4.953</v>
      </c>
      <c r="M41" s="189">
        <f t="shared" si="18"/>
        <v>1</v>
      </c>
      <c r="N41" s="189">
        <f t="shared" si="19"/>
        <v>4.953</v>
      </c>
      <c r="O41" s="187"/>
      <c r="P41" s="187"/>
      <c r="Q41" s="188">
        <v>119.0</v>
      </c>
      <c r="R41" s="190">
        <v>50.5</v>
      </c>
      <c r="S41" s="178">
        <f t="shared" si="9"/>
        <v>2.04</v>
      </c>
      <c r="T41" s="162">
        <f t="shared" si="10"/>
        <v>1</v>
      </c>
      <c r="U41" s="162">
        <f t="shared" si="11"/>
        <v>2.04</v>
      </c>
      <c r="V41" s="191">
        <f t="shared" si="12"/>
        <v>96.42672</v>
      </c>
      <c r="W41" s="178">
        <f t="shared" ref="W41:X41" si="28">C41/100</f>
        <v>0.48</v>
      </c>
      <c r="X41" s="178">
        <f t="shared" si="28"/>
        <v>1.95</v>
      </c>
      <c r="Y41" s="178">
        <f t="shared" si="14"/>
        <v>2.04</v>
      </c>
      <c r="Z41" s="192">
        <f t="shared" si="15"/>
        <v>1.90944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13.0</v>
      </c>
      <c r="B42" s="193" t="s">
        <v>56</v>
      </c>
      <c r="C42" s="193">
        <v>45.0</v>
      </c>
      <c r="D42" s="193">
        <v>195.0</v>
      </c>
      <c r="E42" s="193">
        <v>200.0</v>
      </c>
      <c r="F42" s="193">
        <f t="shared" si="5"/>
        <v>0</v>
      </c>
      <c r="G42" s="193">
        <f t="shared" si="6"/>
        <v>88.6275</v>
      </c>
      <c r="H42" s="194">
        <f t="shared" si="7"/>
        <v>88.6275</v>
      </c>
      <c r="I42" s="193">
        <v>1.0</v>
      </c>
      <c r="J42" s="195">
        <f t="shared" si="8"/>
        <v>88.6275</v>
      </c>
      <c r="K42" s="139"/>
      <c r="L42" s="178">
        <f t="shared" si="17"/>
        <v>4.953</v>
      </c>
      <c r="M42" s="162">
        <f t="shared" si="18"/>
        <v>1</v>
      </c>
      <c r="N42" s="162">
        <f t="shared" si="19"/>
        <v>4.953</v>
      </c>
      <c r="O42" s="139"/>
      <c r="P42" s="139"/>
      <c r="Q42" s="178">
        <v>109.0</v>
      </c>
      <c r="R42" s="190">
        <v>50.5</v>
      </c>
      <c r="S42" s="178">
        <f t="shared" si="9"/>
        <v>2</v>
      </c>
      <c r="T42" s="162">
        <f t="shared" si="10"/>
        <v>1</v>
      </c>
      <c r="U42" s="162">
        <f t="shared" si="11"/>
        <v>2</v>
      </c>
      <c r="V42" s="191">
        <f t="shared" si="12"/>
        <v>88.6275</v>
      </c>
      <c r="W42" s="178">
        <f t="shared" ref="W42:X42" si="29">C42/100</f>
        <v>0.45</v>
      </c>
      <c r="X42" s="178">
        <f t="shared" si="29"/>
        <v>1.95</v>
      </c>
      <c r="Y42" s="178">
        <f t="shared" si="14"/>
        <v>2</v>
      </c>
      <c r="Z42" s="192">
        <f t="shared" si="15"/>
        <v>1.755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14.0</v>
      </c>
      <c r="B43" s="193" t="s">
        <v>56</v>
      </c>
      <c r="C43" s="193">
        <v>39.0</v>
      </c>
      <c r="D43" s="193">
        <v>195.0</v>
      </c>
      <c r="E43" s="193">
        <v>90.0</v>
      </c>
      <c r="F43" s="193">
        <f t="shared" si="5"/>
        <v>0</v>
      </c>
      <c r="G43" s="193">
        <f t="shared" si="6"/>
        <v>34.564725</v>
      </c>
      <c r="H43" s="194">
        <f t="shared" si="7"/>
        <v>34.564725</v>
      </c>
      <c r="I43" s="193">
        <v>1.0</v>
      </c>
      <c r="J43" s="195">
        <f t="shared" si="8"/>
        <v>34.564725</v>
      </c>
      <c r="K43" s="139"/>
      <c r="L43" s="178">
        <f t="shared" si="17"/>
        <v>4.953</v>
      </c>
      <c r="M43" s="162">
        <f t="shared" si="18"/>
        <v>1</v>
      </c>
      <c r="N43" s="162">
        <f t="shared" si="19"/>
        <v>4.953</v>
      </c>
      <c r="O43" s="139"/>
      <c r="P43" s="139"/>
      <c r="Q43" s="178">
        <v>57.0</v>
      </c>
      <c r="R43" s="190">
        <v>50.5</v>
      </c>
      <c r="S43" s="178">
        <f t="shared" si="9"/>
        <v>0.9</v>
      </c>
      <c r="T43" s="162">
        <f t="shared" si="10"/>
        <v>1</v>
      </c>
      <c r="U43" s="162">
        <f t="shared" si="11"/>
        <v>0.9</v>
      </c>
      <c r="V43" s="191">
        <f t="shared" si="12"/>
        <v>34.564725</v>
      </c>
      <c r="W43" s="178">
        <f t="shared" ref="W43:X43" si="30">C43/100</f>
        <v>0.39</v>
      </c>
      <c r="X43" s="178">
        <f t="shared" si="30"/>
        <v>1.95</v>
      </c>
      <c r="Y43" s="178">
        <f t="shared" si="14"/>
        <v>0.9</v>
      </c>
      <c r="Z43" s="192">
        <f t="shared" si="15"/>
        <v>0.68445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15.0</v>
      </c>
      <c r="B44" s="183" t="s">
        <v>65</v>
      </c>
      <c r="C44" s="184">
        <v>88.0</v>
      </c>
      <c r="D44" s="184">
        <v>202.0</v>
      </c>
      <c r="E44" s="184">
        <v>186.0</v>
      </c>
      <c r="F44" s="184">
        <f t="shared" si="5"/>
        <v>0</v>
      </c>
      <c r="G44" s="184">
        <f t="shared" si="6"/>
        <v>99.19008</v>
      </c>
      <c r="H44" s="185">
        <f t="shared" si="7"/>
        <v>99.19008</v>
      </c>
      <c r="I44" s="184">
        <v>1.0</v>
      </c>
      <c r="J44" s="186">
        <f t="shared" si="8"/>
        <v>99.19008</v>
      </c>
      <c r="K44" s="187"/>
      <c r="L44" s="188">
        <f t="shared" si="17"/>
        <v>5.1308</v>
      </c>
      <c r="M44" s="189">
        <f t="shared" si="18"/>
        <v>1</v>
      </c>
      <c r="N44" s="189">
        <f t="shared" si="19"/>
        <v>5.1308</v>
      </c>
      <c r="O44" s="187"/>
      <c r="P44" s="187"/>
      <c r="Q44" s="188">
        <v>104.0</v>
      </c>
      <c r="R44" s="190">
        <v>30.0</v>
      </c>
      <c r="S44" s="178">
        <f t="shared" si="9"/>
        <v>1.86</v>
      </c>
      <c r="T44" s="162">
        <f t="shared" si="10"/>
        <v>1</v>
      </c>
      <c r="U44" s="162">
        <f t="shared" si="11"/>
        <v>1.86</v>
      </c>
      <c r="V44" s="191">
        <f t="shared" si="12"/>
        <v>99.19008</v>
      </c>
      <c r="W44" s="178">
        <f t="shared" ref="W44:X44" si="31">C44/100</f>
        <v>0.88</v>
      </c>
      <c r="X44" s="178">
        <f t="shared" si="31"/>
        <v>2.02</v>
      </c>
      <c r="Y44" s="178">
        <f t="shared" si="14"/>
        <v>1.86</v>
      </c>
      <c r="Z44" s="192">
        <f t="shared" si="15"/>
        <v>3.306336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16.0</v>
      </c>
      <c r="B45" s="193" t="s">
        <v>55</v>
      </c>
      <c r="C45" s="193">
        <v>95.0</v>
      </c>
      <c r="D45" s="193">
        <v>202.0</v>
      </c>
      <c r="E45" s="193">
        <v>180.0</v>
      </c>
      <c r="F45" s="193">
        <f t="shared" si="5"/>
        <v>0</v>
      </c>
      <c r="G45" s="193">
        <f t="shared" si="6"/>
        <v>103.626</v>
      </c>
      <c r="H45" s="194">
        <f t="shared" si="7"/>
        <v>103.626</v>
      </c>
      <c r="I45" s="193">
        <v>1.0</v>
      </c>
      <c r="J45" s="195">
        <f t="shared" si="8"/>
        <v>103.626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105.0</v>
      </c>
      <c r="R45" s="190">
        <v>30.0</v>
      </c>
      <c r="S45" s="178">
        <f t="shared" si="9"/>
        <v>1.8</v>
      </c>
      <c r="T45" s="162">
        <f t="shared" si="10"/>
        <v>1</v>
      </c>
      <c r="U45" s="162">
        <f t="shared" si="11"/>
        <v>1.8</v>
      </c>
      <c r="V45" s="191">
        <f t="shared" si="12"/>
        <v>103.626</v>
      </c>
      <c r="W45" s="178">
        <f t="shared" ref="W45:X45" si="32">C45/100</f>
        <v>0.95</v>
      </c>
      <c r="X45" s="178">
        <f t="shared" si="32"/>
        <v>2.02</v>
      </c>
      <c r="Y45" s="178">
        <f t="shared" si="14"/>
        <v>1.8</v>
      </c>
      <c r="Z45" s="192">
        <f t="shared" si="15"/>
        <v>3.4542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17.0</v>
      </c>
      <c r="B46" s="193" t="s">
        <v>55</v>
      </c>
      <c r="C46" s="193">
        <v>94.0</v>
      </c>
      <c r="D46" s="193">
        <v>202.0</v>
      </c>
      <c r="E46" s="193">
        <v>2868.0</v>
      </c>
      <c r="F46" s="193">
        <f t="shared" si="5"/>
        <v>0</v>
      </c>
      <c r="G46" s="193">
        <f t="shared" si="6"/>
        <v>1633.72752</v>
      </c>
      <c r="H46" s="194">
        <f t="shared" si="7"/>
        <v>1633.72752</v>
      </c>
      <c r="I46" s="193">
        <v>1.0</v>
      </c>
      <c r="J46" s="195">
        <f t="shared" si="8"/>
        <v>1633.72752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1665.0</v>
      </c>
      <c r="R46" s="190">
        <v>30.0</v>
      </c>
      <c r="S46" s="178">
        <f t="shared" si="9"/>
        <v>28.68</v>
      </c>
      <c r="T46" s="162">
        <f t="shared" si="10"/>
        <v>1</v>
      </c>
      <c r="U46" s="162">
        <f t="shared" si="11"/>
        <v>28.68</v>
      </c>
      <c r="V46" s="191">
        <f t="shared" si="12"/>
        <v>1633.72752</v>
      </c>
      <c r="W46" s="178">
        <f t="shared" ref="W46:X46" si="33">C46/100</f>
        <v>0.94</v>
      </c>
      <c r="X46" s="178">
        <f t="shared" si="33"/>
        <v>2.02</v>
      </c>
      <c r="Y46" s="178">
        <f t="shared" si="14"/>
        <v>28.68</v>
      </c>
      <c r="Z46" s="192">
        <f t="shared" si="15"/>
        <v>54.457584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18.0</v>
      </c>
      <c r="B47" s="193" t="s">
        <v>55</v>
      </c>
      <c r="C47" s="193">
        <v>94.0</v>
      </c>
      <c r="D47" s="193">
        <v>202.0</v>
      </c>
      <c r="E47" s="193">
        <v>2870.0</v>
      </c>
      <c r="F47" s="193">
        <f t="shared" si="5"/>
        <v>0</v>
      </c>
      <c r="G47" s="193">
        <f t="shared" si="6"/>
        <v>1634.8668</v>
      </c>
      <c r="H47" s="194">
        <f t="shared" si="7"/>
        <v>1634.8668</v>
      </c>
      <c r="I47" s="193">
        <v>1.0</v>
      </c>
      <c r="J47" s="195">
        <f t="shared" si="8"/>
        <v>1634.8668</v>
      </c>
      <c r="K47" s="139"/>
      <c r="L47" s="178">
        <f t="shared" si="17"/>
        <v>5.1308</v>
      </c>
      <c r="M47" s="162">
        <f t="shared" si="18"/>
        <v>1</v>
      </c>
      <c r="N47" s="162">
        <f t="shared" si="19"/>
        <v>5.1308</v>
      </c>
      <c r="O47" s="139"/>
      <c r="P47" s="139"/>
      <c r="Q47" s="178">
        <v>1670.0</v>
      </c>
      <c r="R47" s="190">
        <v>30.0</v>
      </c>
      <c r="S47" s="178">
        <f t="shared" si="9"/>
        <v>28.7</v>
      </c>
      <c r="T47" s="162">
        <f t="shared" si="10"/>
        <v>1</v>
      </c>
      <c r="U47" s="162">
        <f t="shared" si="11"/>
        <v>28.7</v>
      </c>
      <c r="V47" s="191">
        <f t="shared" si="12"/>
        <v>1634.8668</v>
      </c>
      <c r="W47" s="178">
        <f t="shared" ref="W47:X47" si="34">C47/100</f>
        <v>0.94</v>
      </c>
      <c r="X47" s="178">
        <f t="shared" si="34"/>
        <v>2.02</v>
      </c>
      <c r="Y47" s="178">
        <f t="shared" si="14"/>
        <v>28.7</v>
      </c>
      <c r="Z47" s="192">
        <f t="shared" si="15"/>
        <v>54.49556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19.0</v>
      </c>
      <c r="B48" s="193" t="s">
        <v>55</v>
      </c>
      <c r="C48" s="193">
        <v>94.0</v>
      </c>
      <c r="D48" s="193">
        <v>202.0</v>
      </c>
      <c r="E48" s="193">
        <v>2870.0</v>
      </c>
      <c r="F48" s="193">
        <f t="shared" si="5"/>
        <v>0</v>
      </c>
      <c r="G48" s="193">
        <f t="shared" si="6"/>
        <v>1634.8668</v>
      </c>
      <c r="H48" s="194">
        <f t="shared" si="7"/>
        <v>1634.8668</v>
      </c>
      <c r="I48" s="193">
        <v>1.0</v>
      </c>
      <c r="J48" s="195">
        <f t="shared" si="8"/>
        <v>1634.8668</v>
      </c>
      <c r="K48" s="139"/>
      <c r="L48" s="178">
        <f t="shared" si="17"/>
        <v>5.1308</v>
      </c>
      <c r="M48" s="162">
        <f t="shared" si="18"/>
        <v>1</v>
      </c>
      <c r="N48" s="162">
        <f t="shared" si="19"/>
        <v>5.1308</v>
      </c>
      <c r="O48" s="139"/>
      <c r="P48" s="139"/>
      <c r="Q48" s="178">
        <v>1600.0</v>
      </c>
      <c r="R48" s="190">
        <v>30.0</v>
      </c>
      <c r="S48" s="178">
        <f t="shared" si="9"/>
        <v>28.7</v>
      </c>
      <c r="T48" s="162">
        <f t="shared" si="10"/>
        <v>1</v>
      </c>
      <c r="U48" s="162">
        <f t="shared" si="11"/>
        <v>28.7</v>
      </c>
      <c r="V48" s="191">
        <f t="shared" si="12"/>
        <v>1634.8668</v>
      </c>
      <c r="W48" s="178">
        <f t="shared" ref="W48:X48" si="35">C48/100</f>
        <v>0.94</v>
      </c>
      <c r="X48" s="178">
        <f t="shared" si="35"/>
        <v>2.02</v>
      </c>
      <c r="Y48" s="178">
        <f t="shared" si="14"/>
        <v>28.7</v>
      </c>
      <c r="Z48" s="192">
        <f t="shared" si="15"/>
        <v>54.49556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20.0</v>
      </c>
      <c r="B49" s="193" t="s">
        <v>55</v>
      </c>
      <c r="C49" s="193">
        <v>94.0</v>
      </c>
      <c r="D49" s="193">
        <v>202.0</v>
      </c>
      <c r="E49" s="193">
        <v>2867.0</v>
      </c>
      <c r="F49" s="193">
        <f t="shared" si="5"/>
        <v>0</v>
      </c>
      <c r="G49" s="193">
        <f t="shared" si="6"/>
        <v>1633.15788</v>
      </c>
      <c r="H49" s="194">
        <f t="shared" si="7"/>
        <v>1633.15788</v>
      </c>
      <c r="I49" s="193">
        <v>1.0</v>
      </c>
      <c r="J49" s="195">
        <f t="shared" si="8"/>
        <v>1633.15788</v>
      </c>
      <c r="K49" s="139"/>
      <c r="L49" s="178">
        <f t="shared" si="17"/>
        <v>5.1308</v>
      </c>
      <c r="M49" s="162">
        <f t="shared" si="18"/>
        <v>1</v>
      </c>
      <c r="N49" s="162">
        <f t="shared" si="19"/>
        <v>5.1308</v>
      </c>
      <c r="O49" s="139"/>
      <c r="P49" s="139"/>
      <c r="Q49" s="178">
        <v>1655.0</v>
      </c>
      <c r="R49" s="190">
        <v>30.0</v>
      </c>
      <c r="S49" s="178">
        <f t="shared" si="9"/>
        <v>28.67</v>
      </c>
      <c r="T49" s="162">
        <f t="shared" si="10"/>
        <v>1</v>
      </c>
      <c r="U49" s="162">
        <f t="shared" si="11"/>
        <v>28.67</v>
      </c>
      <c r="V49" s="191">
        <f t="shared" si="12"/>
        <v>1633.15788</v>
      </c>
      <c r="W49" s="178">
        <f t="shared" ref="W49:X49" si="36">C49/100</f>
        <v>0.94</v>
      </c>
      <c r="X49" s="178">
        <f t="shared" si="36"/>
        <v>2.02</v>
      </c>
      <c r="Y49" s="178">
        <f t="shared" si="14"/>
        <v>28.67</v>
      </c>
      <c r="Z49" s="192">
        <f t="shared" si="15"/>
        <v>54.438596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21.0</v>
      </c>
      <c r="B50" s="193" t="s">
        <v>55</v>
      </c>
      <c r="C50" s="193">
        <v>94.0</v>
      </c>
      <c r="D50" s="193">
        <v>202.0</v>
      </c>
      <c r="E50" s="193">
        <v>2690.0</v>
      </c>
      <c r="F50" s="193">
        <f t="shared" si="5"/>
        <v>0</v>
      </c>
      <c r="G50" s="193">
        <f t="shared" si="6"/>
        <v>1532.3316</v>
      </c>
      <c r="H50" s="194">
        <f t="shared" si="7"/>
        <v>1532.3316</v>
      </c>
      <c r="I50" s="193">
        <v>1.0</v>
      </c>
      <c r="J50" s="195">
        <f t="shared" si="8"/>
        <v>1532.3316</v>
      </c>
      <c r="K50" s="139"/>
      <c r="L50" s="178">
        <f t="shared" si="17"/>
        <v>5.1308</v>
      </c>
      <c r="M50" s="162">
        <f t="shared" si="18"/>
        <v>1</v>
      </c>
      <c r="N50" s="162">
        <f t="shared" si="19"/>
        <v>5.1308</v>
      </c>
      <c r="O50" s="139"/>
      <c r="P50" s="139"/>
      <c r="Q50" s="178">
        <v>1560.0</v>
      </c>
      <c r="R50" s="190">
        <v>30.0</v>
      </c>
      <c r="S50" s="178">
        <f t="shared" si="9"/>
        <v>26.9</v>
      </c>
      <c r="T50" s="162">
        <f t="shared" si="10"/>
        <v>1</v>
      </c>
      <c r="U50" s="162">
        <f t="shared" si="11"/>
        <v>26.9</v>
      </c>
      <c r="V50" s="191">
        <f t="shared" si="12"/>
        <v>1532.3316</v>
      </c>
      <c r="W50" s="178">
        <f t="shared" ref="W50:X50" si="37">C50/100</f>
        <v>0.94</v>
      </c>
      <c r="X50" s="178">
        <f t="shared" si="37"/>
        <v>2.02</v>
      </c>
      <c r="Y50" s="178">
        <f t="shared" si="14"/>
        <v>26.9</v>
      </c>
      <c r="Z50" s="192">
        <f t="shared" si="15"/>
        <v>51.07772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22.0</v>
      </c>
      <c r="B51" s="196" t="s">
        <v>57</v>
      </c>
      <c r="C51" s="193">
        <v>80.0</v>
      </c>
      <c r="D51" s="193">
        <v>202.0</v>
      </c>
      <c r="E51" s="193">
        <v>65.0</v>
      </c>
      <c r="F51" s="193">
        <f t="shared" si="5"/>
        <v>0</v>
      </c>
      <c r="G51" s="193">
        <f t="shared" si="6"/>
        <v>31.512</v>
      </c>
      <c r="H51" s="194">
        <f t="shared" si="7"/>
        <v>31.512</v>
      </c>
      <c r="I51" s="193">
        <v>1.0</v>
      </c>
      <c r="J51" s="195">
        <f t="shared" si="8"/>
        <v>31.512</v>
      </c>
      <c r="K51" s="139"/>
      <c r="L51" s="178">
        <f t="shared" si="17"/>
        <v>5.1308</v>
      </c>
      <c r="M51" s="162">
        <f t="shared" si="18"/>
        <v>1</v>
      </c>
      <c r="N51" s="162">
        <f t="shared" si="19"/>
        <v>5.1308</v>
      </c>
      <c r="O51" s="139"/>
      <c r="P51" s="139"/>
      <c r="Q51" s="178">
        <v>32.0</v>
      </c>
      <c r="R51" s="190">
        <v>30.0</v>
      </c>
      <c r="S51" s="178">
        <f t="shared" si="9"/>
        <v>0.65</v>
      </c>
      <c r="T51" s="162">
        <f t="shared" si="10"/>
        <v>1</v>
      </c>
      <c r="U51" s="162">
        <f t="shared" si="11"/>
        <v>0.65</v>
      </c>
      <c r="V51" s="191">
        <f t="shared" si="12"/>
        <v>31.512</v>
      </c>
      <c r="W51" s="178">
        <f t="shared" ref="W51:X51" si="38">C51/100</f>
        <v>0.8</v>
      </c>
      <c r="X51" s="178">
        <f t="shared" si="38"/>
        <v>2.02</v>
      </c>
      <c r="Y51" s="178">
        <f t="shared" si="14"/>
        <v>0.65</v>
      </c>
      <c r="Z51" s="192">
        <f t="shared" si="15"/>
        <v>1.0504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23.0</v>
      </c>
      <c r="B52" s="193" t="s">
        <v>57</v>
      </c>
      <c r="C52" s="193">
        <v>94.0</v>
      </c>
      <c r="D52" s="193">
        <v>202.0</v>
      </c>
      <c r="E52" s="193">
        <v>2920.0</v>
      </c>
      <c r="F52" s="193">
        <f t="shared" si="5"/>
        <v>0</v>
      </c>
      <c r="G52" s="193">
        <f t="shared" si="6"/>
        <v>1663.3488</v>
      </c>
      <c r="H52" s="194">
        <f t="shared" si="7"/>
        <v>1663.3488</v>
      </c>
      <c r="I52" s="193">
        <v>1.0</v>
      </c>
      <c r="J52" s="195">
        <f t="shared" si="8"/>
        <v>1663.3488</v>
      </c>
      <c r="K52" s="139"/>
      <c r="L52" s="178">
        <f t="shared" si="17"/>
        <v>5.1308</v>
      </c>
      <c r="M52" s="162">
        <f t="shared" si="18"/>
        <v>1</v>
      </c>
      <c r="N52" s="162">
        <f t="shared" si="19"/>
        <v>5.1308</v>
      </c>
      <c r="O52" s="139"/>
      <c r="P52" s="139"/>
      <c r="Q52" s="178">
        <v>1640.0</v>
      </c>
      <c r="R52" s="190">
        <v>30.0</v>
      </c>
      <c r="S52" s="178">
        <f t="shared" si="9"/>
        <v>29.2</v>
      </c>
      <c r="T52" s="162">
        <f t="shared" si="10"/>
        <v>1</v>
      </c>
      <c r="U52" s="162">
        <f t="shared" si="11"/>
        <v>29.2</v>
      </c>
      <c r="V52" s="191">
        <f t="shared" si="12"/>
        <v>1663.3488</v>
      </c>
      <c r="W52" s="178">
        <f t="shared" ref="W52:X52" si="39">C52/100</f>
        <v>0.94</v>
      </c>
      <c r="X52" s="178">
        <f t="shared" si="39"/>
        <v>2.02</v>
      </c>
      <c r="Y52" s="178">
        <f t="shared" si="14"/>
        <v>29.2</v>
      </c>
      <c r="Z52" s="192">
        <f t="shared" si="15"/>
        <v>55.44496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24.0</v>
      </c>
      <c r="B53" s="193" t="s">
        <v>57</v>
      </c>
      <c r="C53" s="193">
        <v>93.0</v>
      </c>
      <c r="D53" s="193">
        <v>202.0</v>
      </c>
      <c r="E53" s="193">
        <v>2867.0</v>
      </c>
      <c r="F53" s="193">
        <f t="shared" si="5"/>
        <v>0</v>
      </c>
      <c r="G53" s="193">
        <f t="shared" si="6"/>
        <v>1615.78386</v>
      </c>
      <c r="H53" s="194">
        <f t="shared" si="7"/>
        <v>1615.78386</v>
      </c>
      <c r="I53" s="193">
        <v>1.0</v>
      </c>
      <c r="J53" s="195">
        <f t="shared" si="8"/>
        <v>1615.78386</v>
      </c>
      <c r="K53" s="139"/>
      <c r="L53" s="178">
        <f t="shared" si="17"/>
        <v>5.1308</v>
      </c>
      <c r="M53" s="162">
        <f t="shared" si="18"/>
        <v>1</v>
      </c>
      <c r="N53" s="162">
        <f t="shared" si="19"/>
        <v>5.1308</v>
      </c>
      <c r="O53" s="139"/>
      <c r="P53" s="139"/>
      <c r="Q53" s="178">
        <v>1620.0</v>
      </c>
      <c r="R53" s="190">
        <v>30.0</v>
      </c>
      <c r="S53" s="178">
        <f t="shared" si="9"/>
        <v>28.67</v>
      </c>
      <c r="T53" s="162">
        <f t="shared" si="10"/>
        <v>1</v>
      </c>
      <c r="U53" s="162">
        <f t="shared" si="11"/>
        <v>28.67</v>
      </c>
      <c r="V53" s="191">
        <f t="shared" si="12"/>
        <v>1615.78386</v>
      </c>
      <c r="W53" s="178">
        <f t="shared" ref="W53:X53" si="40">C53/100</f>
        <v>0.93</v>
      </c>
      <c r="X53" s="178">
        <f t="shared" si="40"/>
        <v>2.02</v>
      </c>
      <c r="Y53" s="178">
        <f t="shared" si="14"/>
        <v>28.67</v>
      </c>
      <c r="Z53" s="192">
        <f t="shared" si="15"/>
        <v>53.859462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25.0</v>
      </c>
      <c r="B54" s="193" t="s">
        <v>57</v>
      </c>
      <c r="C54" s="193">
        <v>95.0</v>
      </c>
      <c r="D54" s="193">
        <v>202.0</v>
      </c>
      <c r="E54" s="193">
        <v>2868.0</v>
      </c>
      <c r="F54" s="193">
        <f t="shared" si="5"/>
        <v>0</v>
      </c>
      <c r="G54" s="193">
        <f t="shared" si="6"/>
        <v>1651.1076</v>
      </c>
      <c r="H54" s="194">
        <f t="shared" si="7"/>
        <v>1651.1076</v>
      </c>
      <c r="I54" s="193">
        <v>1.0</v>
      </c>
      <c r="J54" s="195">
        <f t="shared" si="8"/>
        <v>1651.1076</v>
      </c>
      <c r="K54" s="139"/>
      <c r="L54" s="178">
        <f t="shared" si="17"/>
        <v>5.1308</v>
      </c>
      <c r="M54" s="162">
        <f t="shared" si="18"/>
        <v>1</v>
      </c>
      <c r="N54" s="162">
        <f t="shared" si="19"/>
        <v>5.1308</v>
      </c>
      <c r="O54" s="139"/>
      <c r="P54" s="139"/>
      <c r="Q54" s="178">
        <v>1640.0</v>
      </c>
      <c r="R54" s="190">
        <v>30.0</v>
      </c>
      <c r="S54" s="178">
        <f t="shared" si="9"/>
        <v>28.68</v>
      </c>
      <c r="T54" s="162">
        <f t="shared" si="10"/>
        <v>1</v>
      </c>
      <c r="U54" s="162">
        <f t="shared" si="11"/>
        <v>28.68</v>
      </c>
      <c r="V54" s="191">
        <f t="shared" si="12"/>
        <v>1651.1076</v>
      </c>
      <c r="W54" s="178">
        <f t="shared" ref="W54:X54" si="41">C54/100</f>
        <v>0.95</v>
      </c>
      <c r="X54" s="178">
        <f t="shared" si="41"/>
        <v>2.02</v>
      </c>
      <c r="Y54" s="178">
        <f t="shared" si="14"/>
        <v>28.68</v>
      </c>
      <c r="Z54" s="192">
        <f t="shared" si="15"/>
        <v>55.03692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26.0</v>
      </c>
      <c r="B55" s="183" t="s">
        <v>63</v>
      </c>
      <c r="C55" s="184">
        <v>90.0</v>
      </c>
      <c r="D55" s="184">
        <v>195.0</v>
      </c>
      <c r="E55" s="184">
        <v>177.0</v>
      </c>
      <c r="F55" s="184">
        <f t="shared" si="5"/>
        <v>0.8</v>
      </c>
      <c r="G55" s="184">
        <f t="shared" si="6"/>
        <v>94.122405</v>
      </c>
      <c r="H55" s="185">
        <f t="shared" si="7"/>
        <v>75.297924</v>
      </c>
      <c r="I55" s="184">
        <v>1.0</v>
      </c>
      <c r="J55" s="186">
        <f t="shared" si="8"/>
        <v>75.297924</v>
      </c>
      <c r="K55" s="187"/>
      <c r="L55" s="188"/>
      <c r="M55" s="189">
        <f t="shared" si="18"/>
        <v>1</v>
      </c>
      <c r="N55" s="189"/>
      <c r="O55" s="187"/>
      <c r="P55" s="187"/>
      <c r="Q55" s="188">
        <v>99.0</v>
      </c>
      <c r="R55" s="190">
        <v>30.3</v>
      </c>
      <c r="S55" s="178">
        <f t="shared" si="9"/>
        <v>1.77</v>
      </c>
      <c r="T55" s="162">
        <f t="shared" si="10"/>
        <v>1</v>
      </c>
      <c r="U55" s="162">
        <f t="shared" si="11"/>
        <v>1.77</v>
      </c>
      <c r="V55" s="191">
        <f t="shared" si="12"/>
        <v>94.122405</v>
      </c>
      <c r="W55" s="178">
        <f t="shared" ref="W55:X55" si="42">C55/100</f>
        <v>0.9</v>
      </c>
      <c r="X55" s="178">
        <f t="shared" si="42"/>
        <v>1.95</v>
      </c>
      <c r="Y55" s="178">
        <f t="shared" si="14"/>
        <v>1.77</v>
      </c>
      <c r="Z55" s="192">
        <f t="shared" si="15"/>
        <v>3.10635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27.0</v>
      </c>
      <c r="B56" s="193" t="s">
        <v>55</v>
      </c>
      <c r="C56" s="193">
        <v>100.0</v>
      </c>
      <c r="D56" s="193">
        <v>195.0</v>
      </c>
      <c r="E56" s="193">
        <v>198.0</v>
      </c>
      <c r="F56" s="193">
        <f t="shared" si="5"/>
        <v>0</v>
      </c>
      <c r="G56" s="193">
        <f t="shared" si="6"/>
        <v>116.9883</v>
      </c>
      <c r="H56" s="194">
        <f t="shared" si="7"/>
        <v>116.9883</v>
      </c>
      <c r="I56" s="193">
        <v>1.0</v>
      </c>
      <c r="J56" s="195">
        <f t="shared" si="8"/>
        <v>116.9883</v>
      </c>
      <c r="K56" s="139"/>
      <c r="L56" s="197"/>
      <c r="M56" s="198">
        <f t="shared" si="18"/>
        <v>1</v>
      </c>
      <c r="N56" s="198"/>
      <c r="O56" s="139"/>
      <c r="P56" s="139"/>
      <c r="Q56" s="178">
        <v>116.0</v>
      </c>
      <c r="R56" s="190">
        <v>30.3</v>
      </c>
      <c r="S56" s="178">
        <f t="shared" si="9"/>
        <v>1.98</v>
      </c>
      <c r="T56" s="162">
        <f t="shared" si="10"/>
        <v>1</v>
      </c>
      <c r="U56" s="162">
        <f t="shared" si="11"/>
        <v>1.98</v>
      </c>
      <c r="V56" s="191">
        <f t="shared" si="12"/>
        <v>116.9883</v>
      </c>
      <c r="W56" s="178">
        <f t="shared" ref="W56:X56" si="43">C56/100</f>
        <v>1</v>
      </c>
      <c r="X56" s="178">
        <f t="shared" si="43"/>
        <v>1.95</v>
      </c>
      <c r="Y56" s="178">
        <f t="shared" si="14"/>
        <v>1.98</v>
      </c>
      <c r="Z56" s="192">
        <f t="shared" si="15"/>
        <v>3.861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28.0</v>
      </c>
      <c r="B57" s="193" t="s">
        <v>55</v>
      </c>
      <c r="C57" s="193">
        <v>99.0</v>
      </c>
      <c r="D57" s="193">
        <v>195.0</v>
      </c>
      <c r="E57" s="193">
        <v>2870.0</v>
      </c>
      <c r="F57" s="193">
        <f t="shared" si="5"/>
        <v>0</v>
      </c>
      <c r="G57" s="193">
        <f t="shared" si="6"/>
        <v>1678.782105</v>
      </c>
      <c r="H57" s="194">
        <f t="shared" si="7"/>
        <v>1678.782105</v>
      </c>
      <c r="I57" s="193">
        <v>1.0</v>
      </c>
      <c r="J57" s="195">
        <f t="shared" si="8"/>
        <v>1678.782105</v>
      </c>
      <c r="K57" s="139"/>
      <c r="L57" s="197"/>
      <c r="M57" s="198">
        <f t="shared" si="18"/>
        <v>1</v>
      </c>
      <c r="N57" s="198"/>
      <c r="O57" s="139"/>
      <c r="P57" s="139"/>
      <c r="Q57" s="178">
        <v>1675.0</v>
      </c>
      <c r="R57" s="190">
        <v>30.3</v>
      </c>
      <c r="S57" s="178">
        <f t="shared" si="9"/>
        <v>28.7</v>
      </c>
      <c r="T57" s="162">
        <f t="shared" si="10"/>
        <v>1</v>
      </c>
      <c r="U57" s="162">
        <f t="shared" si="11"/>
        <v>28.7</v>
      </c>
      <c r="V57" s="191">
        <f t="shared" si="12"/>
        <v>1678.782105</v>
      </c>
      <c r="W57" s="178">
        <f t="shared" ref="W57:X57" si="44">C57/100</f>
        <v>0.99</v>
      </c>
      <c r="X57" s="178">
        <f t="shared" si="44"/>
        <v>1.95</v>
      </c>
      <c r="Y57" s="178">
        <f t="shared" si="14"/>
        <v>28.7</v>
      </c>
      <c r="Z57" s="192">
        <f t="shared" si="15"/>
        <v>55.40535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29.0</v>
      </c>
      <c r="B58" s="193" t="s">
        <v>55</v>
      </c>
      <c r="C58" s="193">
        <v>98.0</v>
      </c>
      <c r="D58" s="193">
        <v>195.0</v>
      </c>
      <c r="E58" s="193">
        <v>2870.0</v>
      </c>
      <c r="F58" s="193">
        <f t="shared" si="5"/>
        <v>0</v>
      </c>
      <c r="G58" s="193">
        <f t="shared" si="6"/>
        <v>1661.82471</v>
      </c>
      <c r="H58" s="194">
        <f t="shared" si="7"/>
        <v>1661.82471</v>
      </c>
      <c r="I58" s="193">
        <v>1.0</v>
      </c>
      <c r="J58" s="195">
        <f t="shared" si="8"/>
        <v>1661.82471</v>
      </c>
      <c r="K58" s="139"/>
      <c r="L58" s="197"/>
      <c r="M58" s="198">
        <f t="shared" si="18"/>
        <v>1</v>
      </c>
      <c r="N58" s="198"/>
      <c r="O58" s="139"/>
      <c r="P58" s="139"/>
      <c r="Q58" s="178">
        <v>1675.0</v>
      </c>
      <c r="R58" s="190">
        <v>30.3</v>
      </c>
      <c r="S58" s="178">
        <f t="shared" si="9"/>
        <v>28.7</v>
      </c>
      <c r="T58" s="162">
        <f t="shared" si="10"/>
        <v>1</v>
      </c>
      <c r="U58" s="162">
        <f t="shared" si="11"/>
        <v>28.7</v>
      </c>
      <c r="V58" s="191">
        <f t="shared" si="12"/>
        <v>1661.82471</v>
      </c>
      <c r="W58" s="178">
        <f t="shared" ref="W58:X58" si="45">C58/100</f>
        <v>0.98</v>
      </c>
      <c r="X58" s="178">
        <f t="shared" si="45"/>
        <v>1.95</v>
      </c>
      <c r="Y58" s="178">
        <f t="shared" si="14"/>
        <v>28.7</v>
      </c>
      <c r="Z58" s="192">
        <f t="shared" si="15"/>
        <v>54.8457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30.0</v>
      </c>
      <c r="B59" s="193" t="s">
        <v>55</v>
      </c>
      <c r="C59" s="193">
        <v>100.0</v>
      </c>
      <c r="D59" s="193">
        <v>195.0</v>
      </c>
      <c r="E59" s="193">
        <v>2867.0</v>
      </c>
      <c r="F59" s="193">
        <f t="shared" si="5"/>
        <v>0</v>
      </c>
      <c r="G59" s="193">
        <f t="shared" si="6"/>
        <v>1693.96695</v>
      </c>
      <c r="H59" s="194">
        <f t="shared" si="7"/>
        <v>1693.96695</v>
      </c>
      <c r="I59" s="193">
        <v>1.0</v>
      </c>
      <c r="J59" s="195">
        <f t="shared" si="8"/>
        <v>1693.96695</v>
      </c>
      <c r="K59" s="139"/>
      <c r="L59" s="197"/>
      <c r="M59" s="198">
        <f t="shared" si="18"/>
        <v>1</v>
      </c>
      <c r="N59" s="198"/>
      <c r="O59" s="139"/>
      <c r="P59" s="139"/>
      <c r="Q59" s="178">
        <v>1700.0</v>
      </c>
      <c r="R59" s="190">
        <v>30.3</v>
      </c>
      <c r="S59" s="178">
        <f t="shared" si="9"/>
        <v>28.67</v>
      </c>
      <c r="T59" s="162">
        <f t="shared" si="10"/>
        <v>1</v>
      </c>
      <c r="U59" s="162">
        <f t="shared" si="11"/>
        <v>28.67</v>
      </c>
      <c r="V59" s="191">
        <f t="shared" si="12"/>
        <v>1693.96695</v>
      </c>
      <c r="W59" s="178">
        <f t="shared" ref="W59:X59" si="46">C59/100</f>
        <v>1</v>
      </c>
      <c r="X59" s="178">
        <f t="shared" si="46"/>
        <v>1.95</v>
      </c>
      <c r="Y59" s="178">
        <f t="shared" si="14"/>
        <v>28.67</v>
      </c>
      <c r="Z59" s="192">
        <f t="shared" si="15"/>
        <v>55.9065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31.0</v>
      </c>
      <c r="B60" s="193" t="s">
        <v>55</v>
      </c>
      <c r="C60" s="193">
        <v>100.0</v>
      </c>
      <c r="D60" s="193">
        <v>195.0</v>
      </c>
      <c r="E60" s="193">
        <v>2866.0</v>
      </c>
      <c r="F60" s="193">
        <f t="shared" si="5"/>
        <v>0</v>
      </c>
      <c r="G60" s="193">
        <f t="shared" si="6"/>
        <v>1693.3761</v>
      </c>
      <c r="H60" s="194">
        <f t="shared" si="7"/>
        <v>1693.3761</v>
      </c>
      <c r="I60" s="193">
        <v>1.0</v>
      </c>
      <c r="J60" s="195">
        <f t="shared" si="8"/>
        <v>1693.3761</v>
      </c>
      <c r="K60" s="139"/>
      <c r="L60" s="197"/>
      <c r="M60" s="198">
        <f t="shared" si="18"/>
        <v>1</v>
      </c>
      <c r="N60" s="198"/>
      <c r="O60" s="139"/>
      <c r="P60" s="139"/>
      <c r="Q60" s="178">
        <v>1690.0</v>
      </c>
      <c r="R60" s="190">
        <v>30.3</v>
      </c>
      <c r="S60" s="178">
        <f t="shared" si="9"/>
        <v>28.66</v>
      </c>
      <c r="T60" s="162">
        <f t="shared" si="10"/>
        <v>1</v>
      </c>
      <c r="U60" s="162">
        <f t="shared" si="11"/>
        <v>28.66</v>
      </c>
      <c r="V60" s="191">
        <f t="shared" si="12"/>
        <v>1693.3761</v>
      </c>
      <c r="W60" s="178">
        <f t="shared" ref="W60:X60" si="47">C60/100</f>
        <v>1</v>
      </c>
      <c r="X60" s="178">
        <f t="shared" si="47"/>
        <v>1.95</v>
      </c>
      <c r="Y60" s="178">
        <f t="shared" si="14"/>
        <v>28.66</v>
      </c>
      <c r="Z60" s="192">
        <f t="shared" si="15"/>
        <v>55.887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32.0</v>
      </c>
      <c r="B61" s="193" t="s">
        <v>55</v>
      </c>
      <c r="C61" s="193">
        <v>98.0</v>
      </c>
      <c r="D61" s="193">
        <v>195.0</v>
      </c>
      <c r="E61" s="193">
        <v>2872.0</v>
      </c>
      <c r="F61" s="193">
        <f t="shared" si="5"/>
        <v>0</v>
      </c>
      <c r="G61" s="193">
        <f t="shared" si="6"/>
        <v>1662.982776</v>
      </c>
      <c r="H61" s="194">
        <f t="shared" si="7"/>
        <v>1662.982776</v>
      </c>
      <c r="I61" s="193">
        <v>1.0</v>
      </c>
      <c r="J61" s="195">
        <f t="shared" si="8"/>
        <v>1662.982776</v>
      </c>
      <c r="K61" s="139"/>
      <c r="L61" s="197"/>
      <c r="M61" s="198">
        <f t="shared" si="18"/>
        <v>1</v>
      </c>
      <c r="N61" s="198"/>
      <c r="O61" s="139"/>
      <c r="P61" s="139"/>
      <c r="Q61" s="178">
        <v>1680.0</v>
      </c>
      <c r="R61" s="190">
        <v>30.3</v>
      </c>
      <c r="S61" s="178">
        <f t="shared" si="9"/>
        <v>28.72</v>
      </c>
      <c r="T61" s="162">
        <f t="shared" si="10"/>
        <v>1</v>
      </c>
      <c r="U61" s="162">
        <f t="shared" si="11"/>
        <v>28.72</v>
      </c>
      <c r="V61" s="191">
        <f t="shared" si="12"/>
        <v>1662.982776</v>
      </c>
      <c r="W61" s="178">
        <f t="shared" ref="W61:X61" si="48">C61/100</f>
        <v>0.98</v>
      </c>
      <c r="X61" s="178">
        <f t="shared" si="48"/>
        <v>1.95</v>
      </c>
      <c r="Y61" s="178">
        <f t="shared" si="14"/>
        <v>28.72</v>
      </c>
      <c r="Z61" s="192">
        <f t="shared" si="15"/>
        <v>54.88392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33.0</v>
      </c>
      <c r="B62" s="193" t="s">
        <v>55</v>
      </c>
      <c r="C62" s="193">
        <v>99.0</v>
      </c>
      <c r="D62" s="193">
        <v>195.0</v>
      </c>
      <c r="E62" s="193">
        <v>2864.0</v>
      </c>
      <c r="F62" s="193">
        <f t="shared" si="5"/>
        <v>0</v>
      </c>
      <c r="G62" s="193">
        <f t="shared" si="6"/>
        <v>1675.272456</v>
      </c>
      <c r="H62" s="194">
        <f t="shared" si="7"/>
        <v>1675.272456</v>
      </c>
      <c r="I62" s="193">
        <v>1.0</v>
      </c>
      <c r="J62" s="195">
        <f t="shared" si="8"/>
        <v>1675.272456</v>
      </c>
      <c r="K62" s="139"/>
      <c r="L62" s="197"/>
      <c r="M62" s="198">
        <f t="shared" si="18"/>
        <v>1</v>
      </c>
      <c r="N62" s="198"/>
      <c r="O62" s="139"/>
      <c r="P62" s="139"/>
      <c r="Q62" s="178">
        <v>1690.0</v>
      </c>
      <c r="R62" s="190">
        <v>30.3</v>
      </c>
      <c r="S62" s="178">
        <f t="shared" si="9"/>
        <v>28.64</v>
      </c>
      <c r="T62" s="162">
        <f t="shared" si="10"/>
        <v>1</v>
      </c>
      <c r="U62" s="162">
        <f t="shared" si="11"/>
        <v>28.64</v>
      </c>
      <c r="V62" s="191">
        <f t="shared" si="12"/>
        <v>1675.272456</v>
      </c>
      <c r="W62" s="178">
        <f t="shared" ref="W62:X62" si="49">C62/100</f>
        <v>0.99</v>
      </c>
      <c r="X62" s="178">
        <f t="shared" si="49"/>
        <v>1.95</v>
      </c>
      <c r="Y62" s="178">
        <f t="shared" si="14"/>
        <v>28.64</v>
      </c>
      <c r="Z62" s="192">
        <f t="shared" si="15"/>
        <v>55.28952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2">
        <v>34.0</v>
      </c>
      <c r="B63" s="193" t="s">
        <v>55</v>
      </c>
      <c r="C63" s="193">
        <v>98.0</v>
      </c>
      <c r="D63" s="193">
        <v>195.0</v>
      </c>
      <c r="E63" s="193">
        <v>2734.0</v>
      </c>
      <c r="F63" s="193">
        <f t="shared" si="5"/>
        <v>0</v>
      </c>
      <c r="G63" s="193">
        <f t="shared" si="6"/>
        <v>1583.076222</v>
      </c>
      <c r="H63" s="194">
        <f t="shared" si="7"/>
        <v>1583.076222</v>
      </c>
      <c r="I63" s="193">
        <v>1.0</v>
      </c>
      <c r="J63" s="195">
        <f t="shared" si="8"/>
        <v>1583.076222</v>
      </c>
      <c r="K63" s="139"/>
      <c r="L63" s="197"/>
      <c r="M63" s="198">
        <f t="shared" si="18"/>
        <v>1</v>
      </c>
      <c r="N63" s="198"/>
      <c r="O63" s="139"/>
      <c r="P63" s="139"/>
      <c r="Q63" s="178">
        <v>1570.0</v>
      </c>
      <c r="R63" s="190">
        <v>30.3</v>
      </c>
      <c r="S63" s="178">
        <f t="shared" si="9"/>
        <v>27.34</v>
      </c>
      <c r="T63" s="162">
        <f t="shared" si="10"/>
        <v>1</v>
      </c>
      <c r="U63" s="162">
        <f t="shared" si="11"/>
        <v>27.34</v>
      </c>
      <c r="V63" s="191">
        <f t="shared" si="12"/>
        <v>1583.076222</v>
      </c>
      <c r="W63" s="178">
        <f t="shared" ref="W63:X63" si="50">C63/100</f>
        <v>0.98</v>
      </c>
      <c r="X63" s="178">
        <f t="shared" si="50"/>
        <v>1.95</v>
      </c>
      <c r="Y63" s="178">
        <f t="shared" si="14"/>
        <v>27.34</v>
      </c>
      <c r="Z63" s="192">
        <f t="shared" si="15"/>
        <v>52.24674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2">
        <v>35.0</v>
      </c>
      <c r="B64" s="183" t="s">
        <v>66</v>
      </c>
      <c r="C64" s="184">
        <v>95.0</v>
      </c>
      <c r="D64" s="184">
        <v>195.0</v>
      </c>
      <c r="E64" s="184">
        <v>179.0</v>
      </c>
      <c r="F64" s="184">
        <f t="shared" si="5"/>
        <v>0.8</v>
      </c>
      <c r="G64" s="184">
        <f t="shared" si="6"/>
        <v>71.2934625</v>
      </c>
      <c r="H64" s="185">
        <f t="shared" si="7"/>
        <v>57.03477</v>
      </c>
      <c r="I64" s="184">
        <v>1.0</v>
      </c>
      <c r="J64" s="186">
        <f t="shared" si="8"/>
        <v>57.03477</v>
      </c>
      <c r="K64" s="187"/>
      <c r="L64" s="188"/>
      <c r="M64" s="189">
        <f t="shared" si="18"/>
        <v>1</v>
      </c>
      <c r="N64" s="189"/>
      <c r="O64" s="187"/>
      <c r="P64" s="187"/>
      <c r="Q64" s="188">
        <v>78.0</v>
      </c>
      <c r="R64" s="190">
        <v>21.5</v>
      </c>
      <c r="S64" s="178">
        <f t="shared" si="9"/>
        <v>1.79</v>
      </c>
      <c r="T64" s="162">
        <f t="shared" si="10"/>
        <v>1</v>
      </c>
      <c r="U64" s="162">
        <f t="shared" si="11"/>
        <v>1.79</v>
      </c>
      <c r="V64" s="191">
        <f t="shared" si="12"/>
        <v>71.2934625</v>
      </c>
      <c r="W64" s="178">
        <f t="shared" ref="W64:X64" si="51">C64/100</f>
        <v>0.95</v>
      </c>
      <c r="X64" s="178">
        <f t="shared" si="51"/>
        <v>1.95</v>
      </c>
      <c r="Y64" s="178">
        <f t="shared" si="14"/>
        <v>1.79</v>
      </c>
      <c r="Z64" s="192">
        <f t="shared" si="15"/>
        <v>3.315975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2">
        <v>36.0</v>
      </c>
      <c r="B65" s="193" t="s">
        <v>58</v>
      </c>
      <c r="C65" s="193">
        <v>101.0</v>
      </c>
      <c r="D65" s="193">
        <v>195.0</v>
      </c>
      <c r="E65" s="193">
        <v>207.0</v>
      </c>
      <c r="F65" s="193">
        <f t="shared" si="5"/>
        <v>0</v>
      </c>
      <c r="G65" s="193">
        <f t="shared" si="6"/>
        <v>87.6525975</v>
      </c>
      <c r="H65" s="194">
        <f t="shared" si="7"/>
        <v>87.6525975</v>
      </c>
      <c r="I65" s="193">
        <v>1.0</v>
      </c>
      <c r="J65" s="195">
        <f t="shared" si="8"/>
        <v>87.6525975</v>
      </c>
      <c r="K65" s="139"/>
      <c r="L65" s="197"/>
      <c r="M65" s="198">
        <f t="shared" si="18"/>
        <v>1</v>
      </c>
      <c r="N65" s="198"/>
      <c r="O65" s="139"/>
      <c r="P65" s="139"/>
      <c r="Q65" s="178">
        <v>92.0</v>
      </c>
      <c r="R65" s="190">
        <v>21.5</v>
      </c>
      <c r="S65" s="178">
        <f t="shared" si="9"/>
        <v>2.07</v>
      </c>
      <c r="T65" s="162">
        <f t="shared" si="10"/>
        <v>1</v>
      </c>
      <c r="U65" s="162">
        <f t="shared" si="11"/>
        <v>2.07</v>
      </c>
      <c r="V65" s="191">
        <f t="shared" si="12"/>
        <v>87.6525975</v>
      </c>
      <c r="W65" s="178">
        <f t="shared" ref="W65:X65" si="52">C65/100</f>
        <v>1.01</v>
      </c>
      <c r="X65" s="178">
        <f t="shared" si="52"/>
        <v>1.95</v>
      </c>
      <c r="Y65" s="178">
        <f t="shared" si="14"/>
        <v>2.07</v>
      </c>
      <c r="Z65" s="192">
        <f t="shared" si="15"/>
        <v>4.076865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2">
        <v>37.0</v>
      </c>
      <c r="B66" s="193" t="s">
        <v>58</v>
      </c>
      <c r="C66" s="193">
        <v>73.0</v>
      </c>
      <c r="D66" s="193">
        <v>195.0</v>
      </c>
      <c r="E66" s="193">
        <v>35.0</v>
      </c>
      <c r="F66" s="193">
        <f t="shared" si="5"/>
        <v>0</v>
      </c>
      <c r="G66" s="193">
        <f t="shared" si="6"/>
        <v>10.7118375</v>
      </c>
      <c r="H66" s="194">
        <f t="shared" si="7"/>
        <v>10.7118375</v>
      </c>
      <c r="I66" s="193">
        <v>1.0</v>
      </c>
      <c r="J66" s="195">
        <f t="shared" si="8"/>
        <v>10.7118375</v>
      </c>
      <c r="K66" s="139"/>
      <c r="L66" s="197"/>
      <c r="M66" s="198">
        <f t="shared" si="18"/>
        <v>1</v>
      </c>
      <c r="N66" s="198"/>
      <c r="O66" s="139"/>
      <c r="P66" s="139"/>
      <c r="Q66" s="178">
        <v>19.0</v>
      </c>
      <c r="R66" s="190">
        <v>21.5</v>
      </c>
      <c r="S66" s="178">
        <f t="shared" si="9"/>
        <v>0.35</v>
      </c>
      <c r="T66" s="162">
        <f t="shared" si="10"/>
        <v>1</v>
      </c>
      <c r="U66" s="162">
        <f t="shared" si="11"/>
        <v>0.35</v>
      </c>
      <c r="V66" s="191">
        <f t="shared" si="12"/>
        <v>10.7118375</v>
      </c>
      <c r="W66" s="178">
        <f t="shared" ref="W66:X66" si="53">C66/100</f>
        <v>0.73</v>
      </c>
      <c r="X66" s="178">
        <f t="shared" si="53"/>
        <v>1.95</v>
      </c>
      <c r="Y66" s="178">
        <f t="shared" si="14"/>
        <v>0.35</v>
      </c>
      <c r="Z66" s="192">
        <f t="shared" si="15"/>
        <v>0.498225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2">
        <v>38.0</v>
      </c>
      <c r="B67" s="193" t="s">
        <v>58</v>
      </c>
      <c r="C67" s="193">
        <v>102.0</v>
      </c>
      <c r="D67" s="193">
        <v>195.0</v>
      </c>
      <c r="E67" s="193">
        <v>2895.0</v>
      </c>
      <c r="F67" s="193">
        <f t="shared" si="5"/>
        <v>0</v>
      </c>
      <c r="G67" s="193">
        <f t="shared" si="6"/>
        <v>1238.003325</v>
      </c>
      <c r="H67" s="194">
        <f t="shared" si="7"/>
        <v>1238.003325</v>
      </c>
      <c r="I67" s="193">
        <v>1.0</v>
      </c>
      <c r="J67" s="195">
        <f t="shared" si="8"/>
        <v>1238.003325</v>
      </c>
      <c r="K67" s="139"/>
      <c r="L67" s="197"/>
      <c r="M67" s="198">
        <f t="shared" si="18"/>
        <v>1</v>
      </c>
      <c r="N67" s="198"/>
      <c r="O67" s="139"/>
      <c r="P67" s="139"/>
      <c r="Q67" s="178">
        <v>1245.0</v>
      </c>
      <c r="R67" s="190">
        <v>21.5</v>
      </c>
      <c r="S67" s="178">
        <f t="shared" si="9"/>
        <v>28.95</v>
      </c>
      <c r="T67" s="162">
        <f t="shared" si="10"/>
        <v>1</v>
      </c>
      <c r="U67" s="162">
        <f t="shared" si="11"/>
        <v>28.95</v>
      </c>
      <c r="V67" s="191">
        <f t="shared" si="12"/>
        <v>1238.003325</v>
      </c>
      <c r="W67" s="178">
        <f t="shared" ref="W67:X67" si="54">C67/100</f>
        <v>1.02</v>
      </c>
      <c r="X67" s="178">
        <f t="shared" si="54"/>
        <v>1.95</v>
      </c>
      <c r="Y67" s="178">
        <f t="shared" si="14"/>
        <v>28.95</v>
      </c>
      <c r="Z67" s="192">
        <f t="shared" si="15"/>
        <v>57.58155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2">
        <v>39.0</v>
      </c>
      <c r="B68" s="193" t="s">
        <v>58</v>
      </c>
      <c r="C68" s="193">
        <v>102.0</v>
      </c>
      <c r="D68" s="193">
        <v>195.0</v>
      </c>
      <c r="E68" s="193">
        <v>2873.0</v>
      </c>
      <c r="F68" s="193">
        <f t="shared" si="5"/>
        <v>0</v>
      </c>
      <c r="G68" s="193">
        <f t="shared" si="6"/>
        <v>1228.595355</v>
      </c>
      <c r="H68" s="194">
        <f t="shared" si="7"/>
        <v>1228.595355</v>
      </c>
      <c r="I68" s="193">
        <v>1.0</v>
      </c>
      <c r="J68" s="195">
        <f t="shared" si="8"/>
        <v>1228.595355</v>
      </c>
      <c r="K68" s="139"/>
      <c r="L68" s="197"/>
      <c r="M68" s="198"/>
      <c r="N68" s="198"/>
      <c r="O68" s="139"/>
      <c r="P68" s="139"/>
      <c r="Q68" s="178">
        <v>1260.0</v>
      </c>
      <c r="R68" s="190">
        <v>21.5</v>
      </c>
      <c r="S68" s="178">
        <f t="shared" si="9"/>
        <v>28.73</v>
      </c>
      <c r="T68" s="162">
        <f t="shared" si="10"/>
        <v>1</v>
      </c>
      <c r="U68" s="162">
        <f t="shared" si="11"/>
        <v>28.73</v>
      </c>
      <c r="V68" s="191">
        <f t="shared" si="12"/>
        <v>1228.595355</v>
      </c>
      <c r="W68" s="178">
        <f t="shared" ref="W68:X68" si="55">C68/100</f>
        <v>1.02</v>
      </c>
      <c r="X68" s="178">
        <f t="shared" si="55"/>
        <v>1.95</v>
      </c>
      <c r="Y68" s="178">
        <f t="shared" si="14"/>
        <v>28.73</v>
      </c>
      <c r="Z68" s="192">
        <f t="shared" si="15"/>
        <v>57.14397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2">
        <v>40.0</v>
      </c>
      <c r="B69" s="193" t="s">
        <v>58</v>
      </c>
      <c r="C69" s="193">
        <v>105.0</v>
      </c>
      <c r="D69" s="193">
        <v>195.0</v>
      </c>
      <c r="E69" s="193">
        <v>2868.0</v>
      </c>
      <c r="F69" s="193">
        <f t="shared" si="5"/>
        <v>0</v>
      </c>
      <c r="G69" s="193">
        <f t="shared" si="6"/>
        <v>1262.52945</v>
      </c>
      <c r="H69" s="194">
        <f t="shared" si="7"/>
        <v>1262.52945</v>
      </c>
      <c r="I69" s="193">
        <v>1.0</v>
      </c>
      <c r="J69" s="195">
        <f t="shared" si="8"/>
        <v>1262.52945</v>
      </c>
      <c r="K69" s="139"/>
      <c r="L69" s="197"/>
      <c r="M69" s="198"/>
      <c r="N69" s="198"/>
      <c r="O69" s="139"/>
      <c r="P69" s="139"/>
      <c r="Q69" s="178">
        <v>1000.0</v>
      </c>
      <c r="R69" s="190">
        <v>21.5</v>
      </c>
      <c r="S69" s="178">
        <f t="shared" si="9"/>
        <v>28.68</v>
      </c>
      <c r="T69" s="162">
        <f t="shared" si="10"/>
        <v>1</v>
      </c>
      <c r="U69" s="162">
        <f t="shared" si="11"/>
        <v>28.68</v>
      </c>
      <c r="V69" s="191">
        <f t="shared" si="12"/>
        <v>1262.52945</v>
      </c>
      <c r="W69" s="178">
        <f t="shared" ref="W69:X69" si="56">C69/100</f>
        <v>1.05</v>
      </c>
      <c r="X69" s="178">
        <f t="shared" si="56"/>
        <v>1.95</v>
      </c>
      <c r="Y69" s="178">
        <f t="shared" si="14"/>
        <v>28.68</v>
      </c>
      <c r="Z69" s="192">
        <f t="shared" si="15"/>
        <v>58.7223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2">
        <v>41.0</v>
      </c>
      <c r="B70" s="183" t="s">
        <v>67</v>
      </c>
      <c r="C70" s="184">
        <v>94.0</v>
      </c>
      <c r="D70" s="184">
        <v>191.0</v>
      </c>
      <c r="E70" s="184">
        <v>177.0</v>
      </c>
      <c r="F70" s="184">
        <f t="shared" si="5"/>
        <v>0.8</v>
      </c>
      <c r="G70" s="184">
        <f t="shared" si="6"/>
        <v>50.845728</v>
      </c>
      <c r="H70" s="185">
        <f t="shared" si="7"/>
        <v>40.6765824</v>
      </c>
      <c r="I70" s="184">
        <v>1.0</v>
      </c>
      <c r="J70" s="186">
        <f t="shared" si="8"/>
        <v>40.6765824</v>
      </c>
      <c r="K70" s="187"/>
      <c r="L70" s="188"/>
      <c r="M70" s="189"/>
      <c r="N70" s="189"/>
      <c r="O70" s="187"/>
      <c r="P70" s="187"/>
      <c r="Q70" s="188">
        <v>105.0</v>
      </c>
      <c r="R70" s="190">
        <v>16.0</v>
      </c>
      <c r="S70" s="178">
        <f t="shared" si="9"/>
        <v>1.77</v>
      </c>
      <c r="T70" s="162">
        <f t="shared" si="10"/>
        <v>1</v>
      </c>
      <c r="U70" s="162">
        <f t="shared" si="11"/>
        <v>1.77</v>
      </c>
      <c r="V70" s="191">
        <f t="shared" si="12"/>
        <v>50.845728</v>
      </c>
      <c r="W70" s="178">
        <f t="shared" ref="W70:X70" si="57">C70/100</f>
        <v>0.94</v>
      </c>
      <c r="X70" s="178">
        <f t="shared" si="57"/>
        <v>1.91</v>
      </c>
      <c r="Y70" s="178">
        <f t="shared" si="14"/>
        <v>1.77</v>
      </c>
      <c r="Z70" s="192">
        <f t="shared" si="15"/>
        <v>3.177858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customHeight="1">
      <c r="A71" s="162">
        <v>42.0</v>
      </c>
      <c r="B71" s="193" t="s">
        <v>59</v>
      </c>
      <c r="C71" s="193">
        <v>103.0</v>
      </c>
      <c r="D71" s="193">
        <v>191.0</v>
      </c>
      <c r="E71" s="193">
        <v>240.0</v>
      </c>
      <c r="F71" s="193">
        <f t="shared" si="5"/>
        <v>0</v>
      </c>
      <c r="G71" s="193">
        <f t="shared" si="6"/>
        <v>75.54432</v>
      </c>
      <c r="H71" s="194">
        <f t="shared" si="7"/>
        <v>75.54432</v>
      </c>
      <c r="I71" s="193">
        <v>1.0</v>
      </c>
      <c r="J71" s="195">
        <f t="shared" si="8"/>
        <v>75.54432</v>
      </c>
      <c r="K71" s="139"/>
      <c r="L71" s="197"/>
      <c r="M71" s="198"/>
      <c r="N71" s="198"/>
      <c r="O71" s="139"/>
      <c r="P71" s="139"/>
      <c r="Q71" s="178">
        <v>80.0</v>
      </c>
      <c r="R71" s="190">
        <v>16.0</v>
      </c>
      <c r="S71" s="178">
        <f t="shared" si="9"/>
        <v>2.4</v>
      </c>
      <c r="T71" s="162">
        <f t="shared" si="10"/>
        <v>1</v>
      </c>
      <c r="U71" s="162">
        <f t="shared" si="11"/>
        <v>2.4</v>
      </c>
      <c r="V71" s="191">
        <f t="shared" si="12"/>
        <v>75.54432</v>
      </c>
      <c r="W71" s="178">
        <f t="shared" ref="W71:X71" si="58">C71/100</f>
        <v>1.03</v>
      </c>
      <c r="X71" s="178">
        <f t="shared" si="58"/>
        <v>1.91</v>
      </c>
      <c r="Y71" s="178">
        <f t="shared" si="14"/>
        <v>2.4</v>
      </c>
      <c r="Z71" s="192">
        <f t="shared" si="15"/>
        <v>4.72152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customHeight="1">
      <c r="A72" s="162">
        <v>43.0</v>
      </c>
      <c r="B72" s="193" t="s">
        <v>59</v>
      </c>
      <c r="C72" s="193">
        <v>115.0</v>
      </c>
      <c r="D72" s="193">
        <v>191.0</v>
      </c>
      <c r="E72" s="193">
        <v>2858.0</v>
      </c>
      <c r="F72" s="193">
        <f t="shared" si="5"/>
        <v>0</v>
      </c>
      <c r="G72" s="193">
        <f t="shared" si="6"/>
        <v>1004.41552</v>
      </c>
      <c r="H72" s="194">
        <f t="shared" si="7"/>
        <v>1004.41552</v>
      </c>
      <c r="I72" s="193">
        <v>1.0</v>
      </c>
      <c r="J72" s="195">
        <f t="shared" si="8"/>
        <v>1004.41552</v>
      </c>
      <c r="K72" s="139"/>
      <c r="L72" s="197"/>
      <c r="M72" s="198"/>
      <c r="N72" s="198"/>
      <c r="O72" s="139"/>
      <c r="P72" s="139"/>
      <c r="Q72" s="178">
        <v>1000.0</v>
      </c>
      <c r="R72" s="190">
        <v>16.0</v>
      </c>
      <c r="S72" s="178">
        <f t="shared" si="9"/>
        <v>28.58</v>
      </c>
      <c r="T72" s="162">
        <f t="shared" si="10"/>
        <v>1</v>
      </c>
      <c r="U72" s="162">
        <f t="shared" si="11"/>
        <v>28.58</v>
      </c>
      <c r="V72" s="191">
        <f t="shared" si="12"/>
        <v>1004.41552</v>
      </c>
      <c r="W72" s="178">
        <f t="shared" ref="W72:X72" si="59">C72/100</f>
        <v>1.15</v>
      </c>
      <c r="X72" s="178">
        <f t="shared" si="59"/>
        <v>1.91</v>
      </c>
      <c r="Y72" s="178">
        <f t="shared" si="14"/>
        <v>28.58</v>
      </c>
      <c r="Z72" s="192">
        <f t="shared" si="15"/>
        <v>62.77597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51.0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78"/>
      <c r="R73" s="141"/>
      <c r="S73" s="178">
        <f t="shared" si="9"/>
        <v>0</v>
      </c>
      <c r="T73" s="162" t="str">
        <f t="shared" si="10"/>
        <v/>
      </c>
      <c r="U73" s="162">
        <f t="shared" si="11"/>
        <v>0</v>
      </c>
      <c r="V73" s="191">
        <f t="shared" si="12"/>
        <v>0</v>
      </c>
      <c r="W73" s="178">
        <f t="shared" ref="W73:X73" si="60">C73/100</f>
        <v>0</v>
      </c>
      <c r="X73" s="178">
        <f t="shared" si="60"/>
        <v>0</v>
      </c>
      <c r="Y73" s="178">
        <f t="shared" si="14"/>
        <v>0</v>
      </c>
      <c r="Z73" s="19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52.0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78"/>
      <c r="R74" s="141"/>
      <c r="S74" s="178">
        <f t="shared" si="9"/>
        <v>0</v>
      </c>
      <c r="T74" s="162" t="str">
        <f t="shared" si="10"/>
        <v/>
      </c>
      <c r="U74" s="162">
        <f t="shared" si="11"/>
        <v>0</v>
      </c>
      <c r="V74" s="191">
        <f t="shared" si="12"/>
        <v>0</v>
      </c>
      <c r="W74" s="178">
        <f t="shared" ref="W74:X74" si="61">C74/100</f>
        <v>0</v>
      </c>
      <c r="X74" s="178">
        <f t="shared" si="61"/>
        <v>0</v>
      </c>
      <c r="Y74" s="178">
        <f t="shared" si="14"/>
        <v>0</v>
      </c>
      <c r="Z74" s="19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53.0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78"/>
      <c r="R75" s="141"/>
      <c r="S75" s="178">
        <f t="shared" si="9"/>
        <v>0</v>
      </c>
      <c r="T75" s="162" t="str">
        <f t="shared" si="10"/>
        <v/>
      </c>
      <c r="U75" s="162">
        <f t="shared" si="11"/>
        <v>0</v>
      </c>
      <c r="V75" s="191">
        <f t="shared" si="12"/>
        <v>0</v>
      </c>
      <c r="W75" s="178">
        <f t="shared" ref="W75:X75" si="62">C75/100</f>
        <v>0</v>
      </c>
      <c r="X75" s="178">
        <f t="shared" si="62"/>
        <v>0</v>
      </c>
      <c r="Y75" s="178">
        <f t="shared" si="14"/>
        <v>0</v>
      </c>
      <c r="Z75" s="19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54.0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78"/>
      <c r="R76" s="141"/>
      <c r="S76" s="178">
        <f t="shared" si="9"/>
        <v>0</v>
      </c>
      <c r="T76" s="162" t="str">
        <f t="shared" si="10"/>
        <v/>
      </c>
      <c r="U76" s="162">
        <f t="shared" si="11"/>
        <v>0</v>
      </c>
      <c r="V76" s="191">
        <f t="shared" si="12"/>
        <v>0</v>
      </c>
      <c r="W76" s="178">
        <f t="shared" ref="W76:X76" si="63">C76/100</f>
        <v>0</v>
      </c>
      <c r="X76" s="178">
        <f t="shared" si="63"/>
        <v>0</v>
      </c>
      <c r="Y76" s="178">
        <f t="shared" si="14"/>
        <v>0</v>
      </c>
      <c r="Z76" s="19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55.0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78"/>
      <c r="R77" s="141"/>
      <c r="S77" s="178">
        <f t="shared" si="9"/>
        <v>0</v>
      </c>
      <c r="T77" s="162" t="str">
        <f t="shared" si="10"/>
        <v/>
      </c>
      <c r="U77" s="162">
        <f t="shared" si="11"/>
        <v>0</v>
      </c>
      <c r="V77" s="191">
        <f t="shared" si="12"/>
        <v>0</v>
      </c>
      <c r="W77" s="178">
        <f t="shared" ref="W77:X77" si="64">C77/100</f>
        <v>0</v>
      </c>
      <c r="X77" s="178">
        <f t="shared" si="64"/>
        <v>0</v>
      </c>
      <c r="Y77" s="178">
        <f t="shared" si="14"/>
        <v>0</v>
      </c>
      <c r="Z77" s="19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56.0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78"/>
      <c r="R78" s="141"/>
      <c r="S78" s="178">
        <f t="shared" si="9"/>
        <v>0</v>
      </c>
      <c r="T78" s="162" t="str">
        <f t="shared" si="10"/>
        <v/>
      </c>
      <c r="U78" s="162">
        <f t="shared" si="11"/>
        <v>0</v>
      </c>
      <c r="V78" s="191">
        <f t="shared" si="12"/>
        <v>0</v>
      </c>
      <c r="W78" s="178">
        <f t="shared" ref="W78:X78" si="65">C78/100</f>
        <v>0</v>
      </c>
      <c r="X78" s="178">
        <f t="shared" si="65"/>
        <v>0</v>
      </c>
      <c r="Y78" s="178">
        <f t="shared" si="14"/>
        <v>0</v>
      </c>
      <c r="Z78" s="19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57.0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78"/>
      <c r="R79" s="141"/>
      <c r="S79" s="178">
        <f t="shared" si="9"/>
        <v>0</v>
      </c>
      <c r="T79" s="162" t="str">
        <f t="shared" si="10"/>
        <v/>
      </c>
      <c r="U79" s="162">
        <f t="shared" si="11"/>
        <v>0</v>
      </c>
      <c r="V79" s="191">
        <f t="shared" si="12"/>
        <v>0</v>
      </c>
      <c r="W79" s="178">
        <f t="shared" ref="W79:X79" si="66">C79/100</f>
        <v>0</v>
      </c>
      <c r="X79" s="178">
        <f t="shared" si="66"/>
        <v>0</v>
      </c>
      <c r="Y79" s="178">
        <f t="shared" si="14"/>
        <v>0</v>
      </c>
      <c r="Z79" s="19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58.0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78"/>
      <c r="R80" s="141"/>
      <c r="S80" s="178">
        <f t="shared" si="9"/>
        <v>0</v>
      </c>
      <c r="T80" s="162" t="str">
        <f t="shared" si="10"/>
        <v/>
      </c>
      <c r="U80" s="162">
        <f t="shared" si="11"/>
        <v>0</v>
      </c>
      <c r="V80" s="191">
        <f t="shared" si="12"/>
        <v>0</v>
      </c>
      <c r="W80" s="178">
        <f t="shared" ref="W80:X80" si="67">C80/100</f>
        <v>0</v>
      </c>
      <c r="X80" s="178">
        <f t="shared" si="67"/>
        <v>0</v>
      </c>
      <c r="Y80" s="178">
        <f t="shared" si="14"/>
        <v>0</v>
      </c>
      <c r="Z80" s="19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59.0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78"/>
      <c r="R81" s="141"/>
      <c r="S81" s="178">
        <f t="shared" si="9"/>
        <v>0</v>
      </c>
      <c r="T81" s="162" t="str">
        <f t="shared" si="10"/>
        <v/>
      </c>
      <c r="U81" s="162">
        <f t="shared" si="11"/>
        <v>0</v>
      </c>
      <c r="V81" s="191">
        <f t="shared" si="12"/>
        <v>0</v>
      </c>
      <c r="W81" s="178">
        <f t="shared" ref="W81:X81" si="68">C81/100</f>
        <v>0</v>
      </c>
      <c r="X81" s="178">
        <f t="shared" si="68"/>
        <v>0</v>
      </c>
      <c r="Y81" s="178">
        <f t="shared" si="14"/>
        <v>0</v>
      </c>
      <c r="Z81" s="19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60.0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78">
        <f t="shared" ref="L82:L83" si="70">D82*25.4/1000</f>
        <v>0</v>
      </c>
      <c r="M82" s="162" t="str">
        <f t="shared" ref="M82:M97" si="71">+I82</f>
        <v/>
      </c>
      <c r="N82" s="162">
        <f t="shared" ref="N82:N83" si="72">M82*L82</f>
        <v>0</v>
      </c>
      <c r="O82" s="139"/>
      <c r="P82" s="139"/>
      <c r="Q82" s="178"/>
      <c r="R82" s="141"/>
      <c r="S82" s="178">
        <f t="shared" si="9"/>
        <v>0</v>
      </c>
      <c r="T82" s="162" t="str">
        <f t="shared" si="10"/>
        <v/>
      </c>
      <c r="U82" s="162">
        <f t="shared" si="11"/>
        <v>0</v>
      </c>
      <c r="V82" s="191">
        <f t="shared" si="12"/>
        <v>0</v>
      </c>
      <c r="W82" s="178">
        <f t="shared" ref="W82:X82" si="69">C82/100</f>
        <v>0</v>
      </c>
      <c r="X82" s="178">
        <f t="shared" si="69"/>
        <v>0</v>
      </c>
      <c r="Y82" s="178">
        <f t="shared" si="14"/>
        <v>0</v>
      </c>
      <c r="Z82" s="19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61.0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>
        <f t="shared" si="70"/>
        <v>0</v>
      </c>
      <c r="M83" s="198" t="str">
        <f t="shared" si="71"/>
        <v/>
      </c>
      <c r="N83" s="198">
        <f t="shared" si="72"/>
        <v>0</v>
      </c>
      <c r="O83" s="139"/>
      <c r="P83" s="139"/>
      <c r="Q83" s="178"/>
      <c r="R83" s="141"/>
      <c r="S83" s="178">
        <f t="shared" si="9"/>
        <v>0</v>
      </c>
      <c r="T83" s="162" t="str">
        <f t="shared" si="10"/>
        <v/>
      </c>
      <c r="U83" s="162">
        <f t="shared" si="11"/>
        <v>0</v>
      </c>
      <c r="V83" s="191">
        <f t="shared" si="12"/>
        <v>0</v>
      </c>
      <c r="W83" s="178">
        <f t="shared" ref="W83:X83" si="73">C83/100</f>
        <v>0</v>
      </c>
      <c r="X83" s="178">
        <f t="shared" si="73"/>
        <v>0</v>
      </c>
      <c r="Y83" s="178">
        <f t="shared" si="14"/>
        <v>0</v>
      </c>
      <c r="Z83" s="19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62.0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 t="str">
        <f t="shared" si="71"/>
        <v/>
      </c>
      <c r="N84" s="198"/>
      <c r="O84" s="139"/>
      <c r="P84" s="139"/>
      <c r="Q84" s="178"/>
      <c r="R84" s="141"/>
      <c r="S84" s="178">
        <f t="shared" si="9"/>
        <v>0</v>
      </c>
      <c r="T84" s="162" t="str">
        <f t="shared" si="10"/>
        <v/>
      </c>
      <c r="U84" s="162">
        <f t="shared" si="11"/>
        <v>0</v>
      </c>
      <c r="V84" s="191">
        <f t="shared" si="12"/>
        <v>0</v>
      </c>
      <c r="W84" s="178">
        <f t="shared" ref="W84:X84" si="74">C84/100</f>
        <v>0</v>
      </c>
      <c r="X84" s="178">
        <f t="shared" si="74"/>
        <v>0</v>
      </c>
      <c r="Y84" s="178">
        <f t="shared" si="14"/>
        <v>0</v>
      </c>
      <c r="Z84" s="19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63.0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 t="str">
        <f t="shared" si="71"/>
        <v/>
      </c>
      <c r="N85" s="198"/>
      <c r="O85" s="139"/>
      <c r="P85" s="139"/>
      <c r="Q85" s="178"/>
      <c r="R85" s="141"/>
      <c r="S85" s="178">
        <f t="shared" si="9"/>
        <v>0</v>
      </c>
      <c r="T85" s="162" t="str">
        <f t="shared" si="10"/>
        <v/>
      </c>
      <c r="U85" s="162">
        <f t="shared" si="11"/>
        <v>0</v>
      </c>
      <c r="V85" s="191">
        <f t="shared" si="12"/>
        <v>0</v>
      </c>
      <c r="W85" s="178">
        <f t="shared" ref="W85:X85" si="75">C85/100</f>
        <v>0</v>
      </c>
      <c r="X85" s="178">
        <f t="shared" si="75"/>
        <v>0</v>
      </c>
      <c r="Y85" s="178">
        <f t="shared" si="14"/>
        <v>0</v>
      </c>
      <c r="Z85" s="19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64.0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 t="str">
        <f t="shared" si="71"/>
        <v/>
      </c>
      <c r="N86" s="198"/>
      <c r="O86" s="139"/>
      <c r="P86" s="139"/>
      <c r="Q86" s="178"/>
      <c r="R86" s="141"/>
      <c r="S86" s="178">
        <f t="shared" si="9"/>
        <v>0</v>
      </c>
      <c r="T86" s="162" t="str">
        <f t="shared" si="10"/>
        <v/>
      </c>
      <c r="U86" s="162">
        <f t="shared" si="11"/>
        <v>0</v>
      </c>
      <c r="V86" s="191">
        <f t="shared" si="12"/>
        <v>0</v>
      </c>
      <c r="W86" s="178">
        <f t="shared" ref="W86:X86" si="76">C86/100</f>
        <v>0</v>
      </c>
      <c r="X86" s="178">
        <f t="shared" si="76"/>
        <v>0</v>
      </c>
      <c r="Y86" s="178">
        <f t="shared" si="14"/>
        <v>0</v>
      </c>
      <c r="Z86" s="19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65.0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 t="str">
        <f t="shared" si="71"/>
        <v/>
      </c>
      <c r="N87" s="198"/>
      <c r="O87" s="139"/>
      <c r="P87" s="139"/>
      <c r="Q87" s="178"/>
      <c r="R87" s="141"/>
      <c r="S87" s="178">
        <f t="shared" si="9"/>
        <v>0</v>
      </c>
      <c r="T87" s="162" t="str">
        <f t="shared" si="10"/>
        <v/>
      </c>
      <c r="U87" s="162">
        <f t="shared" si="11"/>
        <v>0</v>
      </c>
      <c r="V87" s="191">
        <f t="shared" si="12"/>
        <v>0</v>
      </c>
      <c r="W87" s="178">
        <f t="shared" ref="W87:X87" si="77">C87/100</f>
        <v>0</v>
      </c>
      <c r="X87" s="178">
        <f t="shared" si="77"/>
        <v>0</v>
      </c>
      <c r="Y87" s="178">
        <f t="shared" si="14"/>
        <v>0</v>
      </c>
      <c r="Z87" s="19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66.0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 t="str">
        <f t="shared" si="71"/>
        <v/>
      </c>
      <c r="N88" s="198"/>
      <c r="O88" s="139"/>
      <c r="P88" s="139"/>
      <c r="Q88" s="178"/>
      <c r="R88" s="141"/>
      <c r="S88" s="178">
        <f t="shared" si="9"/>
        <v>0</v>
      </c>
      <c r="T88" s="162" t="str">
        <f t="shared" si="10"/>
        <v/>
      </c>
      <c r="U88" s="162">
        <f t="shared" si="11"/>
        <v>0</v>
      </c>
      <c r="V88" s="191">
        <f t="shared" si="12"/>
        <v>0</v>
      </c>
      <c r="W88" s="178">
        <f t="shared" ref="W88:X88" si="78">C88/100</f>
        <v>0</v>
      </c>
      <c r="X88" s="178">
        <f t="shared" si="78"/>
        <v>0</v>
      </c>
      <c r="Y88" s="178">
        <f t="shared" si="14"/>
        <v>0</v>
      </c>
      <c r="Z88" s="19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67.0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 t="str">
        <f t="shared" si="71"/>
        <v/>
      </c>
      <c r="N89" s="198"/>
      <c r="O89" s="139"/>
      <c r="P89" s="139"/>
      <c r="Q89" s="178"/>
      <c r="R89" s="141"/>
      <c r="S89" s="178">
        <f t="shared" si="9"/>
        <v>0</v>
      </c>
      <c r="T89" s="162" t="str">
        <f t="shared" si="10"/>
        <v/>
      </c>
      <c r="U89" s="162">
        <f t="shared" si="11"/>
        <v>0</v>
      </c>
      <c r="V89" s="191">
        <f t="shared" si="12"/>
        <v>0</v>
      </c>
      <c r="W89" s="178">
        <f t="shared" ref="W89:X89" si="79">C89/100</f>
        <v>0</v>
      </c>
      <c r="X89" s="178">
        <f t="shared" si="79"/>
        <v>0</v>
      </c>
      <c r="Y89" s="178">
        <f t="shared" si="14"/>
        <v>0</v>
      </c>
      <c r="Z89" s="19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68.0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 t="str">
        <f t="shared" si="71"/>
        <v/>
      </c>
      <c r="N90" s="198"/>
      <c r="O90" s="139"/>
      <c r="P90" s="139"/>
      <c r="Q90" s="178"/>
      <c r="R90" s="141"/>
      <c r="S90" s="178">
        <f t="shared" si="9"/>
        <v>0</v>
      </c>
      <c r="T90" s="162" t="str">
        <f t="shared" si="10"/>
        <v/>
      </c>
      <c r="U90" s="162">
        <f t="shared" si="11"/>
        <v>0</v>
      </c>
      <c r="V90" s="191">
        <f t="shared" si="12"/>
        <v>0</v>
      </c>
      <c r="W90" s="178">
        <f t="shared" ref="W90:X90" si="80">C90/100</f>
        <v>0</v>
      </c>
      <c r="X90" s="178">
        <f t="shared" si="80"/>
        <v>0</v>
      </c>
      <c r="Y90" s="178">
        <f t="shared" si="14"/>
        <v>0</v>
      </c>
      <c r="Z90" s="19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69.0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 t="str">
        <f t="shared" si="71"/>
        <v/>
      </c>
      <c r="N91" s="198"/>
      <c r="O91" s="139"/>
      <c r="P91" s="139"/>
      <c r="Q91" s="178"/>
      <c r="R91" s="141"/>
      <c r="S91" s="178">
        <f t="shared" si="9"/>
        <v>0</v>
      </c>
      <c r="T91" s="162" t="str">
        <f t="shared" si="10"/>
        <v/>
      </c>
      <c r="U91" s="162">
        <f t="shared" si="11"/>
        <v>0</v>
      </c>
      <c r="V91" s="191">
        <f t="shared" si="12"/>
        <v>0</v>
      </c>
      <c r="W91" s="178">
        <f t="shared" ref="W91:X91" si="81">C91/100</f>
        <v>0</v>
      </c>
      <c r="X91" s="178">
        <f t="shared" si="81"/>
        <v>0</v>
      </c>
      <c r="Y91" s="178">
        <f t="shared" si="14"/>
        <v>0</v>
      </c>
      <c r="Z91" s="19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70.0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 t="str">
        <f t="shared" si="71"/>
        <v/>
      </c>
      <c r="N92" s="198"/>
      <c r="O92" s="139"/>
      <c r="P92" s="139"/>
      <c r="Q92" s="178"/>
      <c r="R92" s="141"/>
      <c r="S92" s="178">
        <f t="shared" si="9"/>
        <v>0</v>
      </c>
      <c r="T92" s="162" t="str">
        <f t="shared" si="10"/>
        <v/>
      </c>
      <c r="U92" s="162">
        <f t="shared" si="11"/>
        <v>0</v>
      </c>
      <c r="V92" s="191">
        <f t="shared" si="12"/>
        <v>0</v>
      </c>
      <c r="W92" s="178">
        <f t="shared" ref="W92:X92" si="82">C92/100</f>
        <v>0</v>
      </c>
      <c r="X92" s="178">
        <f t="shared" si="82"/>
        <v>0</v>
      </c>
      <c r="Y92" s="178">
        <f t="shared" si="14"/>
        <v>0</v>
      </c>
      <c r="Z92" s="19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71.0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 t="str">
        <f t="shared" si="71"/>
        <v/>
      </c>
      <c r="N93" s="198"/>
      <c r="O93" s="139"/>
      <c r="P93" s="139"/>
      <c r="Q93" s="178"/>
      <c r="R93" s="141"/>
      <c r="S93" s="178">
        <f t="shared" si="9"/>
        <v>0</v>
      </c>
      <c r="T93" s="162" t="str">
        <f t="shared" si="10"/>
        <v/>
      </c>
      <c r="U93" s="162">
        <f t="shared" si="11"/>
        <v>0</v>
      </c>
      <c r="V93" s="191">
        <f t="shared" si="12"/>
        <v>0</v>
      </c>
      <c r="W93" s="178">
        <f t="shared" ref="W93:X93" si="83">C93/100</f>
        <v>0</v>
      </c>
      <c r="X93" s="178">
        <f t="shared" si="83"/>
        <v>0</v>
      </c>
      <c r="Y93" s="178">
        <f t="shared" si="14"/>
        <v>0</v>
      </c>
      <c r="Z93" s="19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72.0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 t="str">
        <f t="shared" si="71"/>
        <v/>
      </c>
      <c r="N94" s="198"/>
      <c r="O94" s="139"/>
      <c r="P94" s="139"/>
      <c r="Q94" s="178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1">
        <f t="shared" si="12"/>
        <v>0</v>
      </c>
      <c r="W94" s="199">
        <f t="shared" ref="W94:X94" si="84">C94/100</f>
        <v>0</v>
      </c>
      <c r="X94" s="199">
        <f t="shared" si="84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73.0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 t="str">
        <f t="shared" si="71"/>
        <v/>
      </c>
      <c r="N95" s="198"/>
      <c r="O95" s="139"/>
      <c r="P95" s="139"/>
      <c r="Q95" s="178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1">
        <f t="shared" si="12"/>
        <v>0</v>
      </c>
      <c r="W95" s="199">
        <f t="shared" ref="W95:X95" si="85">C95/100</f>
        <v>0</v>
      </c>
      <c r="X95" s="199">
        <f t="shared" si="85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74.0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 t="str">
        <f t="shared" si="71"/>
        <v/>
      </c>
      <c r="N96" s="198"/>
      <c r="O96" s="139"/>
      <c r="P96" s="139"/>
      <c r="Q96" s="178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1">
        <f t="shared" si="12"/>
        <v>0</v>
      </c>
      <c r="W96" s="199">
        <f t="shared" ref="W96:X96" si="86">C96/100</f>
        <v>0</v>
      </c>
      <c r="X96" s="199">
        <f t="shared" si="86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75.0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 t="str">
        <f t="shared" si="71"/>
        <v/>
      </c>
      <c r="N97" s="198"/>
      <c r="O97" s="139"/>
      <c r="P97" s="139"/>
      <c r="Q97" s="178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1">
        <f t="shared" si="12"/>
        <v>0</v>
      </c>
      <c r="W97" s="199">
        <f t="shared" ref="W97:X97" si="87">C97/100</f>
        <v>0</v>
      </c>
      <c r="X97" s="199">
        <f t="shared" si="87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76.0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8">C98/100</f>
        <v>0</v>
      </c>
      <c r="X98" s="199">
        <f t="shared" si="88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77.0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9">C99/100</f>
        <v>0</v>
      </c>
      <c r="X99" s="199">
        <f t="shared" si="89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78.0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0">C100/100</f>
        <v>0</v>
      </c>
      <c r="X100" s="199">
        <f t="shared" si="90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79.0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1">C101/100</f>
        <v>0</v>
      </c>
      <c r="X101" s="199">
        <f t="shared" si="91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80.0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2">C102/100</f>
        <v>0</v>
      </c>
      <c r="X102" s="199">
        <f t="shared" si="92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81.0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3">C103/100</f>
        <v>0</v>
      </c>
      <c r="X103" s="199">
        <f t="shared" si="93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82.0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4">C104/100</f>
        <v>0</v>
      </c>
      <c r="X104" s="199">
        <f t="shared" si="94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83.0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5">C105/100</f>
        <v>0</v>
      </c>
      <c r="X105" s="199">
        <f t="shared" si="95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84.0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6">C106/100</f>
        <v>0</v>
      </c>
      <c r="X106" s="199">
        <f t="shared" si="96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85.0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7">C107/100</f>
        <v>0</v>
      </c>
      <c r="X107" s="199">
        <f t="shared" si="97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86.0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8">C108/100</f>
        <v>0</v>
      </c>
      <c r="X108" s="199">
        <f t="shared" si="98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87.0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9">C109/100</f>
        <v>0</v>
      </c>
      <c r="X109" s="199">
        <f t="shared" si="99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88.0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0">C110/100</f>
        <v>0</v>
      </c>
      <c r="X110" s="199">
        <f t="shared" si="100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89.0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1">C111/100</f>
        <v>0</v>
      </c>
      <c r="X111" s="199">
        <f t="shared" si="101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90.0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2">C112/100</f>
        <v>0</v>
      </c>
      <c r="X112" s="199">
        <f t="shared" si="102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91.0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3">C113/100</f>
        <v>0</v>
      </c>
      <c r="X113" s="199">
        <f t="shared" si="103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92.0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4">C114/100</f>
        <v>0</v>
      </c>
      <c r="X114" s="199">
        <f t="shared" si="104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93.0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5">C115/100</f>
        <v>0</v>
      </c>
      <c r="X115" s="199">
        <f t="shared" si="105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94.0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6">C116/100</f>
        <v>0</v>
      </c>
      <c r="X116" s="199">
        <f t="shared" si="106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95.0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7">C117/100</f>
        <v>0</v>
      </c>
      <c r="X117" s="199">
        <f t="shared" si="107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96.0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8">C118/100</f>
        <v>0</v>
      </c>
      <c r="X118" s="199">
        <f t="shared" si="108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97.0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9">C119/100</f>
        <v>0</v>
      </c>
      <c r="X119" s="199">
        <f t="shared" si="109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98.0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0">C120/100</f>
        <v>0</v>
      </c>
      <c r="X120" s="199">
        <f t="shared" si="110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99.0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1">C121/100</f>
        <v>0</v>
      </c>
      <c r="X121" s="199">
        <f t="shared" si="111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100.0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2">C122/100</f>
        <v>0</v>
      </c>
      <c r="X122" s="199">
        <f t="shared" si="112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101.0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3">C123/100</f>
        <v>0</v>
      </c>
      <c r="X123" s="199">
        <f t="shared" si="113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102.0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4">C124/100</f>
        <v>0</v>
      </c>
      <c r="X124" s="199">
        <f t="shared" si="114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103.0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5">C125/100</f>
        <v>0</v>
      </c>
      <c r="X125" s="199">
        <f t="shared" si="115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104.0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6">C126/100</f>
        <v>0</v>
      </c>
      <c r="X126" s="199">
        <f t="shared" si="116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105.0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7">C127/100</f>
        <v>0</v>
      </c>
      <c r="X127" s="199">
        <f t="shared" si="117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106.0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8">C128/100</f>
        <v>0</v>
      </c>
      <c r="X128" s="199">
        <f t="shared" si="118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107.0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9">C129/100</f>
        <v>0</v>
      </c>
      <c r="X129" s="199">
        <f t="shared" si="119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108.0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0">C130/100</f>
        <v>0</v>
      </c>
      <c r="X130" s="199">
        <f t="shared" si="120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109.0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1">C131/100</f>
        <v>0</v>
      </c>
      <c r="X131" s="199">
        <f t="shared" si="121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110.0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2">C132/100</f>
        <v>0</v>
      </c>
      <c r="X132" s="199">
        <f t="shared" si="122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111.0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3">C133/100</f>
        <v>0</v>
      </c>
      <c r="X133" s="199">
        <f t="shared" si="123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112.0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4">C134/100</f>
        <v>0</v>
      </c>
      <c r="X134" s="199">
        <f t="shared" si="124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113.0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5">C135/100</f>
        <v>0</v>
      </c>
      <c r="X135" s="199">
        <f t="shared" si="125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114.0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6">C136/100</f>
        <v>0</v>
      </c>
      <c r="X136" s="199">
        <f t="shared" si="126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115.0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7">C137/100</f>
        <v>0</v>
      </c>
      <c r="X137" s="199">
        <f t="shared" si="127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116.0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8">C138/100</f>
        <v>0</v>
      </c>
      <c r="X138" s="199">
        <f t="shared" si="128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117.0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9">C139/100</f>
        <v>0</v>
      </c>
      <c r="X139" s="199">
        <f t="shared" si="129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118.0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0">C140/100</f>
        <v>0</v>
      </c>
      <c r="X140" s="199">
        <f t="shared" si="130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119.0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1">C141/100</f>
        <v>0</v>
      </c>
      <c r="X141" s="199">
        <f t="shared" si="131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120.0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2">C142/100</f>
        <v>0</v>
      </c>
      <c r="X142" s="199">
        <f t="shared" si="132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121.0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3">C143/100</f>
        <v>0</v>
      </c>
      <c r="X143" s="199">
        <f t="shared" si="133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122.0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4">C144/100</f>
        <v>0</v>
      </c>
      <c r="X144" s="199">
        <f t="shared" si="134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123.0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5">C145/100</f>
        <v>0</v>
      </c>
      <c r="X145" s="199">
        <f t="shared" si="135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124.0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6">C146/100</f>
        <v>0</v>
      </c>
      <c r="X146" s="199">
        <f t="shared" si="136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125.0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7">C147/100</f>
        <v>0</v>
      </c>
      <c r="X147" s="199">
        <f t="shared" si="137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126.0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8">C148/100</f>
        <v>0</v>
      </c>
      <c r="X148" s="199">
        <f t="shared" si="138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127.0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9">C149/100</f>
        <v>0</v>
      </c>
      <c r="X149" s="199">
        <f t="shared" si="139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128.0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0">C150/100</f>
        <v>0</v>
      </c>
      <c r="X150" s="199">
        <f t="shared" si="140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129.0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1">C151/100</f>
        <v>0</v>
      </c>
      <c r="X151" s="199">
        <f t="shared" si="141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130.0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2">C152/100</f>
        <v>0</v>
      </c>
      <c r="X152" s="199">
        <f t="shared" si="142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131.0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3">C153/100</f>
        <v>0</v>
      </c>
      <c r="X153" s="199">
        <f t="shared" si="143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132.0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4">C154/100</f>
        <v>0</v>
      </c>
      <c r="X154" s="199">
        <f t="shared" si="144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133.0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5">C155/100</f>
        <v>0</v>
      </c>
      <c r="X155" s="199">
        <f t="shared" si="145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134.0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6">C156/100</f>
        <v>0</v>
      </c>
      <c r="X156" s="199">
        <f t="shared" si="146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135.0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7">C157/100</f>
        <v>0</v>
      </c>
      <c r="X157" s="199">
        <f t="shared" si="147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136.0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8">C158/100</f>
        <v>0</v>
      </c>
      <c r="X158" s="199">
        <f t="shared" si="148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137.0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9">C159/100</f>
        <v>0</v>
      </c>
      <c r="X159" s="199">
        <f t="shared" si="149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138.0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0">C160/100</f>
        <v>0</v>
      </c>
      <c r="X160" s="199">
        <f t="shared" si="150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139.0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1">C161/100</f>
        <v>0</v>
      </c>
      <c r="X161" s="199">
        <f t="shared" si="151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140.0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2">C162/100</f>
        <v>0</v>
      </c>
      <c r="X162" s="199">
        <f t="shared" si="152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141.0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3">C163/100</f>
        <v>0</v>
      </c>
      <c r="X163" s="199">
        <f t="shared" si="153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142.0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4">C164/100</f>
        <v>0</v>
      </c>
      <c r="X164" s="199">
        <f t="shared" si="154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143.0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5">C165/100</f>
        <v>0</v>
      </c>
      <c r="X165" s="199">
        <f t="shared" si="155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144.0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6">C166/100</f>
        <v>0</v>
      </c>
      <c r="X166" s="199">
        <f t="shared" si="156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145.0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7">C167/100</f>
        <v>0</v>
      </c>
      <c r="X167" s="199">
        <f t="shared" si="157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146.0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8">C168/100</f>
        <v>0</v>
      </c>
      <c r="X168" s="199">
        <f t="shared" si="158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147.0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9">C169/100</f>
        <v>0</v>
      </c>
      <c r="X169" s="199">
        <f t="shared" si="159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148.0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60">C170/100</f>
        <v>0</v>
      </c>
      <c r="X170" s="199">
        <f t="shared" si="160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149.0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1">C171/100</f>
        <v>0</v>
      </c>
      <c r="X171" s="199">
        <f t="shared" si="161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150.0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2">C172/100</f>
        <v>0</v>
      </c>
      <c r="X172" s="199">
        <f t="shared" si="162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151.0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3">C173/100</f>
        <v>0</v>
      </c>
      <c r="X173" s="199">
        <f t="shared" si="163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152.0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4">C174/100</f>
        <v>0</v>
      </c>
      <c r="X174" s="199">
        <f t="shared" si="164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153.0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5">C175/100</f>
        <v>0</v>
      </c>
      <c r="X175" s="199">
        <f t="shared" si="165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154.0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6">C176/100</f>
        <v>0</v>
      </c>
      <c r="X176" s="199">
        <f t="shared" si="166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155.0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7">C177/100</f>
        <v>0</v>
      </c>
      <c r="X177" s="199">
        <f t="shared" si="167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156.0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8">C178/100</f>
        <v>0</v>
      </c>
      <c r="X178" s="199">
        <f t="shared" si="168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157.0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9">C179/100</f>
        <v>0</v>
      </c>
      <c r="X179" s="199">
        <f t="shared" si="169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2">
        <v>158.0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70">C180/100</f>
        <v>0</v>
      </c>
      <c r="X180" s="199">
        <f t="shared" si="170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2">
        <v>159.0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71">C181/100</f>
        <v>0</v>
      </c>
      <c r="X181" s="199">
        <f t="shared" si="171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2">
        <v>160.0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2">C182/100</f>
        <v>0</v>
      </c>
      <c r="X182" s="199">
        <f t="shared" si="172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2">
        <v>161.0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3">C183/100</f>
        <v>0</v>
      </c>
      <c r="X183" s="199">
        <f t="shared" si="173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2">
        <v>162.0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4">C184/100</f>
        <v>0</v>
      </c>
      <c r="X184" s="199">
        <f t="shared" si="174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2">
        <v>163.0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5">C185/100</f>
        <v>0</v>
      </c>
      <c r="X185" s="199">
        <f t="shared" si="175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2">
        <v>164.0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6">C186/100</f>
        <v>0</v>
      </c>
      <c r="X186" s="199">
        <f t="shared" si="176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2">
        <v>165.0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7">C187/100</f>
        <v>0</v>
      </c>
      <c r="X187" s="199">
        <f t="shared" si="177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hidden="1" customHeight="1">
      <c r="A188" s="162">
        <v>166.0</v>
      </c>
      <c r="B188" s="193"/>
      <c r="C188" s="193"/>
      <c r="D188" s="193"/>
      <c r="E188" s="193"/>
      <c r="F188" s="193">
        <f t="shared" si="5"/>
        <v>0</v>
      </c>
      <c r="G188" s="193">
        <f t="shared" si="6"/>
        <v>0</v>
      </c>
      <c r="H188" s="194">
        <f t="shared" si="7"/>
        <v>0</v>
      </c>
      <c r="I188" s="193"/>
      <c r="J188" s="195">
        <f t="shared" si="8"/>
        <v>0</v>
      </c>
      <c r="K188" s="139"/>
      <c r="L188" s="197"/>
      <c r="M188" s="198"/>
      <c r="N188" s="198"/>
      <c r="O188" s="139"/>
      <c r="P188" s="139"/>
      <c r="Q188" s="195"/>
      <c r="R188" s="141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8">C188/100</f>
        <v>0</v>
      </c>
      <c r="X188" s="199">
        <f t="shared" si="178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hidden="1" customHeight="1">
      <c r="A189" s="162">
        <v>167.0</v>
      </c>
      <c r="B189" s="193"/>
      <c r="C189" s="193"/>
      <c r="D189" s="193"/>
      <c r="E189" s="193"/>
      <c r="F189" s="193">
        <f t="shared" si="5"/>
        <v>0</v>
      </c>
      <c r="G189" s="193">
        <f t="shared" si="6"/>
        <v>0</v>
      </c>
      <c r="H189" s="194">
        <f t="shared" si="7"/>
        <v>0</v>
      </c>
      <c r="I189" s="193"/>
      <c r="J189" s="195">
        <f t="shared" si="8"/>
        <v>0</v>
      </c>
      <c r="K189" s="139"/>
      <c r="L189" s="197"/>
      <c r="M189" s="198"/>
      <c r="N189" s="198"/>
      <c r="O189" s="139"/>
      <c r="P189" s="139"/>
      <c r="Q189" s="195"/>
      <c r="R189" s="141"/>
      <c r="S189" s="199">
        <f t="shared" si="9"/>
        <v>0</v>
      </c>
      <c r="T189" s="200" t="str">
        <f t="shared" si="10"/>
        <v/>
      </c>
      <c r="U189" s="200">
        <f t="shared" si="11"/>
        <v>0</v>
      </c>
      <c r="V189" s="203"/>
      <c r="W189" s="199">
        <f t="shared" ref="W189:X189" si="179">C189/100</f>
        <v>0</v>
      </c>
      <c r="X189" s="199">
        <f t="shared" si="179"/>
        <v>0</v>
      </c>
      <c r="Y189" s="199">
        <f t="shared" si="14"/>
        <v>0</v>
      </c>
      <c r="Z189" s="202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hidden="1" customHeight="1">
      <c r="A190" s="162">
        <v>168.0</v>
      </c>
      <c r="B190" s="193"/>
      <c r="C190" s="193"/>
      <c r="D190" s="193"/>
      <c r="E190" s="193"/>
      <c r="F190" s="193">
        <f t="shared" si="5"/>
        <v>0</v>
      </c>
      <c r="G190" s="193">
        <f t="shared" si="6"/>
        <v>0</v>
      </c>
      <c r="H190" s="194">
        <f t="shared" si="7"/>
        <v>0</v>
      </c>
      <c r="I190" s="193"/>
      <c r="J190" s="195">
        <f t="shared" si="8"/>
        <v>0</v>
      </c>
      <c r="K190" s="139"/>
      <c r="L190" s="197"/>
      <c r="M190" s="198"/>
      <c r="N190" s="198"/>
      <c r="O190" s="139"/>
      <c r="P190" s="139"/>
      <c r="Q190" s="195"/>
      <c r="R190" s="141"/>
      <c r="S190" s="199">
        <f t="shared" si="9"/>
        <v>0</v>
      </c>
      <c r="T190" s="200" t="str">
        <f t="shared" si="10"/>
        <v/>
      </c>
      <c r="U190" s="200">
        <f t="shared" si="11"/>
        <v>0</v>
      </c>
      <c r="V190" s="203"/>
      <c r="W190" s="199">
        <f t="shared" ref="W190:X190" si="180">C190/100</f>
        <v>0</v>
      </c>
      <c r="X190" s="199">
        <f t="shared" si="180"/>
        <v>0</v>
      </c>
      <c r="Y190" s="199">
        <f t="shared" si="14"/>
        <v>0</v>
      </c>
      <c r="Z190" s="202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hidden="1" customHeight="1">
      <c r="A191" s="162">
        <v>169.0</v>
      </c>
      <c r="B191" s="193"/>
      <c r="C191" s="193"/>
      <c r="D191" s="193"/>
      <c r="E191" s="193"/>
      <c r="F191" s="193">
        <f t="shared" si="5"/>
        <v>0</v>
      </c>
      <c r="G191" s="193">
        <f t="shared" si="6"/>
        <v>0</v>
      </c>
      <c r="H191" s="194">
        <f t="shared" si="7"/>
        <v>0</v>
      </c>
      <c r="I191" s="193"/>
      <c r="J191" s="195">
        <f t="shared" si="8"/>
        <v>0</v>
      </c>
      <c r="K191" s="139"/>
      <c r="L191" s="197"/>
      <c r="M191" s="198"/>
      <c r="N191" s="198"/>
      <c r="O191" s="139"/>
      <c r="P191" s="139"/>
      <c r="Q191" s="195"/>
      <c r="R191" s="141"/>
      <c r="S191" s="199">
        <f t="shared" si="9"/>
        <v>0</v>
      </c>
      <c r="T191" s="200" t="str">
        <f t="shared" si="10"/>
        <v/>
      </c>
      <c r="U191" s="200">
        <f t="shared" si="11"/>
        <v>0</v>
      </c>
      <c r="V191" s="203"/>
      <c r="W191" s="199">
        <f t="shared" ref="W191:X191" si="181">C191/100</f>
        <v>0</v>
      </c>
      <c r="X191" s="199">
        <f t="shared" si="181"/>
        <v>0</v>
      </c>
      <c r="Y191" s="199">
        <f t="shared" si="14"/>
        <v>0</v>
      </c>
      <c r="Z191" s="202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hidden="1" customHeight="1">
      <c r="A192" s="162">
        <v>170.0</v>
      </c>
      <c r="B192" s="193"/>
      <c r="C192" s="193"/>
      <c r="D192" s="193"/>
      <c r="E192" s="193"/>
      <c r="F192" s="193">
        <f t="shared" si="5"/>
        <v>0</v>
      </c>
      <c r="G192" s="193">
        <f t="shared" si="6"/>
        <v>0</v>
      </c>
      <c r="H192" s="194">
        <f t="shared" si="7"/>
        <v>0</v>
      </c>
      <c r="I192" s="193"/>
      <c r="J192" s="195">
        <f t="shared" si="8"/>
        <v>0</v>
      </c>
      <c r="K192" s="139"/>
      <c r="L192" s="197"/>
      <c r="M192" s="198"/>
      <c r="N192" s="198"/>
      <c r="O192" s="139"/>
      <c r="P192" s="139"/>
      <c r="Q192" s="195"/>
      <c r="R192" s="141"/>
      <c r="S192" s="199">
        <f t="shared" si="9"/>
        <v>0</v>
      </c>
      <c r="T192" s="200" t="str">
        <f t="shared" si="10"/>
        <v/>
      </c>
      <c r="U192" s="200">
        <f t="shared" si="11"/>
        <v>0</v>
      </c>
      <c r="V192" s="203"/>
      <c r="W192" s="199">
        <f t="shared" ref="W192:X192" si="182">C192/100</f>
        <v>0</v>
      </c>
      <c r="X192" s="199">
        <f t="shared" si="182"/>
        <v>0</v>
      </c>
      <c r="Y192" s="199">
        <f t="shared" si="14"/>
        <v>0</v>
      </c>
      <c r="Z192" s="202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62">
        <v>171.0</v>
      </c>
      <c r="B193" s="193"/>
      <c r="C193" s="193"/>
      <c r="D193" s="193"/>
      <c r="E193" s="193"/>
      <c r="F193" s="193">
        <f t="shared" si="5"/>
        <v>0</v>
      </c>
      <c r="G193" s="193">
        <f t="shared" si="6"/>
        <v>0</v>
      </c>
      <c r="H193" s="194">
        <f t="shared" si="7"/>
        <v>0</v>
      </c>
      <c r="I193" s="193"/>
      <c r="J193" s="195">
        <f t="shared" si="8"/>
        <v>0</v>
      </c>
      <c r="K193" s="139"/>
      <c r="L193" s="197"/>
      <c r="M193" s="198"/>
      <c r="N193" s="198"/>
      <c r="O193" s="139"/>
      <c r="P193" s="139"/>
      <c r="Q193" s="195"/>
      <c r="R193" s="141"/>
      <c r="S193" s="199">
        <f t="shared" si="9"/>
        <v>0</v>
      </c>
      <c r="T193" s="200" t="str">
        <f t="shared" si="10"/>
        <v/>
      </c>
      <c r="U193" s="200">
        <f t="shared" si="11"/>
        <v>0</v>
      </c>
      <c r="V193" s="203"/>
      <c r="W193" s="199">
        <f t="shared" ref="W193:X193" si="183">C193/100</f>
        <v>0</v>
      </c>
      <c r="X193" s="199">
        <f t="shared" si="183"/>
        <v>0</v>
      </c>
      <c r="Y193" s="199">
        <f t="shared" si="14"/>
        <v>0</v>
      </c>
      <c r="Z193" s="202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62">
        <v>172.0</v>
      </c>
      <c r="B194" s="193"/>
      <c r="C194" s="193"/>
      <c r="D194" s="193"/>
      <c r="E194" s="193"/>
      <c r="F194" s="193">
        <f t="shared" si="5"/>
        <v>0</v>
      </c>
      <c r="G194" s="193">
        <f t="shared" si="6"/>
        <v>0</v>
      </c>
      <c r="H194" s="194">
        <f t="shared" si="7"/>
        <v>0</v>
      </c>
      <c r="I194" s="193"/>
      <c r="J194" s="195">
        <f t="shared" si="8"/>
        <v>0</v>
      </c>
      <c r="K194" s="139"/>
      <c r="L194" s="197"/>
      <c r="M194" s="198"/>
      <c r="N194" s="198"/>
      <c r="O194" s="139"/>
      <c r="P194" s="139"/>
      <c r="Q194" s="195"/>
      <c r="R194" s="141"/>
      <c r="S194" s="199">
        <f t="shared" si="9"/>
        <v>0</v>
      </c>
      <c r="T194" s="200" t="str">
        <f t="shared" si="10"/>
        <v/>
      </c>
      <c r="U194" s="200">
        <f t="shared" si="11"/>
        <v>0</v>
      </c>
      <c r="V194" s="203"/>
      <c r="W194" s="199">
        <f t="shared" ref="W194:X194" si="184">C194/100</f>
        <v>0</v>
      </c>
      <c r="X194" s="199">
        <f t="shared" si="184"/>
        <v>0</v>
      </c>
      <c r="Y194" s="199">
        <f t="shared" si="14"/>
        <v>0</v>
      </c>
      <c r="Z194" s="202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62">
        <v>173.0</v>
      </c>
      <c r="B195" s="193"/>
      <c r="C195" s="193"/>
      <c r="D195" s="193"/>
      <c r="E195" s="193"/>
      <c r="F195" s="193">
        <f t="shared" si="5"/>
        <v>0</v>
      </c>
      <c r="G195" s="193">
        <f t="shared" si="6"/>
        <v>0</v>
      </c>
      <c r="H195" s="194">
        <f t="shared" si="7"/>
        <v>0</v>
      </c>
      <c r="I195" s="193"/>
      <c r="J195" s="195">
        <f t="shared" si="8"/>
        <v>0</v>
      </c>
      <c r="K195" s="139"/>
      <c r="L195" s="197"/>
      <c r="M195" s="198"/>
      <c r="N195" s="198"/>
      <c r="O195" s="139"/>
      <c r="P195" s="139"/>
      <c r="Q195" s="195"/>
      <c r="R195" s="141"/>
      <c r="S195" s="199">
        <f t="shared" si="9"/>
        <v>0</v>
      </c>
      <c r="T195" s="200" t="str">
        <f t="shared" si="10"/>
        <v/>
      </c>
      <c r="U195" s="200">
        <f t="shared" si="11"/>
        <v>0</v>
      </c>
      <c r="V195" s="203"/>
      <c r="W195" s="199">
        <f t="shared" ref="W195:X195" si="185">C195/100</f>
        <v>0</v>
      </c>
      <c r="X195" s="199">
        <f t="shared" si="185"/>
        <v>0</v>
      </c>
      <c r="Y195" s="199">
        <f t="shared" si="14"/>
        <v>0</v>
      </c>
      <c r="Z195" s="202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62">
        <v>174.0</v>
      </c>
      <c r="B196" s="193"/>
      <c r="C196" s="193"/>
      <c r="D196" s="193"/>
      <c r="E196" s="193"/>
      <c r="F196" s="193">
        <f t="shared" si="5"/>
        <v>0</v>
      </c>
      <c r="G196" s="193">
        <f t="shared" si="6"/>
        <v>0</v>
      </c>
      <c r="H196" s="194">
        <f t="shared" si="7"/>
        <v>0</v>
      </c>
      <c r="I196" s="193"/>
      <c r="J196" s="195">
        <f t="shared" si="8"/>
        <v>0</v>
      </c>
      <c r="K196" s="139"/>
      <c r="L196" s="197"/>
      <c r="M196" s="198"/>
      <c r="N196" s="198"/>
      <c r="O196" s="139"/>
      <c r="P196" s="139"/>
      <c r="Q196" s="195"/>
      <c r="R196" s="141"/>
      <c r="S196" s="199">
        <f t="shared" si="9"/>
        <v>0</v>
      </c>
      <c r="T196" s="200" t="str">
        <f t="shared" si="10"/>
        <v/>
      </c>
      <c r="U196" s="200">
        <f t="shared" si="11"/>
        <v>0</v>
      </c>
      <c r="V196" s="203"/>
      <c r="W196" s="199">
        <f t="shared" ref="W196:X196" si="186">C196/100</f>
        <v>0</v>
      </c>
      <c r="X196" s="199">
        <f t="shared" si="186"/>
        <v>0</v>
      </c>
      <c r="Y196" s="199">
        <f t="shared" si="14"/>
        <v>0</v>
      </c>
      <c r="Z196" s="202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62">
        <v>175.0</v>
      </c>
      <c r="B197" s="193"/>
      <c r="C197" s="193"/>
      <c r="D197" s="193"/>
      <c r="E197" s="193"/>
      <c r="F197" s="193">
        <f t="shared" si="5"/>
        <v>0</v>
      </c>
      <c r="G197" s="193">
        <f t="shared" si="6"/>
        <v>0</v>
      </c>
      <c r="H197" s="194">
        <f t="shared" si="7"/>
        <v>0</v>
      </c>
      <c r="I197" s="193"/>
      <c r="J197" s="195">
        <f t="shared" si="8"/>
        <v>0</v>
      </c>
      <c r="K197" s="139"/>
      <c r="L197" s="197"/>
      <c r="M197" s="198"/>
      <c r="N197" s="198"/>
      <c r="O197" s="139"/>
      <c r="P197" s="139"/>
      <c r="Q197" s="195"/>
      <c r="R197" s="141"/>
      <c r="S197" s="199">
        <f t="shared" si="9"/>
        <v>0</v>
      </c>
      <c r="T197" s="200" t="str">
        <f t="shared" si="10"/>
        <v/>
      </c>
      <c r="U197" s="200">
        <f t="shared" si="11"/>
        <v>0</v>
      </c>
      <c r="V197" s="203"/>
      <c r="W197" s="199">
        <f t="shared" ref="W197:X197" si="187">C197/100</f>
        <v>0</v>
      </c>
      <c r="X197" s="199">
        <f t="shared" si="187"/>
        <v>0</v>
      </c>
      <c r="Y197" s="199">
        <f t="shared" si="14"/>
        <v>0</v>
      </c>
      <c r="Z197" s="202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62">
        <v>176.0</v>
      </c>
      <c r="B198" s="193"/>
      <c r="C198" s="193"/>
      <c r="D198" s="193"/>
      <c r="E198" s="193"/>
      <c r="F198" s="193">
        <f t="shared" si="5"/>
        <v>0</v>
      </c>
      <c r="G198" s="193">
        <f t="shared" si="6"/>
        <v>0</v>
      </c>
      <c r="H198" s="194">
        <f t="shared" si="7"/>
        <v>0</v>
      </c>
      <c r="I198" s="193"/>
      <c r="J198" s="195">
        <f t="shared" si="8"/>
        <v>0</v>
      </c>
      <c r="K198" s="139"/>
      <c r="L198" s="197"/>
      <c r="M198" s="198"/>
      <c r="N198" s="198"/>
      <c r="O198" s="139"/>
      <c r="P198" s="139"/>
      <c r="Q198" s="195"/>
      <c r="R198" s="141"/>
      <c r="S198" s="199">
        <f t="shared" si="9"/>
        <v>0</v>
      </c>
      <c r="T198" s="200" t="str">
        <f t="shared" si="10"/>
        <v/>
      </c>
      <c r="U198" s="200">
        <f t="shared" si="11"/>
        <v>0</v>
      </c>
      <c r="V198" s="203"/>
      <c r="W198" s="199">
        <f t="shared" ref="W198:X198" si="188">C198/100</f>
        <v>0</v>
      </c>
      <c r="X198" s="199">
        <f t="shared" si="188"/>
        <v>0</v>
      </c>
      <c r="Y198" s="199">
        <f t="shared" si="14"/>
        <v>0</v>
      </c>
      <c r="Z198" s="202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62">
        <v>177.0</v>
      </c>
      <c r="B199" s="193"/>
      <c r="C199" s="193"/>
      <c r="D199" s="193"/>
      <c r="E199" s="193"/>
      <c r="F199" s="193">
        <f t="shared" si="5"/>
        <v>0</v>
      </c>
      <c r="G199" s="193">
        <f t="shared" si="6"/>
        <v>0</v>
      </c>
      <c r="H199" s="194">
        <f t="shared" si="7"/>
        <v>0</v>
      </c>
      <c r="I199" s="193"/>
      <c r="J199" s="195">
        <f t="shared" si="8"/>
        <v>0</v>
      </c>
      <c r="K199" s="139"/>
      <c r="L199" s="197"/>
      <c r="M199" s="198"/>
      <c r="N199" s="198"/>
      <c r="O199" s="139"/>
      <c r="P199" s="139"/>
      <c r="Q199" s="195"/>
      <c r="R199" s="141"/>
      <c r="S199" s="199">
        <f t="shared" si="9"/>
        <v>0</v>
      </c>
      <c r="T199" s="200" t="str">
        <f t="shared" si="10"/>
        <v/>
      </c>
      <c r="U199" s="200">
        <f t="shared" si="11"/>
        <v>0</v>
      </c>
      <c r="V199" s="203"/>
      <c r="W199" s="199">
        <f t="shared" ref="W199:X199" si="189">C199/100</f>
        <v>0</v>
      </c>
      <c r="X199" s="199">
        <f t="shared" si="189"/>
        <v>0</v>
      </c>
      <c r="Y199" s="199">
        <f t="shared" si="14"/>
        <v>0</v>
      </c>
      <c r="Z199" s="202">
        <f t="shared" si="15"/>
        <v>0</v>
      </c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62">
        <v>178.0</v>
      </c>
      <c r="B200" s="193"/>
      <c r="C200" s="193"/>
      <c r="D200" s="193"/>
      <c r="E200" s="193"/>
      <c r="F200" s="193">
        <f t="shared" si="5"/>
        <v>0</v>
      </c>
      <c r="G200" s="193">
        <f t="shared" si="6"/>
        <v>0</v>
      </c>
      <c r="H200" s="194">
        <f t="shared" si="7"/>
        <v>0</v>
      </c>
      <c r="I200" s="193"/>
      <c r="J200" s="195">
        <f t="shared" si="8"/>
        <v>0</v>
      </c>
      <c r="K200" s="139"/>
      <c r="L200" s="197"/>
      <c r="M200" s="198"/>
      <c r="N200" s="198"/>
      <c r="O200" s="139"/>
      <c r="P200" s="139"/>
      <c r="Q200" s="195"/>
      <c r="R200" s="141"/>
      <c r="S200" s="199">
        <f t="shared" si="9"/>
        <v>0</v>
      </c>
      <c r="T200" s="200" t="str">
        <f t="shared" si="10"/>
        <v/>
      </c>
      <c r="U200" s="200">
        <f t="shared" si="11"/>
        <v>0</v>
      </c>
      <c r="V200" s="203"/>
      <c r="W200" s="199">
        <f t="shared" ref="W200:X200" si="190">C200/100</f>
        <v>0</v>
      </c>
      <c r="X200" s="199">
        <f t="shared" si="190"/>
        <v>0</v>
      </c>
      <c r="Y200" s="199">
        <f t="shared" si="14"/>
        <v>0</v>
      </c>
      <c r="Z200" s="202">
        <f t="shared" si="15"/>
        <v>0</v>
      </c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62">
        <v>179.0</v>
      </c>
      <c r="B201" s="193"/>
      <c r="C201" s="193"/>
      <c r="D201" s="193"/>
      <c r="E201" s="193"/>
      <c r="F201" s="193">
        <f t="shared" si="5"/>
        <v>0</v>
      </c>
      <c r="G201" s="193">
        <f t="shared" si="6"/>
        <v>0</v>
      </c>
      <c r="H201" s="194">
        <f t="shared" si="7"/>
        <v>0</v>
      </c>
      <c r="I201" s="193"/>
      <c r="J201" s="195">
        <f t="shared" si="8"/>
        <v>0</v>
      </c>
      <c r="K201" s="139"/>
      <c r="L201" s="197"/>
      <c r="M201" s="198"/>
      <c r="N201" s="198"/>
      <c r="O201" s="139"/>
      <c r="P201" s="139"/>
      <c r="Q201" s="195"/>
      <c r="R201" s="141"/>
      <c r="S201" s="199">
        <f t="shared" si="9"/>
        <v>0</v>
      </c>
      <c r="T201" s="200" t="str">
        <f t="shared" si="10"/>
        <v/>
      </c>
      <c r="U201" s="200">
        <f t="shared" si="11"/>
        <v>0</v>
      </c>
      <c r="V201" s="203"/>
      <c r="W201" s="199">
        <f t="shared" ref="W201:X201" si="191">C201/100</f>
        <v>0</v>
      </c>
      <c r="X201" s="199">
        <f t="shared" si="191"/>
        <v>0</v>
      </c>
      <c r="Y201" s="199">
        <f t="shared" si="14"/>
        <v>0</v>
      </c>
      <c r="Z201" s="202">
        <f t="shared" si="15"/>
        <v>0</v>
      </c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62">
        <v>180.0</v>
      </c>
      <c r="B202" s="193"/>
      <c r="C202" s="193"/>
      <c r="D202" s="193"/>
      <c r="E202" s="193"/>
      <c r="F202" s="193">
        <f t="shared" si="5"/>
        <v>0</v>
      </c>
      <c r="G202" s="193">
        <f t="shared" si="6"/>
        <v>0</v>
      </c>
      <c r="H202" s="194">
        <f t="shared" si="7"/>
        <v>0</v>
      </c>
      <c r="I202" s="193"/>
      <c r="J202" s="195">
        <f t="shared" si="8"/>
        <v>0</v>
      </c>
      <c r="K202" s="139"/>
      <c r="L202" s="197"/>
      <c r="M202" s="198"/>
      <c r="N202" s="198"/>
      <c r="O202" s="139"/>
      <c r="P202" s="139"/>
      <c r="Q202" s="195"/>
      <c r="R202" s="141"/>
      <c r="S202" s="199">
        <f t="shared" si="9"/>
        <v>0</v>
      </c>
      <c r="T202" s="200" t="str">
        <f t="shared" si="10"/>
        <v/>
      </c>
      <c r="U202" s="200">
        <f t="shared" si="11"/>
        <v>0</v>
      </c>
      <c r="V202" s="203"/>
      <c r="W202" s="199">
        <f t="shared" ref="W202:X202" si="192">C202/100</f>
        <v>0</v>
      </c>
      <c r="X202" s="199">
        <f t="shared" si="192"/>
        <v>0</v>
      </c>
      <c r="Y202" s="199">
        <f t="shared" si="14"/>
        <v>0</v>
      </c>
      <c r="Z202" s="202">
        <f t="shared" si="15"/>
        <v>0</v>
      </c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62">
        <v>181.0</v>
      </c>
      <c r="B203" s="193"/>
      <c r="C203" s="193"/>
      <c r="D203" s="193"/>
      <c r="E203" s="193"/>
      <c r="F203" s="193">
        <f t="shared" si="5"/>
        <v>0</v>
      </c>
      <c r="G203" s="193">
        <f t="shared" si="6"/>
        <v>0</v>
      </c>
      <c r="H203" s="194">
        <f t="shared" si="7"/>
        <v>0</v>
      </c>
      <c r="I203" s="193"/>
      <c r="J203" s="195">
        <f t="shared" si="8"/>
        <v>0</v>
      </c>
      <c r="K203" s="139"/>
      <c r="L203" s="197"/>
      <c r="M203" s="198"/>
      <c r="N203" s="198"/>
      <c r="O203" s="139"/>
      <c r="P203" s="139"/>
      <c r="Q203" s="195"/>
      <c r="R203" s="141"/>
      <c r="S203" s="199">
        <f t="shared" si="9"/>
        <v>0</v>
      </c>
      <c r="T203" s="200" t="str">
        <f t="shared" si="10"/>
        <v/>
      </c>
      <c r="U203" s="200">
        <f t="shared" si="11"/>
        <v>0</v>
      </c>
      <c r="V203" s="203"/>
      <c r="W203" s="199">
        <f t="shared" ref="W203:X203" si="193">C203/100</f>
        <v>0</v>
      </c>
      <c r="X203" s="199">
        <f t="shared" si="193"/>
        <v>0</v>
      </c>
      <c r="Y203" s="199">
        <f t="shared" si="14"/>
        <v>0</v>
      </c>
      <c r="Z203" s="202">
        <f t="shared" si="15"/>
        <v>0</v>
      </c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62">
        <v>182.0</v>
      </c>
      <c r="B204" s="193"/>
      <c r="C204" s="193"/>
      <c r="D204" s="193"/>
      <c r="E204" s="193"/>
      <c r="F204" s="193">
        <f t="shared" si="5"/>
        <v>0</v>
      </c>
      <c r="G204" s="193">
        <f t="shared" si="6"/>
        <v>0</v>
      </c>
      <c r="H204" s="194">
        <f t="shared" si="7"/>
        <v>0</v>
      </c>
      <c r="I204" s="193"/>
      <c r="J204" s="195">
        <f t="shared" si="8"/>
        <v>0</v>
      </c>
      <c r="K204" s="139"/>
      <c r="L204" s="197"/>
      <c r="M204" s="198"/>
      <c r="N204" s="198"/>
      <c r="O204" s="139"/>
      <c r="P204" s="139"/>
      <c r="Q204" s="195"/>
      <c r="R204" s="141"/>
      <c r="S204" s="199">
        <f t="shared" si="9"/>
        <v>0</v>
      </c>
      <c r="T204" s="200" t="str">
        <f t="shared" si="10"/>
        <v/>
      </c>
      <c r="U204" s="200">
        <f t="shared" si="11"/>
        <v>0</v>
      </c>
      <c r="V204" s="203"/>
      <c r="W204" s="199">
        <f t="shared" ref="W204:X204" si="194">C204/100</f>
        <v>0</v>
      </c>
      <c r="X204" s="199">
        <f t="shared" si="194"/>
        <v>0</v>
      </c>
      <c r="Y204" s="199">
        <f t="shared" si="14"/>
        <v>0</v>
      </c>
      <c r="Z204" s="202">
        <f t="shared" si="15"/>
        <v>0</v>
      </c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62">
        <v>183.0</v>
      </c>
      <c r="B205" s="193"/>
      <c r="C205" s="193"/>
      <c r="D205" s="193"/>
      <c r="E205" s="193"/>
      <c r="F205" s="193">
        <f t="shared" si="5"/>
        <v>0</v>
      </c>
      <c r="G205" s="193">
        <f t="shared" si="6"/>
        <v>0</v>
      </c>
      <c r="H205" s="194">
        <f t="shared" si="7"/>
        <v>0</v>
      </c>
      <c r="I205" s="193"/>
      <c r="J205" s="195">
        <f t="shared" si="8"/>
        <v>0</v>
      </c>
      <c r="K205" s="139"/>
      <c r="L205" s="197"/>
      <c r="M205" s="198"/>
      <c r="N205" s="198"/>
      <c r="O205" s="139"/>
      <c r="P205" s="139"/>
      <c r="Q205" s="195"/>
      <c r="R205" s="141"/>
      <c r="S205" s="199">
        <f t="shared" si="9"/>
        <v>0</v>
      </c>
      <c r="T205" s="200" t="str">
        <f t="shared" si="10"/>
        <v/>
      </c>
      <c r="U205" s="200">
        <f t="shared" si="11"/>
        <v>0</v>
      </c>
      <c r="V205" s="203"/>
      <c r="W205" s="199">
        <f t="shared" ref="W205:X205" si="195">C205/100</f>
        <v>0</v>
      </c>
      <c r="X205" s="199">
        <f t="shared" si="195"/>
        <v>0</v>
      </c>
      <c r="Y205" s="199">
        <f t="shared" si="14"/>
        <v>0</v>
      </c>
      <c r="Z205" s="202">
        <f t="shared" si="15"/>
        <v>0</v>
      </c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62">
        <v>184.0</v>
      </c>
      <c r="B206" s="193"/>
      <c r="C206" s="193"/>
      <c r="D206" s="193"/>
      <c r="E206" s="193"/>
      <c r="F206" s="193">
        <f t="shared" si="5"/>
        <v>0</v>
      </c>
      <c r="G206" s="193">
        <f t="shared" si="6"/>
        <v>0</v>
      </c>
      <c r="H206" s="194">
        <f t="shared" si="7"/>
        <v>0</v>
      </c>
      <c r="I206" s="193"/>
      <c r="J206" s="195">
        <f t="shared" si="8"/>
        <v>0</v>
      </c>
      <c r="K206" s="139"/>
      <c r="L206" s="197"/>
      <c r="M206" s="198"/>
      <c r="N206" s="198"/>
      <c r="O206" s="139"/>
      <c r="P206" s="139"/>
      <c r="Q206" s="195"/>
      <c r="R206" s="141"/>
      <c r="S206" s="199">
        <f t="shared" si="9"/>
        <v>0</v>
      </c>
      <c r="T206" s="200" t="str">
        <f t="shared" si="10"/>
        <v/>
      </c>
      <c r="U206" s="200">
        <f t="shared" si="11"/>
        <v>0</v>
      </c>
      <c r="V206" s="203"/>
      <c r="W206" s="199">
        <f t="shared" ref="W206:X206" si="196">C206/100</f>
        <v>0</v>
      </c>
      <c r="X206" s="199">
        <f t="shared" si="196"/>
        <v>0</v>
      </c>
      <c r="Y206" s="199">
        <f t="shared" si="14"/>
        <v>0</v>
      </c>
      <c r="Z206" s="202">
        <f t="shared" si="15"/>
        <v>0</v>
      </c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62">
        <v>185.0</v>
      </c>
      <c r="B207" s="193"/>
      <c r="C207" s="193"/>
      <c r="D207" s="193"/>
      <c r="E207" s="193"/>
      <c r="F207" s="193">
        <f t="shared" si="5"/>
        <v>0</v>
      </c>
      <c r="G207" s="193">
        <f t="shared" si="6"/>
        <v>0</v>
      </c>
      <c r="H207" s="194">
        <f t="shared" si="7"/>
        <v>0</v>
      </c>
      <c r="I207" s="193"/>
      <c r="J207" s="195">
        <f t="shared" si="8"/>
        <v>0</v>
      </c>
      <c r="K207" s="139"/>
      <c r="L207" s="197"/>
      <c r="M207" s="198"/>
      <c r="N207" s="198"/>
      <c r="O207" s="139"/>
      <c r="P207" s="139"/>
      <c r="Q207" s="195"/>
      <c r="R207" s="141"/>
      <c r="S207" s="199">
        <f t="shared" si="9"/>
        <v>0</v>
      </c>
      <c r="T207" s="200" t="str">
        <f t="shared" si="10"/>
        <v/>
      </c>
      <c r="U207" s="200">
        <f t="shared" si="11"/>
        <v>0</v>
      </c>
      <c r="V207" s="203"/>
      <c r="W207" s="199">
        <f t="shared" ref="W207:X207" si="197">C207/100</f>
        <v>0</v>
      </c>
      <c r="X207" s="199">
        <f t="shared" si="197"/>
        <v>0</v>
      </c>
      <c r="Y207" s="199">
        <f t="shared" si="14"/>
        <v>0</v>
      </c>
      <c r="Z207" s="202">
        <f t="shared" si="15"/>
        <v>0</v>
      </c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62">
        <v>186.0</v>
      </c>
      <c r="B208" s="193"/>
      <c r="C208" s="193"/>
      <c r="D208" s="193"/>
      <c r="E208" s="193"/>
      <c r="F208" s="193">
        <f t="shared" si="5"/>
        <v>0</v>
      </c>
      <c r="G208" s="193">
        <f t="shared" si="6"/>
        <v>0</v>
      </c>
      <c r="H208" s="194">
        <f t="shared" si="7"/>
        <v>0</v>
      </c>
      <c r="I208" s="193"/>
      <c r="J208" s="195">
        <f t="shared" si="8"/>
        <v>0</v>
      </c>
      <c r="K208" s="139"/>
      <c r="L208" s="197"/>
      <c r="M208" s="198"/>
      <c r="N208" s="198"/>
      <c r="O208" s="139"/>
      <c r="P208" s="139"/>
      <c r="Q208" s="195"/>
      <c r="R208" s="141"/>
      <c r="S208" s="199">
        <f t="shared" si="9"/>
        <v>0</v>
      </c>
      <c r="T208" s="200" t="str">
        <f t="shared" si="10"/>
        <v/>
      </c>
      <c r="U208" s="200">
        <f t="shared" si="11"/>
        <v>0</v>
      </c>
      <c r="V208" s="203"/>
      <c r="W208" s="199">
        <f t="shared" ref="W208:X208" si="198">C208/100</f>
        <v>0</v>
      </c>
      <c r="X208" s="199">
        <f t="shared" si="198"/>
        <v>0</v>
      </c>
      <c r="Y208" s="199">
        <f t="shared" si="14"/>
        <v>0</v>
      </c>
      <c r="Z208" s="202">
        <f t="shared" si="15"/>
        <v>0</v>
      </c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62">
        <v>187.0</v>
      </c>
      <c r="B209" s="193"/>
      <c r="C209" s="193"/>
      <c r="D209" s="193"/>
      <c r="E209" s="193"/>
      <c r="F209" s="193">
        <f t="shared" si="5"/>
        <v>0</v>
      </c>
      <c r="G209" s="193">
        <f t="shared" si="6"/>
        <v>0</v>
      </c>
      <c r="H209" s="194">
        <f t="shared" si="7"/>
        <v>0</v>
      </c>
      <c r="I209" s="193"/>
      <c r="J209" s="195">
        <f t="shared" si="8"/>
        <v>0</v>
      </c>
      <c r="K209" s="139"/>
      <c r="L209" s="197"/>
      <c r="M209" s="198"/>
      <c r="N209" s="198"/>
      <c r="O209" s="139"/>
      <c r="P209" s="139"/>
      <c r="Q209" s="195"/>
      <c r="R209" s="141"/>
      <c r="S209" s="199">
        <f t="shared" si="9"/>
        <v>0</v>
      </c>
      <c r="T209" s="200" t="str">
        <f t="shared" si="10"/>
        <v/>
      </c>
      <c r="U209" s="200">
        <f t="shared" si="11"/>
        <v>0</v>
      </c>
      <c r="V209" s="203"/>
      <c r="W209" s="199">
        <f t="shared" ref="W209:X209" si="199">C209/100</f>
        <v>0</v>
      </c>
      <c r="X209" s="199">
        <f t="shared" si="199"/>
        <v>0</v>
      </c>
      <c r="Y209" s="199">
        <f t="shared" si="14"/>
        <v>0</v>
      </c>
      <c r="Z209" s="202">
        <f t="shared" si="15"/>
        <v>0</v>
      </c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62">
        <v>188.0</v>
      </c>
      <c r="B210" s="193"/>
      <c r="C210" s="193"/>
      <c r="D210" s="193"/>
      <c r="E210" s="193"/>
      <c r="F210" s="193">
        <f t="shared" si="5"/>
        <v>0</v>
      </c>
      <c r="G210" s="193">
        <f t="shared" si="6"/>
        <v>0</v>
      </c>
      <c r="H210" s="194">
        <f t="shared" si="7"/>
        <v>0</v>
      </c>
      <c r="I210" s="193"/>
      <c r="J210" s="195">
        <f t="shared" si="8"/>
        <v>0</v>
      </c>
      <c r="K210" s="139"/>
      <c r="L210" s="197"/>
      <c r="M210" s="198"/>
      <c r="N210" s="198"/>
      <c r="O210" s="139"/>
      <c r="P210" s="139"/>
      <c r="Q210" s="195"/>
      <c r="R210" s="141"/>
      <c r="S210" s="199">
        <f t="shared" si="9"/>
        <v>0</v>
      </c>
      <c r="T210" s="200" t="str">
        <f t="shared" si="10"/>
        <v/>
      </c>
      <c r="U210" s="200">
        <f t="shared" si="11"/>
        <v>0</v>
      </c>
      <c r="V210" s="203"/>
      <c r="W210" s="199">
        <f t="shared" ref="W210:X210" si="200">C210/100</f>
        <v>0</v>
      </c>
      <c r="X210" s="199">
        <f t="shared" si="200"/>
        <v>0</v>
      </c>
      <c r="Y210" s="199">
        <f t="shared" si="14"/>
        <v>0</v>
      </c>
      <c r="Z210" s="202">
        <f t="shared" si="15"/>
        <v>0</v>
      </c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7.0" hidden="1" customHeight="1">
      <c r="A211" s="162">
        <v>189.0</v>
      </c>
      <c r="B211" s="193"/>
      <c r="C211" s="193"/>
      <c r="D211" s="193"/>
      <c r="E211" s="193"/>
      <c r="F211" s="193">
        <f t="shared" si="5"/>
        <v>0</v>
      </c>
      <c r="G211" s="193">
        <f t="shared" si="6"/>
        <v>0</v>
      </c>
      <c r="H211" s="194">
        <f t="shared" si="7"/>
        <v>0</v>
      </c>
      <c r="I211" s="193"/>
      <c r="J211" s="195">
        <f t="shared" si="8"/>
        <v>0</v>
      </c>
      <c r="K211" s="139"/>
      <c r="L211" s="197"/>
      <c r="M211" s="198"/>
      <c r="N211" s="198"/>
      <c r="O211" s="139"/>
      <c r="P211" s="139"/>
      <c r="Q211" s="195"/>
      <c r="R211" s="141"/>
      <c r="S211" s="199">
        <f t="shared" si="9"/>
        <v>0</v>
      </c>
      <c r="T211" s="200" t="str">
        <f t="shared" si="10"/>
        <v/>
      </c>
      <c r="U211" s="200">
        <f t="shared" si="11"/>
        <v>0</v>
      </c>
      <c r="V211" s="203"/>
      <c r="W211" s="199">
        <f t="shared" ref="W211:X211" si="201">C211/100</f>
        <v>0</v>
      </c>
      <c r="X211" s="199">
        <f t="shared" si="201"/>
        <v>0</v>
      </c>
      <c r="Y211" s="199">
        <f t="shared" si="14"/>
        <v>0</v>
      </c>
      <c r="Z211" s="202">
        <f t="shared" si="15"/>
        <v>0</v>
      </c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27.0" hidden="1" customHeight="1">
      <c r="A212" s="162">
        <v>190.0</v>
      </c>
      <c r="B212" s="193"/>
      <c r="C212" s="193"/>
      <c r="D212" s="193"/>
      <c r="E212" s="193"/>
      <c r="F212" s="193">
        <f t="shared" si="5"/>
        <v>0</v>
      </c>
      <c r="G212" s="193">
        <f t="shared" si="6"/>
        <v>0</v>
      </c>
      <c r="H212" s="194">
        <f t="shared" si="7"/>
        <v>0</v>
      </c>
      <c r="I212" s="193"/>
      <c r="J212" s="195">
        <f t="shared" si="8"/>
        <v>0</v>
      </c>
      <c r="K212" s="139"/>
      <c r="L212" s="197"/>
      <c r="M212" s="198"/>
      <c r="N212" s="198"/>
      <c r="O212" s="139"/>
      <c r="P212" s="139"/>
      <c r="Q212" s="195"/>
      <c r="R212" s="141"/>
      <c r="S212" s="199">
        <f t="shared" si="9"/>
        <v>0</v>
      </c>
      <c r="T212" s="200" t="str">
        <f t="shared" si="10"/>
        <v/>
      </c>
      <c r="U212" s="200">
        <f t="shared" si="11"/>
        <v>0</v>
      </c>
      <c r="V212" s="203"/>
      <c r="W212" s="199">
        <f t="shared" ref="W212:X212" si="202">C212/100</f>
        <v>0</v>
      </c>
      <c r="X212" s="199">
        <f t="shared" si="202"/>
        <v>0</v>
      </c>
      <c r="Y212" s="199">
        <f t="shared" si="14"/>
        <v>0</v>
      </c>
      <c r="Z212" s="202">
        <f t="shared" si="15"/>
        <v>0</v>
      </c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27.0" hidden="1" customHeight="1">
      <c r="A213" s="162">
        <v>191.0</v>
      </c>
      <c r="B213" s="193"/>
      <c r="C213" s="193"/>
      <c r="D213" s="193"/>
      <c r="E213" s="193"/>
      <c r="F213" s="193">
        <f t="shared" si="5"/>
        <v>0</v>
      </c>
      <c r="G213" s="193">
        <f t="shared" si="6"/>
        <v>0</v>
      </c>
      <c r="H213" s="194">
        <f t="shared" si="7"/>
        <v>0</v>
      </c>
      <c r="I213" s="193"/>
      <c r="J213" s="195">
        <f t="shared" si="8"/>
        <v>0</v>
      </c>
      <c r="K213" s="139"/>
      <c r="L213" s="197"/>
      <c r="M213" s="198"/>
      <c r="N213" s="198"/>
      <c r="O213" s="139"/>
      <c r="P213" s="139"/>
      <c r="Q213" s="195"/>
      <c r="R213" s="141"/>
      <c r="S213" s="199">
        <f t="shared" si="9"/>
        <v>0</v>
      </c>
      <c r="T213" s="200" t="str">
        <f t="shared" si="10"/>
        <v/>
      </c>
      <c r="U213" s="200">
        <f t="shared" si="11"/>
        <v>0</v>
      </c>
      <c r="V213" s="203"/>
      <c r="W213" s="199">
        <f t="shared" ref="W213:X213" si="203">C213/100</f>
        <v>0</v>
      </c>
      <c r="X213" s="199">
        <f t="shared" si="203"/>
        <v>0</v>
      </c>
      <c r="Y213" s="199">
        <f t="shared" si="14"/>
        <v>0</v>
      </c>
      <c r="Z213" s="202">
        <f t="shared" si="15"/>
        <v>0</v>
      </c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7.0" hidden="1" customHeight="1">
      <c r="A214" s="162">
        <v>192.0</v>
      </c>
      <c r="B214" s="193"/>
      <c r="C214" s="193"/>
      <c r="D214" s="193"/>
      <c r="E214" s="193"/>
      <c r="F214" s="193">
        <f t="shared" si="5"/>
        <v>0</v>
      </c>
      <c r="G214" s="193">
        <f t="shared" si="6"/>
        <v>0</v>
      </c>
      <c r="H214" s="194">
        <f t="shared" si="7"/>
        <v>0</v>
      </c>
      <c r="I214" s="193"/>
      <c r="J214" s="195">
        <f t="shared" si="8"/>
        <v>0</v>
      </c>
      <c r="K214" s="139"/>
      <c r="L214" s="197"/>
      <c r="M214" s="198"/>
      <c r="N214" s="198"/>
      <c r="O214" s="139"/>
      <c r="P214" s="139"/>
      <c r="Q214" s="195"/>
      <c r="R214" s="141"/>
      <c r="S214" s="199">
        <f t="shared" si="9"/>
        <v>0</v>
      </c>
      <c r="T214" s="200" t="str">
        <f t="shared" si="10"/>
        <v/>
      </c>
      <c r="U214" s="200">
        <f t="shared" si="11"/>
        <v>0</v>
      </c>
      <c r="V214" s="203"/>
      <c r="W214" s="199">
        <f t="shared" ref="W214:X214" si="204">C214/100</f>
        <v>0</v>
      </c>
      <c r="X214" s="199">
        <f t="shared" si="204"/>
        <v>0</v>
      </c>
      <c r="Y214" s="199">
        <f t="shared" si="14"/>
        <v>0</v>
      </c>
      <c r="Z214" s="202">
        <f t="shared" si="15"/>
        <v>0</v>
      </c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27.0" hidden="1" customHeight="1">
      <c r="A215" s="162">
        <v>193.0</v>
      </c>
      <c r="B215" s="193"/>
      <c r="C215" s="193"/>
      <c r="D215" s="193"/>
      <c r="E215" s="193"/>
      <c r="F215" s="193">
        <f t="shared" si="5"/>
        <v>0</v>
      </c>
      <c r="G215" s="193">
        <f t="shared" si="6"/>
        <v>0</v>
      </c>
      <c r="H215" s="194">
        <f t="shared" si="7"/>
        <v>0</v>
      </c>
      <c r="I215" s="193"/>
      <c r="J215" s="195">
        <f t="shared" si="8"/>
        <v>0</v>
      </c>
      <c r="K215" s="139"/>
      <c r="L215" s="197"/>
      <c r="M215" s="198"/>
      <c r="N215" s="198"/>
      <c r="O215" s="139"/>
      <c r="P215" s="139"/>
      <c r="Q215" s="195"/>
      <c r="R215" s="141"/>
      <c r="S215" s="199">
        <f t="shared" si="9"/>
        <v>0</v>
      </c>
      <c r="T215" s="200" t="str">
        <f t="shared" si="10"/>
        <v/>
      </c>
      <c r="U215" s="200">
        <f t="shared" si="11"/>
        <v>0</v>
      </c>
      <c r="V215" s="203"/>
      <c r="W215" s="199">
        <f t="shared" ref="W215:X215" si="205">C215/100</f>
        <v>0</v>
      </c>
      <c r="X215" s="199">
        <f t="shared" si="205"/>
        <v>0</v>
      </c>
      <c r="Y215" s="199">
        <f t="shared" si="14"/>
        <v>0</v>
      </c>
      <c r="Z215" s="202">
        <f t="shared" si="15"/>
        <v>0</v>
      </c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7.0" hidden="1" customHeight="1">
      <c r="A216" s="162">
        <v>194.0</v>
      </c>
      <c r="B216" s="193"/>
      <c r="C216" s="193"/>
      <c r="D216" s="193"/>
      <c r="E216" s="193"/>
      <c r="F216" s="193">
        <f t="shared" si="5"/>
        <v>0</v>
      </c>
      <c r="G216" s="193">
        <f t="shared" si="6"/>
        <v>0</v>
      </c>
      <c r="H216" s="194">
        <f t="shared" si="7"/>
        <v>0</v>
      </c>
      <c r="I216" s="193"/>
      <c r="J216" s="195">
        <f t="shared" si="8"/>
        <v>0</v>
      </c>
      <c r="K216" s="139"/>
      <c r="L216" s="197"/>
      <c r="M216" s="198"/>
      <c r="N216" s="198"/>
      <c r="O216" s="139"/>
      <c r="P216" s="139"/>
      <c r="Q216" s="195"/>
      <c r="R216" s="141"/>
      <c r="S216" s="199">
        <f t="shared" si="9"/>
        <v>0</v>
      </c>
      <c r="T216" s="200" t="str">
        <f t="shared" si="10"/>
        <v/>
      </c>
      <c r="U216" s="200">
        <f t="shared" si="11"/>
        <v>0</v>
      </c>
      <c r="V216" s="203"/>
      <c r="W216" s="199">
        <f t="shared" ref="W216:X216" si="206">C216/100</f>
        <v>0</v>
      </c>
      <c r="X216" s="199">
        <f t="shared" si="206"/>
        <v>0</v>
      </c>
      <c r="Y216" s="199">
        <f t="shared" si="14"/>
        <v>0</v>
      </c>
      <c r="Z216" s="202">
        <f t="shared" si="15"/>
        <v>0</v>
      </c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27.0" hidden="1" customHeight="1">
      <c r="A217" s="162">
        <v>195.0</v>
      </c>
      <c r="B217" s="193"/>
      <c r="C217" s="193"/>
      <c r="D217" s="193"/>
      <c r="E217" s="193"/>
      <c r="F217" s="193">
        <f t="shared" si="5"/>
        <v>0</v>
      </c>
      <c r="G217" s="193">
        <f t="shared" si="6"/>
        <v>0</v>
      </c>
      <c r="H217" s="194">
        <f t="shared" si="7"/>
        <v>0</v>
      </c>
      <c r="I217" s="193"/>
      <c r="J217" s="195">
        <f t="shared" si="8"/>
        <v>0</v>
      </c>
      <c r="K217" s="139"/>
      <c r="L217" s="197"/>
      <c r="M217" s="198"/>
      <c r="N217" s="198"/>
      <c r="O217" s="139"/>
      <c r="P217" s="139"/>
      <c r="Q217" s="195"/>
      <c r="R217" s="141"/>
      <c r="S217" s="199">
        <f t="shared" si="9"/>
        <v>0</v>
      </c>
      <c r="T217" s="200" t="str">
        <f t="shared" si="10"/>
        <v/>
      </c>
      <c r="U217" s="200">
        <f t="shared" si="11"/>
        <v>0</v>
      </c>
      <c r="V217" s="203"/>
      <c r="W217" s="199">
        <f t="shared" ref="W217:X217" si="207">C217/100</f>
        <v>0</v>
      </c>
      <c r="X217" s="199">
        <f t="shared" si="207"/>
        <v>0</v>
      </c>
      <c r="Y217" s="199">
        <f t="shared" si="14"/>
        <v>0</v>
      </c>
      <c r="Z217" s="202">
        <f t="shared" si="15"/>
        <v>0</v>
      </c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7.0" hidden="1" customHeight="1">
      <c r="A218" s="162">
        <v>196.0</v>
      </c>
      <c r="B218" s="193"/>
      <c r="C218" s="193"/>
      <c r="D218" s="193"/>
      <c r="E218" s="193"/>
      <c r="F218" s="193">
        <f t="shared" si="5"/>
        <v>0</v>
      </c>
      <c r="G218" s="193">
        <f t="shared" si="6"/>
        <v>0</v>
      </c>
      <c r="H218" s="194">
        <f t="shared" si="7"/>
        <v>0</v>
      </c>
      <c r="I218" s="193"/>
      <c r="J218" s="195">
        <f t="shared" si="8"/>
        <v>0</v>
      </c>
      <c r="K218" s="139"/>
      <c r="L218" s="197"/>
      <c r="M218" s="198"/>
      <c r="N218" s="198"/>
      <c r="O218" s="139"/>
      <c r="P218" s="139"/>
      <c r="Q218" s="195"/>
      <c r="R218" s="141"/>
      <c r="S218" s="199">
        <f t="shared" si="9"/>
        <v>0</v>
      </c>
      <c r="T218" s="200" t="str">
        <f t="shared" si="10"/>
        <v/>
      </c>
      <c r="U218" s="200">
        <f t="shared" si="11"/>
        <v>0</v>
      </c>
      <c r="V218" s="203"/>
      <c r="W218" s="199">
        <f t="shared" ref="W218:X218" si="208">C218/100</f>
        <v>0</v>
      </c>
      <c r="X218" s="199">
        <f t="shared" si="208"/>
        <v>0</v>
      </c>
      <c r="Y218" s="199">
        <f t="shared" si="14"/>
        <v>0</v>
      </c>
      <c r="Z218" s="202">
        <f t="shared" si="15"/>
        <v>0</v>
      </c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</row>
    <row r="219" ht="27.0" hidden="1" customHeight="1">
      <c r="A219" s="162">
        <v>197.0</v>
      </c>
      <c r="B219" s="193"/>
      <c r="C219" s="193"/>
      <c r="D219" s="193"/>
      <c r="E219" s="193"/>
      <c r="F219" s="193">
        <f t="shared" si="5"/>
        <v>0</v>
      </c>
      <c r="G219" s="193">
        <f t="shared" si="6"/>
        <v>0</v>
      </c>
      <c r="H219" s="194">
        <f t="shared" si="7"/>
        <v>0</v>
      </c>
      <c r="I219" s="193"/>
      <c r="J219" s="195">
        <f t="shared" si="8"/>
        <v>0</v>
      </c>
      <c r="K219" s="139"/>
      <c r="L219" s="197"/>
      <c r="M219" s="198"/>
      <c r="N219" s="198"/>
      <c r="O219" s="139"/>
      <c r="P219" s="139"/>
      <c r="Q219" s="195"/>
      <c r="R219" s="141"/>
      <c r="S219" s="199">
        <f t="shared" si="9"/>
        <v>0</v>
      </c>
      <c r="T219" s="200" t="str">
        <f t="shared" si="10"/>
        <v/>
      </c>
      <c r="U219" s="200">
        <f t="shared" si="11"/>
        <v>0</v>
      </c>
      <c r="V219" s="203"/>
      <c r="W219" s="199">
        <f t="shared" ref="W219:X219" si="209">C219/100</f>
        <v>0</v>
      </c>
      <c r="X219" s="199">
        <f t="shared" si="209"/>
        <v>0</v>
      </c>
      <c r="Y219" s="199">
        <f t="shared" si="14"/>
        <v>0</v>
      </c>
      <c r="Z219" s="202">
        <f t="shared" si="15"/>
        <v>0</v>
      </c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</row>
    <row r="220" ht="27.0" hidden="1" customHeight="1">
      <c r="A220" s="162">
        <v>198.0</v>
      </c>
      <c r="B220" s="193"/>
      <c r="C220" s="193"/>
      <c r="D220" s="193"/>
      <c r="E220" s="193"/>
      <c r="F220" s="193">
        <f t="shared" si="5"/>
        <v>0</v>
      </c>
      <c r="G220" s="193">
        <f t="shared" si="6"/>
        <v>0</v>
      </c>
      <c r="H220" s="194">
        <f t="shared" si="7"/>
        <v>0</v>
      </c>
      <c r="I220" s="193"/>
      <c r="J220" s="195">
        <f t="shared" si="8"/>
        <v>0</v>
      </c>
      <c r="K220" s="139"/>
      <c r="L220" s="197"/>
      <c r="M220" s="198"/>
      <c r="N220" s="198"/>
      <c r="O220" s="139"/>
      <c r="P220" s="139"/>
      <c r="Q220" s="195"/>
      <c r="R220" s="141"/>
      <c r="S220" s="199">
        <f t="shared" si="9"/>
        <v>0</v>
      </c>
      <c r="T220" s="200" t="str">
        <f t="shared" si="10"/>
        <v/>
      </c>
      <c r="U220" s="200">
        <f t="shared" si="11"/>
        <v>0</v>
      </c>
      <c r="V220" s="203"/>
      <c r="W220" s="199">
        <f t="shared" ref="W220:X220" si="210">C220/100</f>
        <v>0</v>
      </c>
      <c r="X220" s="199">
        <f t="shared" si="210"/>
        <v>0</v>
      </c>
      <c r="Y220" s="199">
        <f t="shared" si="14"/>
        <v>0</v>
      </c>
      <c r="Z220" s="202">
        <f t="shared" si="15"/>
        <v>0</v>
      </c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</row>
    <row r="221" ht="27.0" hidden="1" customHeight="1">
      <c r="A221" s="162">
        <v>199.0</v>
      </c>
      <c r="B221" s="193"/>
      <c r="C221" s="193"/>
      <c r="D221" s="193"/>
      <c r="E221" s="193"/>
      <c r="F221" s="193">
        <f t="shared" si="5"/>
        <v>0</v>
      </c>
      <c r="G221" s="193">
        <f t="shared" si="6"/>
        <v>0</v>
      </c>
      <c r="H221" s="194">
        <f t="shared" si="7"/>
        <v>0</v>
      </c>
      <c r="I221" s="193"/>
      <c r="J221" s="195">
        <f t="shared" si="8"/>
        <v>0</v>
      </c>
      <c r="K221" s="139"/>
      <c r="L221" s="197"/>
      <c r="M221" s="198"/>
      <c r="N221" s="198"/>
      <c r="O221" s="139"/>
      <c r="P221" s="139"/>
      <c r="Q221" s="195"/>
      <c r="R221" s="141"/>
      <c r="S221" s="199">
        <f t="shared" si="9"/>
        <v>0</v>
      </c>
      <c r="T221" s="200" t="str">
        <f t="shared" si="10"/>
        <v/>
      </c>
      <c r="U221" s="200">
        <f t="shared" si="11"/>
        <v>0</v>
      </c>
      <c r="V221" s="203"/>
      <c r="W221" s="199">
        <f t="shared" ref="W221:X221" si="211">C221/100</f>
        <v>0</v>
      </c>
      <c r="X221" s="199">
        <f t="shared" si="211"/>
        <v>0</v>
      </c>
      <c r="Y221" s="199">
        <f t="shared" si="14"/>
        <v>0</v>
      </c>
      <c r="Z221" s="202">
        <f t="shared" si="15"/>
        <v>0</v>
      </c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</row>
    <row r="222" ht="27.0" hidden="1" customHeight="1">
      <c r="A222" s="162">
        <v>200.0</v>
      </c>
      <c r="B222" s="193"/>
      <c r="C222" s="193"/>
      <c r="D222" s="193"/>
      <c r="E222" s="193"/>
      <c r="F222" s="193">
        <f t="shared" si="5"/>
        <v>0</v>
      </c>
      <c r="G222" s="193">
        <f t="shared" si="6"/>
        <v>0</v>
      </c>
      <c r="H222" s="194">
        <f t="shared" si="7"/>
        <v>0</v>
      </c>
      <c r="I222" s="193"/>
      <c r="J222" s="195">
        <f t="shared" si="8"/>
        <v>0</v>
      </c>
      <c r="K222" s="139"/>
      <c r="L222" s="197"/>
      <c r="M222" s="198"/>
      <c r="N222" s="198"/>
      <c r="O222" s="139"/>
      <c r="P222" s="139"/>
      <c r="Q222" s="195"/>
      <c r="R222" s="141"/>
      <c r="S222" s="199">
        <f t="shared" si="9"/>
        <v>0</v>
      </c>
      <c r="T222" s="200" t="str">
        <f t="shared" si="10"/>
        <v/>
      </c>
      <c r="U222" s="200">
        <f t="shared" si="11"/>
        <v>0</v>
      </c>
      <c r="V222" s="203"/>
      <c r="W222" s="199">
        <f t="shared" ref="W222:X222" si="212">C222/100</f>
        <v>0</v>
      </c>
      <c r="X222" s="199">
        <f t="shared" si="212"/>
        <v>0</v>
      </c>
      <c r="Y222" s="199">
        <f t="shared" si="14"/>
        <v>0</v>
      </c>
      <c r="Z222" s="202">
        <f t="shared" si="15"/>
        <v>0</v>
      </c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</row>
    <row r="223" ht="27.0" hidden="1" customHeight="1">
      <c r="A223" s="162">
        <v>201.0</v>
      </c>
      <c r="B223" s="193"/>
      <c r="C223" s="193"/>
      <c r="D223" s="193"/>
      <c r="E223" s="193"/>
      <c r="F223" s="193">
        <f t="shared" si="5"/>
        <v>0</v>
      </c>
      <c r="G223" s="193">
        <f t="shared" si="6"/>
        <v>0</v>
      </c>
      <c r="H223" s="194">
        <f t="shared" si="7"/>
        <v>0</v>
      </c>
      <c r="I223" s="193"/>
      <c r="J223" s="195">
        <f t="shared" si="8"/>
        <v>0</v>
      </c>
      <c r="K223" s="139"/>
      <c r="L223" s="197"/>
      <c r="M223" s="198"/>
      <c r="N223" s="198"/>
      <c r="O223" s="139"/>
      <c r="P223" s="139"/>
      <c r="Q223" s="195"/>
      <c r="R223" s="141"/>
      <c r="S223" s="199">
        <f t="shared" si="9"/>
        <v>0</v>
      </c>
      <c r="T223" s="200" t="str">
        <f t="shared" si="10"/>
        <v/>
      </c>
      <c r="U223" s="200">
        <f t="shared" si="11"/>
        <v>0</v>
      </c>
      <c r="V223" s="203"/>
      <c r="W223" s="199">
        <f t="shared" ref="W223:X223" si="213">C223/100</f>
        <v>0</v>
      </c>
      <c r="X223" s="199">
        <f t="shared" si="213"/>
        <v>0</v>
      </c>
      <c r="Y223" s="199">
        <f t="shared" si="14"/>
        <v>0</v>
      </c>
      <c r="Z223" s="202">
        <f t="shared" si="15"/>
        <v>0</v>
      </c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</row>
    <row r="224" ht="27.0" hidden="1" customHeight="1">
      <c r="A224" s="162">
        <v>202.0</v>
      </c>
      <c r="B224" s="193"/>
      <c r="C224" s="193"/>
      <c r="D224" s="193"/>
      <c r="E224" s="193"/>
      <c r="F224" s="193">
        <f t="shared" si="5"/>
        <v>0</v>
      </c>
      <c r="G224" s="193">
        <f t="shared" si="6"/>
        <v>0</v>
      </c>
      <c r="H224" s="194">
        <f t="shared" si="7"/>
        <v>0</v>
      </c>
      <c r="I224" s="193"/>
      <c r="J224" s="195">
        <f t="shared" si="8"/>
        <v>0</v>
      </c>
      <c r="K224" s="139"/>
      <c r="L224" s="197"/>
      <c r="M224" s="198"/>
      <c r="N224" s="198"/>
      <c r="O224" s="139"/>
      <c r="P224" s="139"/>
      <c r="Q224" s="195"/>
      <c r="R224" s="141"/>
      <c r="S224" s="199">
        <f t="shared" si="9"/>
        <v>0</v>
      </c>
      <c r="T224" s="200" t="str">
        <f t="shared" si="10"/>
        <v/>
      </c>
      <c r="U224" s="200">
        <f t="shared" si="11"/>
        <v>0</v>
      </c>
      <c r="V224" s="203"/>
      <c r="W224" s="199">
        <f t="shared" ref="W224:X224" si="214">C224/100</f>
        <v>0</v>
      </c>
      <c r="X224" s="199">
        <f t="shared" si="214"/>
        <v>0</v>
      </c>
      <c r="Y224" s="199">
        <f t="shared" si="14"/>
        <v>0</v>
      </c>
      <c r="Z224" s="202">
        <f t="shared" si="15"/>
        <v>0</v>
      </c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</row>
    <row r="225" ht="27.0" hidden="1" customHeight="1">
      <c r="A225" s="162">
        <v>203.0</v>
      </c>
      <c r="B225" s="193"/>
      <c r="C225" s="193"/>
      <c r="D225" s="193"/>
      <c r="E225" s="193"/>
      <c r="F225" s="193">
        <f t="shared" si="5"/>
        <v>0</v>
      </c>
      <c r="G225" s="193">
        <f t="shared" si="6"/>
        <v>0</v>
      </c>
      <c r="H225" s="194">
        <f t="shared" si="7"/>
        <v>0</v>
      </c>
      <c r="I225" s="193"/>
      <c r="J225" s="195">
        <f t="shared" si="8"/>
        <v>0</v>
      </c>
      <c r="K225" s="139"/>
      <c r="L225" s="197"/>
      <c r="M225" s="198"/>
      <c r="N225" s="198"/>
      <c r="O225" s="139"/>
      <c r="P225" s="139"/>
      <c r="Q225" s="195"/>
      <c r="R225" s="141"/>
      <c r="S225" s="199">
        <f t="shared" si="9"/>
        <v>0</v>
      </c>
      <c r="T225" s="200" t="str">
        <f t="shared" si="10"/>
        <v/>
      </c>
      <c r="U225" s="200">
        <f t="shared" si="11"/>
        <v>0</v>
      </c>
      <c r="V225" s="203"/>
      <c r="W225" s="199">
        <f t="shared" ref="W225:X225" si="215">C225/100</f>
        <v>0</v>
      </c>
      <c r="X225" s="199">
        <f t="shared" si="215"/>
        <v>0</v>
      </c>
      <c r="Y225" s="199">
        <f t="shared" si="14"/>
        <v>0</v>
      </c>
      <c r="Z225" s="202">
        <f t="shared" si="15"/>
        <v>0</v>
      </c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</row>
    <row r="226" ht="27.0" hidden="1" customHeight="1">
      <c r="A226" s="162">
        <v>204.0</v>
      </c>
      <c r="B226" s="193"/>
      <c r="C226" s="193"/>
      <c r="D226" s="193"/>
      <c r="E226" s="193"/>
      <c r="F226" s="193">
        <f t="shared" si="5"/>
        <v>0</v>
      </c>
      <c r="G226" s="193">
        <f t="shared" si="6"/>
        <v>0</v>
      </c>
      <c r="H226" s="194">
        <f t="shared" si="7"/>
        <v>0</v>
      </c>
      <c r="I226" s="193"/>
      <c r="J226" s="195">
        <f t="shared" si="8"/>
        <v>0</v>
      </c>
      <c r="K226" s="139"/>
      <c r="L226" s="197"/>
      <c r="M226" s="198"/>
      <c r="N226" s="198"/>
      <c r="O226" s="139"/>
      <c r="P226" s="139"/>
      <c r="Q226" s="195"/>
      <c r="R226" s="141"/>
      <c r="S226" s="199">
        <f t="shared" si="9"/>
        <v>0</v>
      </c>
      <c r="T226" s="200" t="str">
        <f t="shared" si="10"/>
        <v/>
      </c>
      <c r="U226" s="200">
        <f t="shared" si="11"/>
        <v>0</v>
      </c>
      <c r="V226" s="203"/>
      <c r="W226" s="199">
        <f t="shared" ref="W226:X226" si="216">C226/100</f>
        <v>0</v>
      </c>
      <c r="X226" s="199">
        <f t="shared" si="216"/>
        <v>0</v>
      </c>
      <c r="Y226" s="199">
        <f t="shared" si="14"/>
        <v>0</v>
      </c>
      <c r="Z226" s="202">
        <f t="shared" si="15"/>
        <v>0</v>
      </c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</row>
    <row r="227" ht="27.0" hidden="1" customHeight="1">
      <c r="A227" s="162">
        <v>205.0</v>
      </c>
      <c r="B227" s="193"/>
      <c r="C227" s="193"/>
      <c r="D227" s="193"/>
      <c r="E227" s="193"/>
      <c r="F227" s="193">
        <f t="shared" si="5"/>
        <v>0</v>
      </c>
      <c r="G227" s="193">
        <f t="shared" si="6"/>
        <v>0</v>
      </c>
      <c r="H227" s="194">
        <f t="shared" si="7"/>
        <v>0</v>
      </c>
      <c r="I227" s="193"/>
      <c r="J227" s="195">
        <f t="shared" si="8"/>
        <v>0</v>
      </c>
      <c r="K227" s="139"/>
      <c r="L227" s="197"/>
      <c r="M227" s="198"/>
      <c r="N227" s="198"/>
      <c r="O227" s="139"/>
      <c r="P227" s="139"/>
      <c r="Q227" s="195"/>
      <c r="R227" s="141"/>
      <c r="S227" s="199">
        <f t="shared" si="9"/>
        <v>0</v>
      </c>
      <c r="T227" s="200" t="str">
        <f t="shared" si="10"/>
        <v/>
      </c>
      <c r="U227" s="200">
        <f t="shared" si="11"/>
        <v>0</v>
      </c>
      <c r="V227" s="203"/>
      <c r="W227" s="199">
        <f t="shared" ref="W227:X227" si="217">C227/100</f>
        <v>0</v>
      </c>
      <c r="X227" s="199">
        <f t="shared" si="217"/>
        <v>0</v>
      </c>
      <c r="Y227" s="199">
        <f t="shared" si="14"/>
        <v>0</v>
      </c>
      <c r="Z227" s="202">
        <f t="shared" si="15"/>
        <v>0</v>
      </c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</row>
    <row r="228" ht="27.0" hidden="1" customHeight="1">
      <c r="A228" s="162">
        <v>206.0</v>
      </c>
      <c r="B228" s="193"/>
      <c r="C228" s="193"/>
      <c r="D228" s="193"/>
      <c r="E228" s="193"/>
      <c r="F228" s="193">
        <f t="shared" si="5"/>
        <v>0</v>
      </c>
      <c r="G228" s="193">
        <f t="shared" si="6"/>
        <v>0</v>
      </c>
      <c r="H228" s="194">
        <f t="shared" si="7"/>
        <v>0</v>
      </c>
      <c r="I228" s="193"/>
      <c r="J228" s="195">
        <f t="shared" si="8"/>
        <v>0</v>
      </c>
      <c r="K228" s="139"/>
      <c r="L228" s="197"/>
      <c r="M228" s="198"/>
      <c r="N228" s="198"/>
      <c r="O228" s="139"/>
      <c r="P228" s="139"/>
      <c r="Q228" s="195"/>
      <c r="R228" s="141"/>
      <c r="S228" s="199">
        <f t="shared" si="9"/>
        <v>0</v>
      </c>
      <c r="T228" s="200" t="str">
        <f t="shared" si="10"/>
        <v/>
      </c>
      <c r="U228" s="200">
        <f t="shared" si="11"/>
        <v>0</v>
      </c>
      <c r="V228" s="203"/>
      <c r="W228" s="199">
        <f t="shared" ref="W228:X228" si="218">C228/100</f>
        <v>0</v>
      </c>
      <c r="X228" s="199">
        <f t="shared" si="218"/>
        <v>0</v>
      </c>
      <c r="Y228" s="199">
        <f t="shared" si="14"/>
        <v>0</v>
      </c>
      <c r="Z228" s="202">
        <f t="shared" si="15"/>
        <v>0</v>
      </c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7.0" hidden="1" customHeight="1">
      <c r="A229" s="162">
        <v>207.0</v>
      </c>
      <c r="B229" s="193"/>
      <c r="C229" s="193"/>
      <c r="D229" s="193"/>
      <c r="E229" s="193"/>
      <c r="F229" s="193">
        <f t="shared" si="5"/>
        <v>0</v>
      </c>
      <c r="G229" s="193">
        <f t="shared" si="6"/>
        <v>0</v>
      </c>
      <c r="H229" s="194">
        <f t="shared" si="7"/>
        <v>0</v>
      </c>
      <c r="I229" s="193"/>
      <c r="J229" s="195">
        <f t="shared" si="8"/>
        <v>0</v>
      </c>
      <c r="K229" s="139"/>
      <c r="L229" s="197"/>
      <c r="M229" s="198"/>
      <c r="N229" s="198"/>
      <c r="O229" s="139"/>
      <c r="P229" s="139"/>
      <c r="Q229" s="195"/>
      <c r="R229" s="141"/>
      <c r="S229" s="199">
        <f t="shared" si="9"/>
        <v>0</v>
      </c>
      <c r="T229" s="200" t="str">
        <f t="shared" si="10"/>
        <v/>
      </c>
      <c r="U229" s="200">
        <f t="shared" si="11"/>
        <v>0</v>
      </c>
      <c r="V229" s="203"/>
      <c r="W229" s="199">
        <f t="shared" ref="W229:X229" si="219">C229/100</f>
        <v>0</v>
      </c>
      <c r="X229" s="199">
        <f t="shared" si="219"/>
        <v>0</v>
      </c>
      <c r="Y229" s="199">
        <f t="shared" si="14"/>
        <v>0</v>
      </c>
      <c r="Z229" s="202">
        <f t="shared" si="15"/>
        <v>0</v>
      </c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7.0" hidden="1" customHeight="1">
      <c r="A230" s="162">
        <v>208.0</v>
      </c>
      <c r="B230" s="193"/>
      <c r="C230" s="193"/>
      <c r="D230" s="193"/>
      <c r="E230" s="193"/>
      <c r="F230" s="193">
        <f t="shared" si="5"/>
        <v>0</v>
      </c>
      <c r="G230" s="193">
        <f t="shared" si="6"/>
        <v>0</v>
      </c>
      <c r="H230" s="194">
        <f t="shared" si="7"/>
        <v>0</v>
      </c>
      <c r="I230" s="193"/>
      <c r="J230" s="195">
        <f t="shared" si="8"/>
        <v>0</v>
      </c>
      <c r="K230" s="139"/>
      <c r="L230" s="197"/>
      <c r="M230" s="198"/>
      <c r="N230" s="198"/>
      <c r="O230" s="139"/>
      <c r="P230" s="139"/>
      <c r="Q230" s="195"/>
      <c r="R230" s="141"/>
      <c r="S230" s="199">
        <f t="shared" si="9"/>
        <v>0</v>
      </c>
      <c r="T230" s="200" t="str">
        <f t="shared" si="10"/>
        <v/>
      </c>
      <c r="U230" s="200">
        <f t="shared" si="11"/>
        <v>0</v>
      </c>
      <c r="V230" s="203"/>
      <c r="W230" s="199">
        <f t="shared" ref="W230:X230" si="220">C230/100</f>
        <v>0</v>
      </c>
      <c r="X230" s="199">
        <f t="shared" si="220"/>
        <v>0</v>
      </c>
      <c r="Y230" s="199">
        <f t="shared" si="14"/>
        <v>0</v>
      </c>
      <c r="Z230" s="202">
        <f t="shared" si="15"/>
        <v>0</v>
      </c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27.0" hidden="1" customHeight="1">
      <c r="A231" s="162">
        <v>209.0</v>
      </c>
      <c r="B231" s="193"/>
      <c r="C231" s="193"/>
      <c r="D231" s="193"/>
      <c r="E231" s="193"/>
      <c r="F231" s="193">
        <f t="shared" si="5"/>
        <v>0</v>
      </c>
      <c r="G231" s="193">
        <f t="shared" si="6"/>
        <v>0</v>
      </c>
      <c r="H231" s="194">
        <f t="shared" si="7"/>
        <v>0</v>
      </c>
      <c r="I231" s="193"/>
      <c r="J231" s="195">
        <f t="shared" si="8"/>
        <v>0</v>
      </c>
      <c r="K231" s="139"/>
      <c r="L231" s="197"/>
      <c r="M231" s="198"/>
      <c r="N231" s="198"/>
      <c r="O231" s="139"/>
      <c r="P231" s="139"/>
      <c r="Q231" s="195"/>
      <c r="R231" s="141"/>
      <c r="S231" s="199">
        <f t="shared" si="9"/>
        <v>0</v>
      </c>
      <c r="T231" s="200" t="str">
        <f t="shared" si="10"/>
        <v/>
      </c>
      <c r="U231" s="200">
        <f t="shared" si="11"/>
        <v>0</v>
      </c>
      <c r="V231" s="203"/>
      <c r="W231" s="199">
        <f t="shared" ref="W231:X231" si="221">C231/100</f>
        <v>0</v>
      </c>
      <c r="X231" s="199">
        <f t="shared" si="221"/>
        <v>0</v>
      </c>
      <c r="Y231" s="199">
        <f t="shared" si="14"/>
        <v>0</v>
      </c>
      <c r="Z231" s="202">
        <f t="shared" si="15"/>
        <v>0</v>
      </c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7.0" hidden="1" customHeight="1">
      <c r="A232" s="162">
        <v>210.0</v>
      </c>
      <c r="B232" s="193"/>
      <c r="C232" s="193"/>
      <c r="D232" s="193"/>
      <c r="E232" s="193"/>
      <c r="F232" s="193">
        <f t="shared" si="5"/>
        <v>0</v>
      </c>
      <c r="G232" s="193">
        <f t="shared" si="6"/>
        <v>0</v>
      </c>
      <c r="H232" s="194">
        <f t="shared" si="7"/>
        <v>0</v>
      </c>
      <c r="I232" s="193"/>
      <c r="J232" s="195">
        <f t="shared" si="8"/>
        <v>0</v>
      </c>
      <c r="K232" s="139"/>
      <c r="L232" s="197"/>
      <c r="M232" s="198"/>
      <c r="N232" s="198"/>
      <c r="O232" s="139"/>
      <c r="P232" s="139"/>
      <c r="Q232" s="195"/>
      <c r="R232" s="141"/>
      <c r="S232" s="199">
        <f t="shared" si="9"/>
        <v>0</v>
      </c>
      <c r="T232" s="200" t="str">
        <f t="shared" si="10"/>
        <v/>
      </c>
      <c r="U232" s="200">
        <f t="shared" si="11"/>
        <v>0</v>
      </c>
      <c r="V232" s="203"/>
      <c r="W232" s="199">
        <f t="shared" ref="W232:X232" si="222">C232/100</f>
        <v>0</v>
      </c>
      <c r="X232" s="199">
        <f t="shared" si="222"/>
        <v>0</v>
      </c>
      <c r="Y232" s="199">
        <f t="shared" si="14"/>
        <v>0</v>
      </c>
      <c r="Z232" s="202">
        <f t="shared" si="15"/>
        <v>0</v>
      </c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7.0" hidden="1" customHeight="1">
      <c r="A233" s="162">
        <v>211.0</v>
      </c>
      <c r="B233" s="193"/>
      <c r="C233" s="193"/>
      <c r="D233" s="193"/>
      <c r="E233" s="193"/>
      <c r="F233" s="193">
        <f t="shared" si="5"/>
        <v>0</v>
      </c>
      <c r="G233" s="193">
        <f t="shared" si="6"/>
        <v>0</v>
      </c>
      <c r="H233" s="194">
        <f t="shared" si="7"/>
        <v>0</v>
      </c>
      <c r="I233" s="193"/>
      <c r="J233" s="195">
        <f t="shared" si="8"/>
        <v>0</v>
      </c>
      <c r="K233" s="139"/>
      <c r="L233" s="197"/>
      <c r="M233" s="198"/>
      <c r="N233" s="198"/>
      <c r="O233" s="139"/>
      <c r="P233" s="139"/>
      <c r="Q233" s="195"/>
      <c r="R233" s="141"/>
      <c r="S233" s="199">
        <f t="shared" si="9"/>
        <v>0</v>
      </c>
      <c r="T233" s="200" t="str">
        <f t="shared" si="10"/>
        <v/>
      </c>
      <c r="U233" s="200">
        <f t="shared" si="11"/>
        <v>0</v>
      </c>
      <c r="V233" s="203"/>
      <c r="W233" s="199">
        <f t="shared" ref="W233:X233" si="223">C233/100</f>
        <v>0</v>
      </c>
      <c r="X233" s="199">
        <f t="shared" si="223"/>
        <v>0</v>
      </c>
      <c r="Y233" s="199">
        <f t="shared" si="14"/>
        <v>0</v>
      </c>
      <c r="Z233" s="202">
        <f t="shared" si="15"/>
        <v>0</v>
      </c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7.0" hidden="1" customHeight="1">
      <c r="A234" s="162">
        <v>212.0</v>
      </c>
      <c r="B234" s="193"/>
      <c r="C234" s="193"/>
      <c r="D234" s="193"/>
      <c r="E234" s="193"/>
      <c r="F234" s="193">
        <f t="shared" si="5"/>
        <v>0</v>
      </c>
      <c r="G234" s="193">
        <f t="shared" si="6"/>
        <v>0</v>
      </c>
      <c r="H234" s="194">
        <f t="shared" si="7"/>
        <v>0</v>
      </c>
      <c r="I234" s="193"/>
      <c r="J234" s="195">
        <f t="shared" si="8"/>
        <v>0</v>
      </c>
      <c r="K234" s="139"/>
      <c r="L234" s="197"/>
      <c r="M234" s="198"/>
      <c r="N234" s="198"/>
      <c r="O234" s="139"/>
      <c r="P234" s="139"/>
      <c r="Q234" s="195"/>
      <c r="R234" s="141"/>
      <c r="S234" s="199">
        <f t="shared" si="9"/>
        <v>0</v>
      </c>
      <c r="T234" s="200" t="str">
        <f t="shared" si="10"/>
        <v/>
      </c>
      <c r="U234" s="200">
        <f t="shared" si="11"/>
        <v>0</v>
      </c>
      <c r="V234" s="203"/>
      <c r="W234" s="199">
        <f t="shared" ref="W234:X234" si="224">C234/100</f>
        <v>0</v>
      </c>
      <c r="X234" s="199">
        <f t="shared" si="224"/>
        <v>0</v>
      </c>
      <c r="Y234" s="199">
        <f t="shared" si="14"/>
        <v>0</v>
      </c>
      <c r="Z234" s="202">
        <f t="shared" si="15"/>
        <v>0</v>
      </c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7.0" hidden="1" customHeight="1">
      <c r="A235" s="162">
        <v>213.0</v>
      </c>
      <c r="B235" s="193"/>
      <c r="C235" s="193"/>
      <c r="D235" s="193"/>
      <c r="E235" s="193"/>
      <c r="F235" s="193">
        <f t="shared" si="5"/>
        <v>0</v>
      </c>
      <c r="G235" s="193">
        <f t="shared" si="6"/>
        <v>0</v>
      </c>
      <c r="H235" s="194">
        <f t="shared" si="7"/>
        <v>0</v>
      </c>
      <c r="I235" s="193"/>
      <c r="J235" s="195">
        <f t="shared" si="8"/>
        <v>0</v>
      </c>
      <c r="K235" s="139"/>
      <c r="L235" s="197"/>
      <c r="M235" s="198"/>
      <c r="N235" s="198"/>
      <c r="O235" s="139"/>
      <c r="P235" s="139"/>
      <c r="Q235" s="195"/>
      <c r="R235" s="141"/>
      <c r="S235" s="199">
        <f t="shared" si="9"/>
        <v>0</v>
      </c>
      <c r="T235" s="200" t="str">
        <f t="shared" si="10"/>
        <v/>
      </c>
      <c r="U235" s="200">
        <f t="shared" si="11"/>
        <v>0</v>
      </c>
      <c r="V235" s="203"/>
      <c r="W235" s="199">
        <f t="shared" ref="W235:X235" si="225">C235/100</f>
        <v>0</v>
      </c>
      <c r="X235" s="199">
        <f t="shared" si="225"/>
        <v>0</v>
      </c>
      <c r="Y235" s="199">
        <f t="shared" si="14"/>
        <v>0</v>
      </c>
      <c r="Z235" s="202">
        <f t="shared" si="15"/>
        <v>0</v>
      </c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7.0" hidden="1" customHeight="1">
      <c r="A236" s="162">
        <v>214.0</v>
      </c>
      <c r="B236" s="193"/>
      <c r="C236" s="193"/>
      <c r="D236" s="193"/>
      <c r="E236" s="193"/>
      <c r="F236" s="193">
        <f t="shared" si="5"/>
        <v>0</v>
      </c>
      <c r="G236" s="193">
        <f t="shared" si="6"/>
        <v>0</v>
      </c>
      <c r="H236" s="194">
        <f t="shared" si="7"/>
        <v>0</v>
      </c>
      <c r="I236" s="193"/>
      <c r="J236" s="195">
        <f t="shared" si="8"/>
        <v>0</v>
      </c>
      <c r="K236" s="139"/>
      <c r="L236" s="197"/>
      <c r="M236" s="198"/>
      <c r="N236" s="198"/>
      <c r="O236" s="139"/>
      <c r="P236" s="139"/>
      <c r="Q236" s="195"/>
      <c r="R236" s="141"/>
      <c r="S236" s="199">
        <f t="shared" si="9"/>
        <v>0</v>
      </c>
      <c r="T236" s="200" t="str">
        <f t="shared" si="10"/>
        <v/>
      </c>
      <c r="U236" s="200">
        <f t="shared" si="11"/>
        <v>0</v>
      </c>
      <c r="V236" s="203"/>
      <c r="W236" s="199">
        <f t="shared" ref="W236:X236" si="226">C236/100</f>
        <v>0</v>
      </c>
      <c r="X236" s="199">
        <f t="shared" si="226"/>
        <v>0</v>
      </c>
      <c r="Y236" s="199">
        <f t="shared" si="14"/>
        <v>0</v>
      </c>
      <c r="Z236" s="202">
        <f t="shared" si="15"/>
        <v>0</v>
      </c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7.0" hidden="1" customHeight="1">
      <c r="A237" s="162">
        <v>215.0</v>
      </c>
      <c r="B237" s="193"/>
      <c r="C237" s="193"/>
      <c r="D237" s="193"/>
      <c r="E237" s="193"/>
      <c r="F237" s="193">
        <f t="shared" si="5"/>
        <v>0</v>
      </c>
      <c r="G237" s="193">
        <f t="shared" si="6"/>
        <v>0</v>
      </c>
      <c r="H237" s="194">
        <f t="shared" si="7"/>
        <v>0</v>
      </c>
      <c r="I237" s="193"/>
      <c r="J237" s="195">
        <f t="shared" si="8"/>
        <v>0</v>
      </c>
      <c r="K237" s="139"/>
      <c r="L237" s="197"/>
      <c r="M237" s="198"/>
      <c r="N237" s="198"/>
      <c r="O237" s="139"/>
      <c r="P237" s="139"/>
      <c r="Q237" s="195"/>
      <c r="R237" s="141"/>
      <c r="S237" s="199">
        <f t="shared" si="9"/>
        <v>0</v>
      </c>
      <c r="T237" s="200" t="str">
        <f t="shared" si="10"/>
        <v/>
      </c>
      <c r="U237" s="200">
        <f t="shared" si="11"/>
        <v>0</v>
      </c>
      <c r="V237" s="203"/>
      <c r="W237" s="199">
        <f t="shared" ref="W237:X237" si="227">C237/100</f>
        <v>0</v>
      </c>
      <c r="X237" s="199">
        <f t="shared" si="227"/>
        <v>0</v>
      </c>
      <c r="Y237" s="199">
        <f t="shared" si="14"/>
        <v>0</v>
      </c>
      <c r="Z237" s="202">
        <f t="shared" si="15"/>
        <v>0</v>
      </c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7.0" hidden="1" customHeight="1">
      <c r="A238" s="162">
        <v>216.0</v>
      </c>
      <c r="B238" s="193"/>
      <c r="C238" s="193"/>
      <c r="D238" s="193"/>
      <c r="E238" s="193"/>
      <c r="F238" s="193">
        <f t="shared" si="5"/>
        <v>0</v>
      </c>
      <c r="G238" s="193">
        <f t="shared" si="6"/>
        <v>0</v>
      </c>
      <c r="H238" s="194">
        <f t="shared" si="7"/>
        <v>0</v>
      </c>
      <c r="I238" s="193"/>
      <c r="J238" s="195">
        <f t="shared" si="8"/>
        <v>0</v>
      </c>
      <c r="K238" s="139"/>
      <c r="L238" s="197"/>
      <c r="M238" s="198"/>
      <c r="N238" s="198"/>
      <c r="O238" s="139"/>
      <c r="P238" s="139"/>
      <c r="Q238" s="195"/>
      <c r="R238" s="141"/>
      <c r="S238" s="199">
        <f t="shared" si="9"/>
        <v>0</v>
      </c>
      <c r="T238" s="200" t="str">
        <f t="shared" si="10"/>
        <v/>
      </c>
      <c r="U238" s="200">
        <f t="shared" si="11"/>
        <v>0</v>
      </c>
      <c r="V238" s="203"/>
      <c r="W238" s="199">
        <f t="shared" ref="W238:X238" si="228">C238/100</f>
        <v>0</v>
      </c>
      <c r="X238" s="199">
        <f t="shared" si="228"/>
        <v>0</v>
      </c>
      <c r="Y238" s="199">
        <f t="shared" si="14"/>
        <v>0</v>
      </c>
      <c r="Z238" s="202">
        <f t="shared" si="15"/>
        <v>0</v>
      </c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7.0" hidden="1" customHeight="1">
      <c r="A239" s="162">
        <v>217.0</v>
      </c>
      <c r="B239" s="193"/>
      <c r="C239" s="193"/>
      <c r="D239" s="193"/>
      <c r="E239" s="193"/>
      <c r="F239" s="193">
        <f t="shared" si="5"/>
        <v>0</v>
      </c>
      <c r="G239" s="193">
        <f t="shared" si="6"/>
        <v>0</v>
      </c>
      <c r="H239" s="194">
        <f t="shared" si="7"/>
        <v>0</v>
      </c>
      <c r="I239" s="193"/>
      <c r="J239" s="195">
        <f t="shared" si="8"/>
        <v>0</v>
      </c>
      <c r="K239" s="139"/>
      <c r="L239" s="197"/>
      <c r="M239" s="198"/>
      <c r="N239" s="198"/>
      <c r="O239" s="139"/>
      <c r="P239" s="139"/>
      <c r="Q239" s="195"/>
      <c r="R239" s="141"/>
      <c r="S239" s="199">
        <f t="shared" si="9"/>
        <v>0</v>
      </c>
      <c r="T239" s="200" t="str">
        <f t="shared" si="10"/>
        <v/>
      </c>
      <c r="U239" s="200">
        <f t="shared" si="11"/>
        <v>0</v>
      </c>
      <c r="V239" s="203"/>
      <c r="W239" s="199">
        <f t="shared" ref="W239:X239" si="229">C239/100</f>
        <v>0</v>
      </c>
      <c r="X239" s="199">
        <f t="shared" si="229"/>
        <v>0</v>
      </c>
      <c r="Y239" s="199">
        <f t="shared" si="14"/>
        <v>0</v>
      </c>
      <c r="Z239" s="202">
        <f t="shared" si="15"/>
        <v>0</v>
      </c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7.0" customHeight="1">
      <c r="A240" s="162"/>
      <c r="B240" s="178"/>
      <c r="C240" s="178"/>
      <c r="D240" s="178"/>
      <c r="E240" s="178"/>
      <c r="F240" s="178"/>
      <c r="G240" s="178"/>
      <c r="H240" s="181"/>
      <c r="I240" s="162"/>
      <c r="J240" s="204">
        <f>+Q298</f>
        <v>147.6</v>
      </c>
      <c r="K240" s="139"/>
      <c r="L240" s="139"/>
      <c r="M240" s="139"/>
      <c r="N240" s="139"/>
      <c r="O240" s="139"/>
      <c r="P240" s="139"/>
      <c r="Q240" s="139"/>
      <c r="R240" s="205"/>
      <c r="S240" s="199">
        <f t="shared" si="9"/>
        <v>0</v>
      </c>
      <c r="T240" s="200" t="str">
        <f t="shared" si="10"/>
        <v/>
      </c>
      <c r="U240" s="200">
        <f t="shared" si="11"/>
        <v>0</v>
      </c>
      <c r="V240" s="203"/>
      <c r="W240" s="199">
        <f t="shared" ref="W240:X240" si="230">C240/100</f>
        <v>0</v>
      </c>
      <c r="X240" s="199">
        <f t="shared" si="230"/>
        <v>0</v>
      </c>
      <c r="Y240" s="199">
        <f t="shared" si="14"/>
        <v>0</v>
      </c>
      <c r="Z240" s="202">
        <f t="shared" si="15"/>
        <v>0</v>
      </c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7.0" customHeight="1">
      <c r="A241" s="162"/>
      <c r="B241" s="206"/>
      <c r="C241" s="206"/>
      <c r="D241" s="206"/>
      <c r="E241" s="206"/>
      <c r="F241" s="206"/>
      <c r="G241" s="206"/>
      <c r="H241" s="207"/>
      <c r="I241" s="208">
        <f>SUM(I30:I239)</f>
        <v>43</v>
      </c>
      <c r="J241" s="209">
        <f>SUM(J30:J240)</f>
        <v>42128.06568</v>
      </c>
      <c r="K241" s="210"/>
      <c r="L241" s="210"/>
      <c r="M241" s="210"/>
      <c r="N241" s="210"/>
      <c r="O241" s="210"/>
      <c r="P241" s="210"/>
      <c r="Q241" s="210"/>
      <c r="R241" s="141"/>
      <c r="S241" s="210">
        <f>SUMIFS($T$30:$T$239,$S$30:$S$239,"&gt;=3")</f>
        <v>26</v>
      </c>
      <c r="T241" s="210">
        <f t="shared" ref="T241:U241" si="231">SUM(T30:T239)</f>
        <v>43</v>
      </c>
      <c r="U241" s="210">
        <f t="shared" si="231"/>
        <v>770.61</v>
      </c>
      <c r="V241" s="210"/>
      <c r="W241" s="210"/>
      <c r="X241" s="210"/>
      <c r="Y241" s="210"/>
      <c r="Z241" s="211">
        <f>SUM(Z30:Z240)</f>
        <v>1477.383453</v>
      </c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</row>
    <row r="242" ht="29.25" customHeight="1">
      <c r="A242" s="139"/>
      <c r="B242" s="139"/>
      <c r="C242" s="139"/>
      <c r="D242" s="139"/>
      <c r="E242" s="139"/>
      <c r="F242" s="139"/>
      <c r="G242" s="139"/>
      <c r="H242" s="140"/>
      <c r="I242" s="139"/>
      <c r="J242" s="139"/>
      <c r="K242" s="139"/>
      <c r="L242" s="139"/>
      <c r="M242" s="139"/>
      <c r="N242" s="139"/>
      <c r="O242" s="139"/>
      <c r="P242" s="139"/>
      <c r="Q242" s="139"/>
      <c r="R242" s="141"/>
      <c r="S242" s="203"/>
      <c r="T242" s="139">
        <f>+T241-S241</f>
        <v>17</v>
      </c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29.2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205"/>
      <c r="S243" s="139"/>
      <c r="T243" s="139" t="s">
        <v>48</v>
      </c>
      <c r="U243" s="139" t="s">
        <v>68</v>
      </c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29.2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 t="s">
        <v>31</v>
      </c>
      <c r="T244" s="212">
        <f>SUMIFS($J$30:$J$239,$S$30:$S$239,"&gt;=3")</f>
        <v>40721.96567</v>
      </c>
      <c r="U244" s="213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29.25" customHeight="1">
      <c r="A245" s="139" t="s">
        <v>32</v>
      </c>
      <c r="B245" s="139"/>
      <c r="C245" s="139"/>
      <c r="D245" s="139" t="s">
        <v>33</v>
      </c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 t="s">
        <v>34</v>
      </c>
      <c r="T245" s="212">
        <f>J241-T244</f>
        <v>1406.100008</v>
      </c>
      <c r="U245" s="213">
        <f>+SUMIFS($U$30:$U$239,$S$30:$S$239,"&gt;=3")</f>
        <v>741.79</v>
      </c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29.2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205"/>
      <c r="S246" s="139"/>
      <c r="T246" s="214">
        <f>+I241</f>
        <v>43</v>
      </c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39.0" customHeight="1">
      <c r="A247" s="178"/>
      <c r="B247" s="162" t="s">
        <v>12</v>
      </c>
      <c r="C247" s="179" t="s">
        <v>69</v>
      </c>
      <c r="D247" s="52"/>
      <c r="E247" s="53"/>
      <c r="F247" s="180"/>
      <c r="G247" s="180"/>
      <c r="H247" s="181" t="s">
        <v>14</v>
      </c>
      <c r="I247" s="162" t="s">
        <v>15</v>
      </c>
      <c r="J247" s="162" t="s">
        <v>16</v>
      </c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27.0" customHeight="1">
      <c r="A248" s="155">
        <v>1.0</v>
      </c>
      <c r="B248" s="215" t="s">
        <v>70</v>
      </c>
      <c r="C248" s="215">
        <v>84.0</v>
      </c>
      <c r="D248" s="215">
        <v>206.0</v>
      </c>
      <c r="E248" s="215">
        <v>177.0</v>
      </c>
      <c r="F248" s="215">
        <f t="shared" ref="F248:F254" si="232">1-VALUE(IF(RIGHT(B248, 1)="%", RIGHT(B248, 3), 0))</f>
        <v>0.8</v>
      </c>
      <c r="G248" s="215">
        <f t="shared" ref="G248:G254" si="233">+Q248*C248/100*D248/100*E248/100</f>
        <v>0</v>
      </c>
      <c r="H248" s="216">
        <f t="shared" ref="H248:H254" si="234">IF(F248=0, G248, F248*G248)</f>
        <v>0</v>
      </c>
      <c r="I248" s="215">
        <v>1.0</v>
      </c>
      <c r="J248" s="217">
        <f t="shared" ref="J248:J254" si="235">+H248*I248</f>
        <v>0</v>
      </c>
      <c r="K248" s="139"/>
      <c r="L248" s="178">
        <f t="shared" ref="L248:L254" si="236">D248*25.4/1000</f>
        <v>5.2324</v>
      </c>
      <c r="M248" s="162">
        <f t="shared" ref="M248:M252" si="237">+I248</f>
        <v>1</v>
      </c>
      <c r="N248" s="162">
        <f t="shared" ref="N248:N252" si="238">M248*L248</f>
        <v>5.2324</v>
      </c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27.0" customHeight="1">
      <c r="A249" s="155">
        <v>2.0</v>
      </c>
      <c r="B249" s="215" t="s">
        <v>70</v>
      </c>
      <c r="C249" s="215">
        <v>81.0</v>
      </c>
      <c r="D249" s="215">
        <v>184.0</v>
      </c>
      <c r="E249" s="215">
        <v>187.0</v>
      </c>
      <c r="F249" s="215">
        <f t="shared" si="232"/>
        <v>0.8</v>
      </c>
      <c r="G249" s="215">
        <f t="shared" si="233"/>
        <v>0</v>
      </c>
      <c r="H249" s="216">
        <f t="shared" si="234"/>
        <v>0</v>
      </c>
      <c r="I249" s="215">
        <v>1.0</v>
      </c>
      <c r="J249" s="217">
        <f t="shared" si="235"/>
        <v>0</v>
      </c>
      <c r="K249" s="139"/>
      <c r="L249" s="178">
        <f t="shared" si="236"/>
        <v>4.6736</v>
      </c>
      <c r="M249" s="162">
        <f t="shared" si="237"/>
        <v>1</v>
      </c>
      <c r="N249" s="162">
        <f t="shared" si="238"/>
        <v>4.6736</v>
      </c>
      <c r="O249" s="139"/>
      <c r="P249" s="139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27.0" customHeight="1">
      <c r="A250" s="155">
        <v>3.0</v>
      </c>
      <c r="B250" s="218" t="s">
        <v>71</v>
      </c>
      <c r="C250" s="218">
        <v>48.0</v>
      </c>
      <c r="D250" s="218">
        <v>195.0</v>
      </c>
      <c r="E250" s="218">
        <v>204.0</v>
      </c>
      <c r="F250" s="218">
        <f t="shared" si="232"/>
        <v>0.8</v>
      </c>
      <c r="G250" s="218">
        <f t="shared" si="233"/>
        <v>0</v>
      </c>
      <c r="H250" s="219">
        <f t="shared" si="234"/>
        <v>0</v>
      </c>
      <c r="I250" s="218">
        <v>1.0</v>
      </c>
      <c r="J250" s="217">
        <f t="shared" si="235"/>
        <v>0</v>
      </c>
      <c r="K250" s="139"/>
      <c r="L250" s="178">
        <f t="shared" si="236"/>
        <v>4.953</v>
      </c>
      <c r="M250" s="162">
        <f t="shared" si="237"/>
        <v>1</v>
      </c>
      <c r="N250" s="162">
        <f t="shared" si="238"/>
        <v>4.953</v>
      </c>
      <c r="O250" s="139"/>
      <c r="P250" s="139"/>
      <c r="Q250" s="139"/>
      <c r="R250" s="139"/>
      <c r="S250" s="220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27.0" customHeight="1">
      <c r="A251" s="155">
        <v>4.0</v>
      </c>
      <c r="B251" s="218" t="s">
        <v>72</v>
      </c>
      <c r="C251" s="218">
        <v>88.0</v>
      </c>
      <c r="D251" s="218">
        <v>202.0</v>
      </c>
      <c r="E251" s="218">
        <v>186.0</v>
      </c>
      <c r="F251" s="218">
        <f t="shared" si="232"/>
        <v>1</v>
      </c>
      <c r="G251" s="218">
        <f t="shared" si="233"/>
        <v>0</v>
      </c>
      <c r="H251" s="219">
        <f t="shared" si="234"/>
        <v>0</v>
      </c>
      <c r="I251" s="218">
        <v>1.0</v>
      </c>
      <c r="J251" s="217">
        <f t="shared" si="235"/>
        <v>0</v>
      </c>
      <c r="K251" s="139"/>
      <c r="L251" s="178">
        <f t="shared" si="236"/>
        <v>5.1308</v>
      </c>
      <c r="M251" s="162">
        <f t="shared" si="237"/>
        <v>1</v>
      </c>
      <c r="N251" s="162">
        <f t="shared" si="238"/>
        <v>5.1308</v>
      </c>
      <c r="O251" s="139"/>
      <c r="P251" s="139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27.0" customHeight="1">
      <c r="A252" s="155">
        <v>5.0</v>
      </c>
      <c r="B252" s="218" t="s">
        <v>70</v>
      </c>
      <c r="C252" s="218">
        <v>90.0</v>
      </c>
      <c r="D252" s="218">
        <v>195.0</v>
      </c>
      <c r="E252" s="218">
        <v>177.0</v>
      </c>
      <c r="F252" s="218">
        <f t="shared" si="232"/>
        <v>0.8</v>
      </c>
      <c r="G252" s="218">
        <f t="shared" si="233"/>
        <v>0</v>
      </c>
      <c r="H252" s="219">
        <f t="shared" si="234"/>
        <v>0</v>
      </c>
      <c r="I252" s="218">
        <v>1.0</v>
      </c>
      <c r="J252" s="217">
        <f t="shared" si="235"/>
        <v>0</v>
      </c>
      <c r="K252" s="139"/>
      <c r="L252" s="178">
        <f t="shared" si="236"/>
        <v>4.953</v>
      </c>
      <c r="M252" s="162">
        <f t="shared" si="237"/>
        <v>1</v>
      </c>
      <c r="N252" s="162">
        <f t="shared" si="238"/>
        <v>4.953</v>
      </c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27.0" customHeight="1">
      <c r="A253" s="155">
        <v>6.0</v>
      </c>
      <c r="B253" s="218" t="s">
        <v>73</v>
      </c>
      <c r="C253" s="218">
        <v>95.0</v>
      </c>
      <c r="D253" s="218">
        <v>195.0</v>
      </c>
      <c r="E253" s="218">
        <v>179.0</v>
      </c>
      <c r="F253" s="218">
        <f t="shared" si="232"/>
        <v>0.8</v>
      </c>
      <c r="G253" s="218">
        <f t="shared" si="233"/>
        <v>0</v>
      </c>
      <c r="H253" s="219">
        <f t="shared" si="234"/>
        <v>0</v>
      </c>
      <c r="I253" s="218">
        <v>1.0</v>
      </c>
      <c r="J253" s="217">
        <f t="shared" si="235"/>
        <v>0</v>
      </c>
      <c r="K253" s="139"/>
      <c r="L253" s="139">
        <f t="shared" si="236"/>
        <v>4.953</v>
      </c>
      <c r="M253" s="221"/>
      <c r="N253" s="221"/>
      <c r="O253" s="139"/>
      <c r="P253" s="139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27.0" customHeight="1">
      <c r="A254" s="155">
        <v>7.0</v>
      </c>
      <c r="B254" s="218" t="s">
        <v>74</v>
      </c>
      <c r="C254" s="218">
        <v>94.0</v>
      </c>
      <c r="D254" s="218">
        <v>191.0</v>
      </c>
      <c r="E254" s="218">
        <v>177.0</v>
      </c>
      <c r="F254" s="218">
        <f t="shared" si="232"/>
        <v>0.8</v>
      </c>
      <c r="G254" s="218">
        <f t="shared" si="233"/>
        <v>0</v>
      </c>
      <c r="H254" s="219">
        <f t="shared" si="234"/>
        <v>0</v>
      </c>
      <c r="I254" s="218">
        <v>1.0</v>
      </c>
      <c r="J254" s="217">
        <f t="shared" si="235"/>
        <v>0</v>
      </c>
      <c r="K254" s="139"/>
      <c r="L254" s="139">
        <f t="shared" si="236"/>
        <v>4.8514</v>
      </c>
      <c r="M254" s="221"/>
      <c r="N254" s="221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24.75" customHeight="1">
      <c r="A255" s="162"/>
      <c r="B255" s="197"/>
      <c r="C255" s="197"/>
      <c r="D255" s="197"/>
      <c r="E255" s="197"/>
      <c r="F255" s="197"/>
      <c r="G255" s="197"/>
      <c r="H255" s="222" t="s">
        <v>38</v>
      </c>
      <c r="I255" s="197"/>
      <c r="J255" s="223">
        <f>SUM(J248:J254)</f>
        <v>0</v>
      </c>
      <c r="K255" s="139"/>
      <c r="L255" s="139"/>
      <c r="M255" s="139"/>
      <c r="N255" s="139"/>
      <c r="O255" s="139"/>
      <c r="P255" s="139"/>
      <c r="Q255" s="139"/>
      <c r="R255" s="141"/>
      <c r="S255" s="22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8.75" customHeight="1">
      <c r="A256" s="176"/>
      <c r="B256" s="144"/>
      <c r="C256" s="144"/>
      <c r="D256" s="144"/>
      <c r="E256" s="144"/>
      <c r="F256" s="144"/>
      <c r="G256" s="144"/>
      <c r="H256" s="145"/>
      <c r="I256" s="144"/>
      <c r="J256" s="177"/>
      <c r="K256" s="139"/>
      <c r="L256" s="139"/>
      <c r="M256" s="139"/>
      <c r="N256" s="139"/>
      <c r="O256" s="139"/>
      <c r="P256" s="139"/>
      <c r="Q256" s="139"/>
      <c r="R256" s="141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224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 t="s">
        <v>39</v>
      </c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224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224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</row>
    <row r="261" ht="42.0" customHeight="1">
      <c r="A261" s="178"/>
      <c r="B261" s="162" t="s">
        <v>12</v>
      </c>
      <c r="C261" s="179" t="s">
        <v>75</v>
      </c>
      <c r="D261" s="52"/>
      <c r="E261" s="53"/>
      <c r="F261" s="225"/>
      <c r="G261" s="225"/>
      <c r="H261" s="181" t="s">
        <v>14</v>
      </c>
      <c r="I261" s="226" t="s">
        <v>15</v>
      </c>
      <c r="J261" s="162" t="s">
        <v>16</v>
      </c>
      <c r="K261" s="139"/>
      <c r="L261" s="139"/>
      <c r="M261" s="139"/>
      <c r="N261" s="139"/>
      <c r="O261" s="139"/>
      <c r="P261" s="139"/>
      <c r="Q261" s="139"/>
      <c r="R261" s="224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</row>
    <row r="262" ht="24.75" customHeight="1">
      <c r="A262" s="162">
        <v>1.0</v>
      </c>
      <c r="B262" s="183" t="s">
        <v>55</v>
      </c>
      <c r="C262" s="200"/>
      <c r="D262" s="200"/>
      <c r="E262" s="200"/>
      <c r="F262" s="200"/>
      <c r="G262" s="200"/>
      <c r="H262" s="227">
        <v>29.0</v>
      </c>
      <c r="I262" s="200">
        <v>1.0</v>
      </c>
      <c r="J262" s="195">
        <f t="shared" ref="J262:J296" si="239">+I262*H262</f>
        <v>29</v>
      </c>
      <c r="K262" s="178"/>
      <c r="L262" s="178"/>
      <c r="M262" s="178"/>
      <c r="N262" s="178"/>
      <c r="O262" s="178"/>
      <c r="P262" s="178"/>
      <c r="Q262" s="228"/>
      <c r="R262" s="224"/>
      <c r="S262" s="224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78"/>
      <c r="AH262" s="178"/>
      <c r="AI262" s="178"/>
      <c r="AJ262" s="178"/>
      <c r="AK262" s="178"/>
    </row>
    <row r="263" ht="24.75" customHeight="1">
      <c r="A263" s="162">
        <v>2.0</v>
      </c>
      <c r="B263" s="193" t="s">
        <v>55</v>
      </c>
      <c r="C263" s="200"/>
      <c r="D263" s="200"/>
      <c r="E263" s="200"/>
      <c r="F263" s="200"/>
      <c r="G263" s="200"/>
      <c r="H263" s="227">
        <v>29.0</v>
      </c>
      <c r="I263" s="200">
        <v>1.0</v>
      </c>
      <c r="J263" s="195">
        <f t="shared" si="239"/>
        <v>29</v>
      </c>
      <c r="K263" s="178"/>
      <c r="L263" s="178"/>
      <c r="M263" s="178"/>
      <c r="N263" s="178"/>
      <c r="O263" s="178"/>
      <c r="P263" s="178"/>
      <c r="Q263" s="228"/>
      <c r="R263" s="224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78"/>
      <c r="AH263" s="178"/>
      <c r="AI263" s="178"/>
      <c r="AJ263" s="178"/>
      <c r="AK263" s="178"/>
    </row>
    <row r="264" ht="24.75" customHeight="1">
      <c r="A264" s="162">
        <v>3.0</v>
      </c>
      <c r="B264" s="183" t="s">
        <v>55</v>
      </c>
      <c r="C264" s="200"/>
      <c r="D264" s="200"/>
      <c r="E264" s="200"/>
      <c r="F264" s="200"/>
      <c r="G264" s="200"/>
      <c r="H264" s="227">
        <v>37.0</v>
      </c>
      <c r="I264" s="200">
        <v>1.0</v>
      </c>
      <c r="J264" s="195">
        <f t="shared" si="239"/>
        <v>37</v>
      </c>
      <c r="K264" s="178"/>
      <c r="L264" s="178"/>
      <c r="M264" s="178"/>
      <c r="N264" s="178"/>
      <c r="O264" s="178"/>
      <c r="P264" s="178"/>
      <c r="Q264" s="228"/>
      <c r="R264" s="224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78"/>
      <c r="AH264" s="178"/>
      <c r="AI264" s="178"/>
      <c r="AJ264" s="178"/>
      <c r="AK264" s="178"/>
    </row>
    <row r="265" ht="24.75" customHeight="1">
      <c r="A265" s="162">
        <v>4.0</v>
      </c>
      <c r="B265" s="193" t="s">
        <v>55</v>
      </c>
      <c r="C265" s="200"/>
      <c r="D265" s="200"/>
      <c r="E265" s="200"/>
      <c r="F265" s="200"/>
      <c r="G265" s="200"/>
      <c r="H265" s="227">
        <v>34.0</v>
      </c>
      <c r="I265" s="200">
        <v>1.0</v>
      </c>
      <c r="J265" s="195">
        <f t="shared" si="239"/>
        <v>34</v>
      </c>
      <c r="K265" s="178"/>
      <c r="L265" s="178"/>
      <c r="M265" s="178"/>
      <c r="N265" s="178"/>
      <c r="O265" s="178"/>
      <c r="P265" s="178"/>
      <c r="Q265" s="228"/>
      <c r="R265" s="224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78"/>
      <c r="AH265" s="178"/>
      <c r="AI265" s="178"/>
      <c r="AJ265" s="178"/>
      <c r="AK265" s="178"/>
    </row>
    <row r="266" ht="24.75" customHeight="1">
      <c r="A266" s="162">
        <v>5.0</v>
      </c>
      <c r="B266" s="183" t="s">
        <v>56</v>
      </c>
      <c r="C266" s="200"/>
      <c r="D266" s="200"/>
      <c r="E266" s="200"/>
      <c r="F266" s="200"/>
      <c r="G266" s="200"/>
      <c r="H266" s="227">
        <v>14.0</v>
      </c>
      <c r="I266" s="200">
        <v>1.0</v>
      </c>
      <c r="J266" s="195">
        <f t="shared" si="239"/>
        <v>14</v>
      </c>
      <c r="K266" s="178"/>
      <c r="L266" s="178"/>
      <c r="M266" s="178"/>
      <c r="N266" s="178"/>
      <c r="O266" s="178"/>
      <c r="P266" s="178"/>
      <c r="Q266" s="228"/>
      <c r="R266" s="224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78"/>
      <c r="AH266" s="178"/>
      <c r="AI266" s="178"/>
      <c r="AJ266" s="178"/>
      <c r="AK266" s="178"/>
    </row>
    <row r="267" ht="24.75" customHeight="1">
      <c r="A267" s="162">
        <v>6.0</v>
      </c>
      <c r="B267" s="193" t="s">
        <v>56</v>
      </c>
      <c r="C267" s="200"/>
      <c r="D267" s="200"/>
      <c r="E267" s="200"/>
      <c r="F267" s="200"/>
      <c r="G267" s="200"/>
      <c r="H267" s="227">
        <v>42.0</v>
      </c>
      <c r="I267" s="200">
        <v>1.0</v>
      </c>
      <c r="J267" s="195">
        <f t="shared" si="239"/>
        <v>42</v>
      </c>
      <c r="K267" s="178"/>
      <c r="L267" s="178"/>
      <c r="M267" s="178"/>
      <c r="N267" s="178"/>
      <c r="O267" s="178"/>
      <c r="P267" s="178"/>
      <c r="Q267" s="228"/>
      <c r="R267" s="224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78"/>
      <c r="AH267" s="178"/>
      <c r="AI267" s="178"/>
      <c r="AJ267" s="178"/>
      <c r="AK267" s="178"/>
    </row>
    <row r="268" ht="24.75" customHeight="1">
      <c r="A268" s="162">
        <v>7.0</v>
      </c>
      <c r="B268" s="183" t="s">
        <v>55</v>
      </c>
      <c r="C268" s="200"/>
      <c r="D268" s="200"/>
      <c r="E268" s="200"/>
      <c r="F268" s="200"/>
      <c r="G268" s="200"/>
      <c r="H268" s="227">
        <v>25.0</v>
      </c>
      <c r="I268" s="200">
        <v>1.0</v>
      </c>
      <c r="J268" s="195">
        <f t="shared" si="239"/>
        <v>25</v>
      </c>
      <c r="K268" s="178"/>
      <c r="L268" s="178"/>
      <c r="M268" s="178"/>
      <c r="N268" s="178"/>
      <c r="O268" s="178"/>
      <c r="P268" s="178"/>
      <c r="Q268" s="228"/>
      <c r="R268" s="224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78"/>
      <c r="AH268" s="178"/>
      <c r="AI268" s="178"/>
      <c r="AJ268" s="178"/>
      <c r="AK268" s="178"/>
    </row>
    <row r="269" ht="24.75" customHeight="1">
      <c r="A269" s="162">
        <v>8.0</v>
      </c>
      <c r="B269" s="193" t="s">
        <v>57</v>
      </c>
      <c r="C269" s="200"/>
      <c r="D269" s="200"/>
      <c r="E269" s="200"/>
      <c r="F269" s="200"/>
      <c r="G269" s="200"/>
      <c r="H269" s="227">
        <v>24.0</v>
      </c>
      <c r="I269" s="200">
        <v>1.0</v>
      </c>
      <c r="J269" s="195">
        <f t="shared" si="239"/>
        <v>24</v>
      </c>
      <c r="K269" s="178"/>
      <c r="L269" s="178"/>
      <c r="M269" s="178"/>
      <c r="N269" s="178"/>
      <c r="O269" s="178"/>
      <c r="P269" s="178"/>
      <c r="Q269" s="228"/>
      <c r="R269" s="224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78"/>
      <c r="AH269" s="178"/>
      <c r="AI269" s="178"/>
      <c r="AJ269" s="178"/>
      <c r="AK269" s="178"/>
    </row>
    <row r="270" ht="24.75" customHeight="1">
      <c r="A270" s="162">
        <v>9.0</v>
      </c>
      <c r="B270" s="183" t="s">
        <v>55</v>
      </c>
      <c r="C270" s="200"/>
      <c r="D270" s="200"/>
      <c r="E270" s="200"/>
      <c r="F270" s="200"/>
      <c r="G270" s="200"/>
      <c r="H270" s="227">
        <v>34.0</v>
      </c>
      <c r="I270" s="200">
        <v>1.0</v>
      </c>
      <c r="J270" s="195">
        <f t="shared" si="239"/>
        <v>34</v>
      </c>
      <c r="K270" s="178"/>
      <c r="L270" s="178"/>
      <c r="M270" s="178"/>
      <c r="N270" s="178"/>
      <c r="O270" s="178"/>
      <c r="P270" s="178"/>
      <c r="Q270" s="228"/>
      <c r="R270" s="224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78"/>
      <c r="AH270" s="178"/>
      <c r="AI270" s="178"/>
      <c r="AJ270" s="178"/>
      <c r="AK270" s="178"/>
    </row>
    <row r="271" ht="24.75" customHeight="1">
      <c r="A271" s="162">
        <v>10.0</v>
      </c>
      <c r="B271" s="193" t="s">
        <v>55</v>
      </c>
      <c r="C271" s="200"/>
      <c r="D271" s="200"/>
      <c r="E271" s="200"/>
      <c r="F271" s="200"/>
      <c r="G271" s="200"/>
      <c r="H271" s="227">
        <v>22.0</v>
      </c>
      <c r="I271" s="200">
        <v>1.0</v>
      </c>
      <c r="J271" s="195">
        <f t="shared" si="239"/>
        <v>22</v>
      </c>
      <c r="K271" s="178"/>
      <c r="L271" s="178"/>
      <c r="M271" s="178"/>
      <c r="N271" s="178"/>
      <c r="O271" s="178"/>
      <c r="P271" s="178"/>
      <c r="Q271" s="228"/>
      <c r="R271" s="224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78"/>
      <c r="AH271" s="178"/>
      <c r="AI271" s="178"/>
      <c r="AJ271" s="178"/>
      <c r="AK271" s="178"/>
    </row>
    <row r="272" ht="24.75" customHeight="1">
      <c r="A272" s="162">
        <v>11.0</v>
      </c>
      <c r="B272" s="183" t="s">
        <v>58</v>
      </c>
      <c r="C272" s="200"/>
      <c r="D272" s="200"/>
      <c r="E272" s="200"/>
      <c r="F272" s="200"/>
      <c r="G272" s="200"/>
      <c r="H272" s="227">
        <v>31.0</v>
      </c>
      <c r="I272" s="200">
        <v>1.0</v>
      </c>
      <c r="J272" s="195">
        <f t="shared" si="239"/>
        <v>31</v>
      </c>
      <c r="K272" s="178"/>
      <c r="L272" s="178"/>
      <c r="M272" s="178"/>
      <c r="N272" s="178"/>
      <c r="O272" s="178"/>
      <c r="P272" s="178"/>
      <c r="Q272" s="228"/>
      <c r="R272" s="224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78"/>
      <c r="AH272" s="178"/>
      <c r="AI272" s="178"/>
      <c r="AJ272" s="178"/>
      <c r="AK272" s="178"/>
    </row>
    <row r="273" ht="24.75" customHeight="1">
      <c r="A273" s="162">
        <v>12.0</v>
      </c>
      <c r="B273" s="193" t="s">
        <v>58</v>
      </c>
      <c r="C273" s="200"/>
      <c r="D273" s="200"/>
      <c r="E273" s="200"/>
      <c r="F273" s="200"/>
      <c r="G273" s="200"/>
      <c r="H273" s="227">
        <v>7.0</v>
      </c>
      <c r="I273" s="200">
        <v>1.0</v>
      </c>
      <c r="J273" s="195">
        <f t="shared" si="239"/>
        <v>7</v>
      </c>
      <c r="K273" s="178"/>
      <c r="L273" s="178"/>
      <c r="M273" s="178"/>
      <c r="N273" s="178"/>
      <c r="O273" s="178"/>
      <c r="P273" s="178"/>
      <c r="Q273" s="228"/>
      <c r="R273" s="224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78"/>
      <c r="AH273" s="178"/>
      <c r="AI273" s="178"/>
      <c r="AJ273" s="178"/>
      <c r="AK273" s="178"/>
    </row>
    <row r="274" ht="24.75" customHeight="1">
      <c r="A274" s="162">
        <v>13.0</v>
      </c>
      <c r="B274" s="183" t="s">
        <v>59</v>
      </c>
      <c r="C274" s="200"/>
      <c r="D274" s="200"/>
      <c r="E274" s="200"/>
      <c r="F274" s="200"/>
      <c r="G274" s="200"/>
      <c r="H274" s="227">
        <v>18.0</v>
      </c>
      <c r="I274" s="200">
        <v>1.0</v>
      </c>
      <c r="J274" s="195">
        <f t="shared" si="239"/>
        <v>18</v>
      </c>
      <c r="K274" s="178"/>
      <c r="L274" s="178"/>
      <c r="M274" s="178"/>
      <c r="N274" s="178"/>
      <c r="O274" s="178"/>
      <c r="P274" s="178"/>
      <c r="Q274" s="228"/>
      <c r="R274" s="224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78"/>
      <c r="AH274" s="178"/>
      <c r="AI274" s="178"/>
      <c r="AJ274" s="178"/>
      <c r="AK274" s="178"/>
    </row>
    <row r="275" ht="24.75" customHeight="1">
      <c r="A275" s="162">
        <v>14.0</v>
      </c>
      <c r="B275" s="193" t="s">
        <v>59</v>
      </c>
      <c r="C275" s="200"/>
      <c r="D275" s="200"/>
      <c r="E275" s="200"/>
      <c r="F275" s="200"/>
      <c r="G275" s="200"/>
      <c r="H275" s="227">
        <v>23.0</v>
      </c>
      <c r="I275" s="200">
        <v>1.0</v>
      </c>
      <c r="J275" s="195">
        <f t="shared" si="239"/>
        <v>23</v>
      </c>
      <c r="K275" s="178"/>
      <c r="L275" s="178"/>
      <c r="M275" s="178"/>
      <c r="N275" s="178"/>
      <c r="O275" s="178"/>
      <c r="P275" s="178"/>
      <c r="Q275" s="228"/>
      <c r="R275" s="224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78"/>
      <c r="AH275" s="178"/>
      <c r="AI275" s="178"/>
      <c r="AJ275" s="178"/>
      <c r="AK275" s="178"/>
    </row>
    <row r="276" ht="24.75" hidden="1" customHeight="1">
      <c r="A276" s="162">
        <v>15.0</v>
      </c>
      <c r="B276" s="229"/>
      <c r="C276" s="200"/>
      <c r="D276" s="200"/>
      <c r="E276" s="200"/>
      <c r="F276" s="200"/>
      <c r="G276" s="200"/>
      <c r="H276" s="227"/>
      <c r="I276" s="200"/>
      <c r="J276" s="195">
        <f t="shared" si="239"/>
        <v>0</v>
      </c>
      <c r="K276" s="178"/>
      <c r="L276" s="178"/>
      <c r="M276" s="178"/>
      <c r="N276" s="178"/>
      <c r="O276" s="178"/>
      <c r="P276" s="178"/>
      <c r="Q276" s="228"/>
      <c r="R276" s="224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78"/>
      <c r="AH276" s="178"/>
      <c r="AI276" s="178"/>
      <c r="AJ276" s="178"/>
      <c r="AK276" s="178"/>
    </row>
    <row r="277" ht="24.75" hidden="1" customHeight="1">
      <c r="A277" s="162">
        <v>16.0</v>
      </c>
      <c r="B277" s="229"/>
      <c r="C277" s="200"/>
      <c r="D277" s="200"/>
      <c r="E277" s="200"/>
      <c r="F277" s="200"/>
      <c r="G277" s="200"/>
      <c r="H277" s="227"/>
      <c r="I277" s="200"/>
      <c r="J277" s="195">
        <f t="shared" si="239"/>
        <v>0</v>
      </c>
      <c r="K277" s="178"/>
      <c r="L277" s="178"/>
      <c r="M277" s="178"/>
      <c r="N277" s="178"/>
      <c r="O277" s="178"/>
      <c r="P277" s="178"/>
      <c r="Q277" s="228"/>
      <c r="R277" s="224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78"/>
      <c r="AH277" s="178"/>
      <c r="AI277" s="178"/>
      <c r="AJ277" s="178"/>
      <c r="AK277" s="178"/>
    </row>
    <row r="278" ht="24.75" hidden="1" customHeight="1">
      <c r="A278" s="162">
        <v>17.0</v>
      </c>
      <c r="B278" s="229"/>
      <c r="C278" s="200"/>
      <c r="D278" s="200"/>
      <c r="E278" s="200"/>
      <c r="F278" s="200"/>
      <c r="G278" s="200"/>
      <c r="H278" s="227"/>
      <c r="I278" s="200"/>
      <c r="J278" s="195">
        <f t="shared" si="239"/>
        <v>0</v>
      </c>
      <c r="K278" s="178"/>
      <c r="L278" s="178"/>
      <c r="M278" s="178"/>
      <c r="N278" s="178"/>
      <c r="O278" s="178"/>
      <c r="P278" s="178"/>
      <c r="Q278" s="228"/>
      <c r="R278" s="224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39"/>
      <c r="AD278" s="139"/>
      <c r="AE278" s="139"/>
      <c r="AF278" s="139"/>
      <c r="AG278" s="178"/>
      <c r="AH278" s="178"/>
      <c r="AI278" s="178"/>
      <c r="AJ278" s="178"/>
      <c r="AK278" s="178"/>
    </row>
    <row r="279" ht="24.75" hidden="1" customHeight="1">
      <c r="A279" s="162">
        <v>18.0</v>
      </c>
      <c r="B279" s="229"/>
      <c r="C279" s="200"/>
      <c r="D279" s="200"/>
      <c r="E279" s="200"/>
      <c r="F279" s="200"/>
      <c r="G279" s="200"/>
      <c r="H279" s="227"/>
      <c r="I279" s="200"/>
      <c r="J279" s="195">
        <f t="shared" si="239"/>
        <v>0</v>
      </c>
      <c r="K279" s="178"/>
      <c r="L279" s="178"/>
      <c r="M279" s="178"/>
      <c r="N279" s="178"/>
      <c r="O279" s="178"/>
      <c r="P279" s="178"/>
      <c r="Q279" s="228"/>
      <c r="R279" s="224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39"/>
      <c r="AD279" s="139"/>
      <c r="AE279" s="139"/>
      <c r="AF279" s="139"/>
      <c r="AG279" s="178"/>
      <c r="AH279" s="178"/>
      <c r="AI279" s="178"/>
      <c r="AJ279" s="178"/>
      <c r="AK279" s="178"/>
    </row>
    <row r="280" ht="24.75" hidden="1" customHeight="1">
      <c r="A280" s="162">
        <v>19.0</v>
      </c>
      <c r="B280" s="229"/>
      <c r="C280" s="200"/>
      <c r="D280" s="200"/>
      <c r="E280" s="200"/>
      <c r="F280" s="200"/>
      <c r="G280" s="200"/>
      <c r="H280" s="227"/>
      <c r="I280" s="200"/>
      <c r="J280" s="195">
        <f t="shared" si="239"/>
        <v>0</v>
      </c>
      <c r="K280" s="178"/>
      <c r="L280" s="178"/>
      <c r="M280" s="178"/>
      <c r="N280" s="178"/>
      <c r="O280" s="178"/>
      <c r="P280" s="178"/>
      <c r="Q280" s="228"/>
      <c r="R280" s="140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39"/>
      <c r="AD280" s="139"/>
      <c r="AE280" s="139"/>
      <c r="AF280" s="139"/>
      <c r="AG280" s="178"/>
      <c r="AH280" s="178"/>
      <c r="AI280" s="178"/>
      <c r="AJ280" s="178"/>
      <c r="AK280" s="178"/>
    </row>
    <row r="281" ht="24.75" hidden="1" customHeight="1">
      <c r="A281" s="162">
        <v>20.0</v>
      </c>
      <c r="B281" s="229"/>
      <c r="C281" s="200"/>
      <c r="D281" s="200"/>
      <c r="E281" s="200"/>
      <c r="F281" s="200"/>
      <c r="G281" s="200"/>
      <c r="H281" s="227"/>
      <c r="I281" s="200"/>
      <c r="J281" s="195">
        <f t="shared" si="239"/>
        <v>0</v>
      </c>
      <c r="K281" s="178"/>
      <c r="L281" s="178"/>
      <c r="M281" s="178"/>
      <c r="N281" s="178"/>
      <c r="O281" s="178"/>
      <c r="P281" s="178"/>
      <c r="Q281" s="228"/>
      <c r="R281" s="224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39"/>
      <c r="AD281" s="139"/>
      <c r="AE281" s="139"/>
      <c r="AF281" s="139"/>
      <c r="AG281" s="178"/>
      <c r="AH281" s="178"/>
      <c r="AI281" s="178"/>
      <c r="AJ281" s="178"/>
      <c r="AK281" s="178"/>
    </row>
    <row r="282" ht="24.75" hidden="1" customHeight="1">
      <c r="A282" s="162">
        <v>21.0</v>
      </c>
      <c r="B282" s="229"/>
      <c r="C282" s="200"/>
      <c r="D282" s="200"/>
      <c r="E282" s="200"/>
      <c r="F282" s="200"/>
      <c r="G282" s="200"/>
      <c r="H282" s="227"/>
      <c r="I282" s="200"/>
      <c r="J282" s="195">
        <f t="shared" si="239"/>
        <v>0</v>
      </c>
      <c r="K282" s="178"/>
      <c r="L282" s="178"/>
      <c r="M282" s="178"/>
      <c r="N282" s="178"/>
      <c r="O282" s="178"/>
      <c r="P282" s="178"/>
      <c r="Q282" s="228"/>
      <c r="R282" s="224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39"/>
      <c r="AD282" s="139"/>
      <c r="AE282" s="139"/>
      <c r="AF282" s="139"/>
      <c r="AG282" s="178"/>
      <c r="AH282" s="178"/>
      <c r="AI282" s="178"/>
      <c r="AJ282" s="178"/>
      <c r="AK282" s="178"/>
    </row>
    <row r="283" ht="24.75" hidden="1" customHeight="1">
      <c r="A283" s="162">
        <v>22.0</v>
      </c>
      <c r="B283" s="229"/>
      <c r="C283" s="200"/>
      <c r="D283" s="200"/>
      <c r="E283" s="200"/>
      <c r="F283" s="200"/>
      <c r="G283" s="200"/>
      <c r="H283" s="227"/>
      <c r="I283" s="200"/>
      <c r="J283" s="195">
        <f t="shared" si="239"/>
        <v>0</v>
      </c>
      <c r="K283" s="178"/>
      <c r="L283" s="178"/>
      <c r="M283" s="178"/>
      <c r="N283" s="178"/>
      <c r="O283" s="178"/>
      <c r="P283" s="178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39"/>
      <c r="AD283" s="139"/>
      <c r="AE283" s="139"/>
      <c r="AF283" s="139"/>
      <c r="AG283" s="178"/>
      <c r="AH283" s="178"/>
      <c r="AI283" s="178"/>
      <c r="AJ283" s="178"/>
      <c r="AK283" s="178"/>
    </row>
    <row r="284" ht="24.75" hidden="1" customHeight="1">
      <c r="A284" s="162">
        <v>23.0</v>
      </c>
      <c r="B284" s="229"/>
      <c r="C284" s="200"/>
      <c r="D284" s="200"/>
      <c r="E284" s="200"/>
      <c r="F284" s="200"/>
      <c r="G284" s="200"/>
      <c r="H284" s="227"/>
      <c r="I284" s="200"/>
      <c r="J284" s="195">
        <f t="shared" si="239"/>
        <v>0</v>
      </c>
      <c r="K284" s="178"/>
      <c r="L284" s="178"/>
      <c r="M284" s="178"/>
      <c r="N284" s="178"/>
      <c r="O284" s="178"/>
      <c r="P284" s="178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</row>
    <row r="285" ht="24.75" hidden="1" customHeight="1">
      <c r="A285" s="162">
        <v>24.0</v>
      </c>
      <c r="B285" s="229"/>
      <c r="C285" s="200"/>
      <c r="D285" s="200"/>
      <c r="E285" s="200"/>
      <c r="F285" s="200"/>
      <c r="G285" s="200"/>
      <c r="H285" s="227"/>
      <c r="I285" s="200"/>
      <c r="J285" s="195">
        <f t="shared" si="239"/>
        <v>0</v>
      </c>
      <c r="K285" s="178"/>
      <c r="L285" s="178"/>
      <c r="M285" s="178"/>
      <c r="N285" s="178"/>
      <c r="O285" s="178"/>
      <c r="P285" s="178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39"/>
      <c r="AD285" s="139"/>
      <c r="AE285" s="139"/>
      <c r="AF285" s="139"/>
      <c r="AG285" s="139"/>
      <c r="AH285" s="139"/>
      <c r="AI285" s="139"/>
      <c r="AJ285" s="139"/>
      <c r="AK285" s="139"/>
    </row>
    <row r="286" ht="24.75" hidden="1" customHeight="1">
      <c r="A286" s="162">
        <v>25.0</v>
      </c>
      <c r="B286" s="229"/>
      <c r="C286" s="200"/>
      <c r="D286" s="200"/>
      <c r="E286" s="200"/>
      <c r="F286" s="200"/>
      <c r="G286" s="200"/>
      <c r="H286" s="227"/>
      <c r="I286" s="200"/>
      <c r="J286" s="195">
        <f t="shared" si="239"/>
        <v>0</v>
      </c>
      <c r="K286" s="178"/>
      <c r="L286" s="178"/>
      <c r="M286" s="178"/>
      <c r="N286" s="178"/>
      <c r="O286" s="178"/>
      <c r="P286" s="178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39"/>
      <c r="AD286" s="139"/>
      <c r="AE286" s="139"/>
      <c r="AF286" s="139"/>
      <c r="AG286" s="139"/>
      <c r="AH286" s="139"/>
      <c r="AI286" s="139"/>
      <c r="AJ286" s="139"/>
      <c r="AK286" s="139"/>
    </row>
    <row r="287" ht="24.75" hidden="1" customHeight="1">
      <c r="A287" s="162">
        <v>26.0</v>
      </c>
      <c r="B287" s="229"/>
      <c r="C287" s="200"/>
      <c r="D287" s="200"/>
      <c r="E287" s="200"/>
      <c r="F287" s="200"/>
      <c r="G287" s="200"/>
      <c r="H287" s="227"/>
      <c r="I287" s="200"/>
      <c r="J287" s="195">
        <f t="shared" si="239"/>
        <v>0</v>
      </c>
      <c r="K287" s="178"/>
      <c r="L287" s="178"/>
      <c r="M287" s="178"/>
      <c r="N287" s="178"/>
      <c r="O287" s="178"/>
      <c r="P287" s="178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39"/>
      <c r="AD287" s="139"/>
      <c r="AE287" s="139"/>
      <c r="AF287" s="139"/>
      <c r="AG287" s="139"/>
      <c r="AH287" s="139"/>
      <c r="AI287" s="139"/>
      <c r="AJ287" s="139"/>
      <c r="AK287" s="139"/>
    </row>
    <row r="288" ht="24.75" hidden="1" customHeight="1">
      <c r="A288" s="162">
        <v>27.0</v>
      </c>
      <c r="B288" s="229"/>
      <c r="C288" s="200"/>
      <c r="D288" s="200"/>
      <c r="E288" s="200"/>
      <c r="F288" s="200"/>
      <c r="G288" s="200"/>
      <c r="H288" s="200"/>
      <c r="I288" s="200"/>
      <c r="J288" s="195">
        <f t="shared" si="239"/>
        <v>0</v>
      </c>
      <c r="K288" s="178"/>
      <c r="L288" s="178"/>
      <c r="M288" s="178"/>
      <c r="N288" s="178"/>
      <c r="O288" s="178"/>
      <c r="P288" s="178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</row>
    <row r="289" ht="24.75" hidden="1" customHeight="1">
      <c r="A289" s="162">
        <v>28.0</v>
      </c>
      <c r="B289" s="229"/>
      <c r="C289" s="200"/>
      <c r="D289" s="200"/>
      <c r="E289" s="200"/>
      <c r="F289" s="200"/>
      <c r="G289" s="200"/>
      <c r="H289" s="200"/>
      <c r="I289" s="200"/>
      <c r="J289" s="195">
        <f t="shared" si="239"/>
        <v>0</v>
      </c>
      <c r="K289" s="178"/>
      <c r="L289" s="178"/>
      <c r="M289" s="178"/>
      <c r="N289" s="178"/>
      <c r="O289" s="178"/>
      <c r="P289" s="178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</row>
    <row r="290" ht="24.75" hidden="1" customHeight="1">
      <c r="A290" s="162">
        <v>29.0</v>
      </c>
      <c r="B290" s="230"/>
      <c r="C290" s="200"/>
      <c r="D290" s="200"/>
      <c r="E290" s="200"/>
      <c r="F290" s="200"/>
      <c r="G290" s="200"/>
      <c r="H290" s="200"/>
      <c r="I290" s="200"/>
      <c r="J290" s="195">
        <f t="shared" si="239"/>
        <v>0</v>
      </c>
      <c r="K290" s="178"/>
      <c r="L290" s="178"/>
      <c r="M290" s="178"/>
      <c r="N290" s="178"/>
      <c r="O290" s="178"/>
      <c r="P290" s="178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39"/>
      <c r="AD290" s="139"/>
      <c r="AE290" s="139"/>
      <c r="AF290" s="139"/>
      <c r="AG290" s="139"/>
      <c r="AH290" s="139"/>
      <c r="AI290" s="139"/>
      <c r="AJ290" s="139"/>
      <c r="AK290" s="139"/>
    </row>
    <row r="291" ht="24.75" hidden="1" customHeight="1">
      <c r="A291" s="162">
        <v>30.0</v>
      </c>
      <c r="B291" s="230"/>
      <c r="C291" s="200"/>
      <c r="D291" s="200"/>
      <c r="E291" s="200"/>
      <c r="F291" s="200"/>
      <c r="G291" s="200"/>
      <c r="H291" s="227"/>
      <c r="I291" s="200"/>
      <c r="J291" s="195">
        <f t="shared" si="239"/>
        <v>0</v>
      </c>
      <c r="K291" s="178"/>
      <c r="L291" s="178"/>
      <c r="M291" s="178"/>
      <c r="N291" s="178"/>
      <c r="O291" s="178"/>
      <c r="P291" s="178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</row>
    <row r="292" ht="24.75" hidden="1" customHeight="1">
      <c r="A292" s="162">
        <v>31.0</v>
      </c>
      <c r="B292" s="218"/>
      <c r="C292" s="200"/>
      <c r="D292" s="200"/>
      <c r="E292" s="200"/>
      <c r="F292" s="200"/>
      <c r="G292" s="200"/>
      <c r="H292" s="227"/>
      <c r="I292" s="200"/>
      <c r="J292" s="195">
        <f t="shared" si="239"/>
        <v>0</v>
      </c>
      <c r="K292" s="178"/>
      <c r="L292" s="178"/>
      <c r="M292" s="178"/>
      <c r="N292" s="178"/>
      <c r="O292" s="178"/>
      <c r="P292" s="178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39"/>
      <c r="AD292" s="139"/>
      <c r="AE292" s="139"/>
      <c r="AF292" s="139"/>
      <c r="AG292" s="139"/>
      <c r="AH292" s="139"/>
      <c r="AI292" s="139"/>
      <c r="AJ292" s="139"/>
      <c r="AK292" s="139"/>
    </row>
    <row r="293" ht="24.75" hidden="1" customHeight="1">
      <c r="A293" s="162">
        <v>32.0</v>
      </c>
      <c r="B293" s="218"/>
      <c r="C293" s="162"/>
      <c r="D293" s="162"/>
      <c r="E293" s="162"/>
      <c r="F293" s="162"/>
      <c r="G293" s="162"/>
      <c r="H293" s="162"/>
      <c r="I293" s="162"/>
      <c r="J293" s="195">
        <f t="shared" si="239"/>
        <v>0</v>
      </c>
      <c r="K293" s="178"/>
      <c r="L293" s="178"/>
      <c r="M293" s="178"/>
      <c r="N293" s="178"/>
      <c r="O293" s="178"/>
      <c r="P293" s="178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39"/>
      <c r="AD293" s="139"/>
      <c r="AE293" s="139"/>
      <c r="AF293" s="139"/>
      <c r="AG293" s="139"/>
      <c r="AH293" s="139"/>
      <c r="AI293" s="139"/>
      <c r="AJ293" s="139"/>
      <c r="AK293" s="139"/>
    </row>
    <row r="294" ht="24.75" hidden="1" customHeight="1">
      <c r="A294" s="162">
        <v>33.0</v>
      </c>
      <c r="B294" s="230"/>
      <c r="C294" s="162"/>
      <c r="D294" s="162"/>
      <c r="E294" s="162"/>
      <c r="F294" s="162"/>
      <c r="G294" s="162"/>
      <c r="H294" s="162"/>
      <c r="I294" s="162"/>
      <c r="J294" s="195">
        <f t="shared" si="239"/>
        <v>0</v>
      </c>
      <c r="K294" s="178"/>
      <c r="L294" s="178"/>
      <c r="M294" s="178"/>
      <c r="N294" s="178"/>
      <c r="O294" s="178"/>
      <c r="P294" s="178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39"/>
      <c r="AD294" s="139"/>
      <c r="AE294" s="139"/>
      <c r="AF294" s="139"/>
      <c r="AG294" s="139"/>
      <c r="AH294" s="139"/>
      <c r="AI294" s="139"/>
      <c r="AJ294" s="139"/>
      <c r="AK294" s="139"/>
    </row>
    <row r="295" ht="24.75" hidden="1" customHeight="1">
      <c r="A295" s="162">
        <v>34.0</v>
      </c>
      <c r="B295" s="231"/>
      <c r="C295" s="162"/>
      <c r="D295" s="162"/>
      <c r="E295" s="162"/>
      <c r="F295" s="162"/>
      <c r="G295" s="162"/>
      <c r="H295" s="162"/>
      <c r="I295" s="162"/>
      <c r="J295" s="195">
        <f t="shared" si="239"/>
        <v>0</v>
      </c>
      <c r="K295" s="178"/>
      <c r="L295" s="178"/>
      <c r="M295" s="178"/>
      <c r="N295" s="178"/>
      <c r="O295" s="178"/>
      <c r="P295" s="178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</row>
    <row r="296" ht="24.75" hidden="1" customHeight="1">
      <c r="A296" s="162">
        <v>35.0</v>
      </c>
      <c r="B296" s="232"/>
      <c r="C296" s="162"/>
      <c r="D296" s="162"/>
      <c r="E296" s="162"/>
      <c r="F296" s="162"/>
      <c r="G296" s="162"/>
      <c r="H296" s="162"/>
      <c r="I296" s="162"/>
      <c r="J296" s="195">
        <f t="shared" si="239"/>
        <v>0</v>
      </c>
      <c r="K296" s="178"/>
      <c r="L296" s="178"/>
      <c r="M296" s="178"/>
      <c r="N296" s="178"/>
      <c r="O296" s="178"/>
      <c r="P296" s="178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</row>
    <row r="297" ht="18.75" customHeight="1">
      <c r="A297" s="139"/>
      <c r="B297" s="139"/>
      <c r="C297" s="139"/>
      <c r="D297" s="139"/>
      <c r="E297" s="139"/>
      <c r="F297" s="139"/>
      <c r="G297" s="139"/>
      <c r="H297" s="140" t="s">
        <v>38</v>
      </c>
      <c r="I297" s="139"/>
      <c r="J297" s="233">
        <f>SUM(J262:J296)</f>
        <v>369</v>
      </c>
      <c r="K297" s="234"/>
      <c r="L297" s="234"/>
      <c r="M297" s="234"/>
      <c r="N297" s="234"/>
      <c r="O297" s="234"/>
      <c r="P297" s="234"/>
      <c r="Q297" s="234"/>
      <c r="R297" s="139"/>
      <c r="S297" s="224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</row>
    <row r="298" ht="18.75" customHeight="1">
      <c r="A298" s="144"/>
      <c r="B298" s="144"/>
      <c r="C298" s="144"/>
      <c r="D298" s="144"/>
      <c r="E298" s="144"/>
      <c r="F298" s="144"/>
      <c r="G298" s="144"/>
      <c r="H298" s="145"/>
      <c r="I298" s="175"/>
      <c r="J298" s="206">
        <f>+J297*60%</f>
        <v>221.4</v>
      </c>
      <c r="K298" s="206"/>
      <c r="L298" s="206"/>
      <c r="M298" s="206"/>
      <c r="N298" s="206"/>
      <c r="O298" s="206"/>
      <c r="P298" s="206"/>
      <c r="Q298" s="206">
        <f>+J297*40%</f>
        <v>147.6</v>
      </c>
      <c r="R298" s="139"/>
      <c r="S298" s="224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</row>
    <row r="299" ht="18.75" customHeight="1">
      <c r="A299" s="139"/>
      <c r="B299" s="139"/>
      <c r="C299" s="139"/>
      <c r="D299" s="139"/>
      <c r="E299" s="139"/>
      <c r="F299" s="139"/>
      <c r="G299" s="139"/>
      <c r="H299" s="140"/>
      <c r="I299" s="139"/>
      <c r="J299" s="139"/>
      <c r="K299" s="139"/>
      <c r="L299" s="139"/>
      <c r="M299" s="139"/>
      <c r="N299" s="139"/>
      <c r="O299" s="139"/>
      <c r="P299" s="139"/>
      <c r="Q299" s="139"/>
      <c r="R299" s="139"/>
      <c r="S299" s="224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39"/>
      <c r="AD299" s="139"/>
      <c r="AE299" s="139"/>
      <c r="AF299" s="139"/>
      <c r="AG299" s="139"/>
      <c r="AH299" s="139"/>
      <c r="AI299" s="139"/>
      <c r="AJ299" s="139"/>
      <c r="AK299" s="139"/>
    </row>
    <row r="300" ht="18.75" customHeight="1">
      <c r="A300" s="139"/>
      <c r="B300" s="139"/>
      <c r="C300" s="139"/>
      <c r="D300" s="139"/>
      <c r="E300" s="139"/>
      <c r="F300" s="139"/>
      <c r="G300" s="139"/>
      <c r="H300" s="140"/>
      <c r="I300" s="139"/>
      <c r="J300" s="139"/>
      <c r="K300" s="139"/>
      <c r="L300" s="139"/>
      <c r="M300" s="139"/>
      <c r="N300" s="139"/>
      <c r="O300" s="139"/>
      <c r="P300" s="139"/>
      <c r="Q300" s="139"/>
      <c r="R300" s="139"/>
      <c r="S300" s="224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</row>
    <row r="301" ht="19.5" customHeight="1">
      <c r="A301" s="235" t="s">
        <v>41</v>
      </c>
      <c r="B301" s="139"/>
      <c r="C301" s="139"/>
      <c r="D301" s="139"/>
      <c r="E301" s="139"/>
      <c r="F301" s="139"/>
      <c r="G301" s="139"/>
      <c r="H301" s="140"/>
      <c r="I301" s="139"/>
      <c r="J301" s="139"/>
      <c r="K301" s="139"/>
      <c r="L301" s="139"/>
      <c r="M301" s="139"/>
      <c r="N301" s="139"/>
      <c r="O301" s="139"/>
      <c r="P301" s="139"/>
      <c r="Q301" s="139"/>
      <c r="R301" s="139"/>
      <c r="S301" s="224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  <c r="AJ301" s="139"/>
      <c r="AK301" s="139"/>
    </row>
    <row r="302" ht="57.0" customHeight="1">
      <c r="A302" s="236"/>
      <c r="B302" s="237" t="s">
        <v>42</v>
      </c>
      <c r="C302" s="237" t="s">
        <v>43</v>
      </c>
      <c r="D302" s="237" t="s">
        <v>44</v>
      </c>
      <c r="E302" s="237" t="s">
        <v>45</v>
      </c>
      <c r="F302" s="237"/>
      <c r="G302" s="237"/>
      <c r="H302" s="238" t="s">
        <v>46</v>
      </c>
      <c r="I302" s="239" t="s">
        <v>47</v>
      </c>
      <c r="J302" s="139"/>
      <c r="K302" s="139"/>
      <c r="L302" s="139"/>
      <c r="M302" s="139"/>
      <c r="N302" s="139"/>
      <c r="O302" s="139"/>
      <c r="P302" s="139"/>
      <c r="Q302" s="139"/>
      <c r="R302" s="141"/>
      <c r="S302" s="224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</row>
    <row r="303" ht="18.75" customHeight="1">
      <c r="A303" s="240" t="s">
        <v>48</v>
      </c>
      <c r="B303" s="241">
        <f>+E23</f>
        <v>45405.016</v>
      </c>
      <c r="C303" s="242">
        <f>+J241</f>
        <v>42128.06568</v>
      </c>
      <c r="D303" s="242">
        <f>+J255</f>
        <v>0</v>
      </c>
      <c r="E303" s="243">
        <f>J298</f>
        <v>221.4</v>
      </c>
      <c r="F303" s="243"/>
      <c r="G303" s="243"/>
      <c r="H303" s="244">
        <f>+I23</f>
        <v>1226.42583</v>
      </c>
      <c r="I303" s="245">
        <f>+B303-C303-D303-E303-H303</f>
        <v>1829.124493</v>
      </c>
      <c r="J303" s="139"/>
      <c r="K303" s="139"/>
      <c r="L303" s="139"/>
      <c r="M303" s="139"/>
      <c r="N303" s="139"/>
      <c r="O303" s="139"/>
      <c r="P303" s="139"/>
      <c r="Q303" s="139"/>
      <c r="R303" s="141"/>
      <c r="S303" s="224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  <c r="AJ303" s="139"/>
      <c r="AK303" s="139"/>
    </row>
    <row r="304" ht="19.5" customHeight="1">
      <c r="A304" s="246" t="s">
        <v>49</v>
      </c>
      <c r="B304" s="247"/>
      <c r="C304" s="248">
        <f>+C303/B303</f>
        <v>0.9278284513</v>
      </c>
      <c r="D304" s="248">
        <f>+D303/B303</f>
        <v>0</v>
      </c>
      <c r="E304" s="248">
        <f>+E303/B303</f>
        <v>0.004876113247</v>
      </c>
      <c r="F304" s="248"/>
      <c r="G304" s="248"/>
      <c r="H304" s="249">
        <f>+H303/B303</f>
        <v>0.02701080053</v>
      </c>
      <c r="I304" s="250">
        <f>+I303/B303</f>
        <v>0.04028463492</v>
      </c>
      <c r="J304" s="139"/>
      <c r="K304" s="139"/>
      <c r="L304" s="139"/>
      <c r="M304" s="139"/>
      <c r="N304" s="139"/>
      <c r="O304" s="139"/>
      <c r="P304" s="139"/>
      <c r="Q304" s="139"/>
      <c r="R304" s="141"/>
      <c r="S304" s="224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</row>
    <row r="305" ht="19.5" customHeight="1">
      <c r="A305" s="165"/>
      <c r="B305" s="221"/>
      <c r="C305" s="251"/>
      <c r="D305" s="251"/>
      <c r="E305" s="251"/>
      <c r="F305" s="251"/>
      <c r="G305" s="251"/>
      <c r="H305" s="252"/>
      <c r="I305" s="253"/>
      <c r="J305" s="139"/>
      <c r="K305" s="139"/>
      <c r="L305" s="139"/>
      <c r="M305" s="139"/>
      <c r="N305" s="139"/>
      <c r="O305" s="139"/>
      <c r="P305" s="139"/>
      <c r="Q305" s="139"/>
      <c r="R305" s="141"/>
      <c r="S305" s="224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  <c r="AJ305" s="139"/>
      <c r="AK305" s="139"/>
    </row>
    <row r="306" ht="18.75" customHeight="1">
      <c r="A306" s="254"/>
      <c r="B306" s="255"/>
      <c r="C306" s="255"/>
      <c r="D306" s="255" t="s">
        <v>50</v>
      </c>
      <c r="E306" s="255" t="s">
        <v>48</v>
      </c>
      <c r="F306" s="255"/>
      <c r="G306" s="255"/>
      <c r="H306" s="256">
        <f>+D303+E303+H303+I303</f>
        <v>3276.950323</v>
      </c>
      <c r="I306" s="257"/>
      <c r="J306" s="139"/>
      <c r="K306" s="139"/>
      <c r="L306" s="139"/>
      <c r="M306" s="139"/>
      <c r="N306" s="139"/>
      <c r="O306" s="139"/>
      <c r="P306" s="139"/>
      <c r="Q306" s="139"/>
      <c r="R306" s="141"/>
      <c r="S306" s="140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</row>
    <row r="307" ht="18.75" customHeight="1">
      <c r="A307" s="258"/>
      <c r="B307" s="139"/>
      <c r="C307" s="139"/>
      <c r="D307" s="139"/>
      <c r="E307" s="139" t="s">
        <v>49</v>
      </c>
      <c r="F307" s="139"/>
      <c r="G307" s="139"/>
      <c r="H307" s="252">
        <f>+H306/B303</f>
        <v>0.07217154869</v>
      </c>
      <c r="I307" s="259"/>
      <c r="J307" s="139"/>
      <c r="K307" s="139"/>
      <c r="L307" s="139"/>
      <c r="M307" s="139"/>
      <c r="N307" s="139"/>
      <c r="O307" s="139"/>
      <c r="P307" s="139"/>
      <c r="Q307" s="139"/>
      <c r="R307" s="141"/>
      <c r="S307" s="140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  <c r="AJ307" s="139"/>
      <c r="AK307" s="139"/>
    </row>
    <row r="308" ht="18.75" customHeight="1">
      <c r="A308" s="258"/>
      <c r="B308" s="139"/>
      <c r="C308" s="139" t="s">
        <v>51</v>
      </c>
      <c r="D308" s="139"/>
      <c r="E308" s="139"/>
      <c r="F308" s="139"/>
      <c r="G308" s="139"/>
      <c r="H308" s="140"/>
      <c r="I308" s="259"/>
      <c r="J308" s="139"/>
      <c r="K308" s="139"/>
      <c r="L308" s="139"/>
      <c r="M308" s="139"/>
      <c r="N308" s="139"/>
      <c r="O308" s="139"/>
      <c r="P308" s="139"/>
      <c r="Q308" s="139"/>
      <c r="R308" s="141"/>
      <c r="S308" s="140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  <c r="AJ308" s="139"/>
      <c r="AK308" s="139"/>
    </row>
    <row r="309" ht="18.75" customHeight="1">
      <c r="A309" s="258"/>
      <c r="B309" s="139"/>
      <c r="C309" s="139"/>
      <c r="D309" s="139" t="s">
        <v>52</v>
      </c>
      <c r="E309" s="139"/>
      <c r="F309" s="139"/>
      <c r="G309" s="139"/>
      <c r="H309" s="140">
        <f>+H308*(H306-H303)</f>
        <v>0</v>
      </c>
      <c r="I309" s="259"/>
      <c r="J309" s="139"/>
      <c r="K309" s="139"/>
      <c r="L309" s="139"/>
      <c r="M309" s="139"/>
      <c r="N309" s="139"/>
      <c r="O309" s="139"/>
      <c r="P309" s="139"/>
      <c r="Q309" s="139"/>
      <c r="R309" s="141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  <c r="AJ309" s="139"/>
      <c r="AK309" s="139"/>
    </row>
    <row r="310" ht="19.5" customHeight="1">
      <c r="A310" s="260"/>
      <c r="B310" s="261"/>
      <c r="C310" s="261"/>
      <c r="D310" s="261"/>
      <c r="E310" s="261"/>
      <c r="F310" s="261"/>
      <c r="G310" s="261"/>
      <c r="H310" s="262"/>
      <c r="I310" s="263"/>
      <c r="J310" s="139"/>
      <c r="K310" s="139"/>
      <c r="L310" s="139"/>
      <c r="M310" s="139"/>
      <c r="N310" s="139"/>
      <c r="O310" s="139"/>
      <c r="P310" s="139"/>
      <c r="Q310" s="139"/>
      <c r="R310" s="141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  <c r="AJ310" s="139"/>
      <c r="AK310" s="139"/>
    </row>
    <row r="311" ht="18.75" customHeight="1">
      <c r="A311" s="139"/>
      <c r="B311" s="139"/>
      <c r="C311" s="139"/>
      <c r="D311" s="139"/>
      <c r="E311" s="139"/>
      <c r="F311" s="139"/>
      <c r="G311" s="139"/>
      <c r="H311" s="140"/>
      <c r="I311" s="139"/>
      <c r="J311" s="139"/>
      <c r="K311" s="139"/>
      <c r="L311" s="139"/>
      <c r="M311" s="139"/>
      <c r="N311" s="139"/>
      <c r="O311" s="139"/>
      <c r="P311" s="139"/>
      <c r="Q311" s="139"/>
      <c r="R311" s="141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  <c r="AJ311" s="139"/>
      <c r="AK311" s="139"/>
    </row>
    <row r="312" ht="18.75" customHeight="1">
      <c r="A312" s="139"/>
      <c r="B312" s="139"/>
      <c r="C312" s="139"/>
      <c r="D312" s="139"/>
      <c r="E312" s="139"/>
      <c r="F312" s="139"/>
      <c r="G312" s="139"/>
      <c r="H312" s="140"/>
      <c r="I312" s="139"/>
      <c r="J312" s="139"/>
      <c r="K312" s="139"/>
      <c r="L312" s="139"/>
      <c r="M312" s="139"/>
      <c r="N312" s="139"/>
      <c r="O312" s="139"/>
      <c r="P312" s="139"/>
      <c r="Q312" s="139"/>
      <c r="R312" s="141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</row>
    <row r="313" ht="18.75" customHeight="1">
      <c r="A313" s="139"/>
      <c r="B313" s="139"/>
      <c r="C313" s="139"/>
      <c r="D313" s="139"/>
      <c r="E313" s="139"/>
      <c r="F313" s="139"/>
      <c r="G313" s="139"/>
      <c r="H313" s="140"/>
      <c r="I313" s="139"/>
      <c r="J313" s="139"/>
      <c r="K313" s="139"/>
      <c r="L313" s="139"/>
      <c r="M313" s="139"/>
      <c r="N313" s="139"/>
      <c r="O313" s="139"/>
      <c r="P313" s="139"/>
      <c r="Q313" s="139"/>
      <c r="R313" s="141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 ht="18.0" customHeight="1">
      <c r="A473" s="7"/>
      <c r="B473" s="7"/>
      <c r="C473" s="7"/>
      <c r="D473" s="7"/>
      <c r="E473" s="7"/>
      <c r="F473" s="7"/>
      <c r="G473" s="7"/>
      <c r="H473" s="264"/>
      <c r="I473" s="7"/>
      <c r="J473" s="7"/>
      <c r="K473" s="7"/>
      <c r="L473" s="7"/>
      <c r="M473" s="7"/>
      <c r="N473" s="7"/>
      <c r="O473" s="7"/>
      <c r="P473" s="7"/>
      <c r="Q473" s="7"/>
      <c r="R473" s="265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 ht="18.0" customHeight="1">
      <c r="A474" s="7"/>
      <c r="B474" s="7"/>
      <c r="C474" s="7"/>
      <c r="D474" s="7"/>
      <c r="E474" s="7"/>
      <c r="F474" s="7"/>
      <c r="G474" s="7"/>
      <c r="H474" s="264"/>
      <c r="I474" s="7"/>
      <c r="J474" s="7"/>
      <c r="K474" s="7"/>
      <c r="L474" s="7"/>
      <c r="M474" s="7"/>
      <c r="N474" s="7"/>
      <c r="O474" s="7"/>
      <c r="P474" s="7"/>
      <c r="Q474" s="7"/>
      <c r="R474" s="265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 ht="18.0" customHeight="1">
      <c r="A475" s="7"/>
      <c r="B475" s="7"/>
      <c r="C475" s="7"/>
      <c r="D475" s="7"/>
      <c r="E475" s="7"/>
      <c r="F475" s="7"/>
      <c r="G475" s="7"/>
      <c r="H475" s="264"/>
      <c r="I475" s="7"/>
      <c r="J475" s="7"/>
      <c r="K475" s="7"/>
      <c r="L475" s="7"/>
      <c r="M475" s="7"/>
      <c r="N475" s="7"/>
      <c r="O475" s="7"/>
      <c r="P475" s="7"/>
      <c r="Q475" s="7"/>
      <c r="R475" s="265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 ht="18.0" customHeight="1">
      <c r="A476" s="7"/>
      <c r="B476" s="7"/>
      <c r="C476" s="7"/>
      <c r="D476" s="7"/>
      <c r="E476" s="7"/>
      <c r="F476" s="7"/>
      <c r="G476" s="7"/>
      <c r="H476" s="264"/>
      <c r="I476" s="7"/>
      <c r="J476" s="7"/>
      <c r="K476" s="7"/>
      <c r="L476" s="7"/>
      <c r="M476" s="7"/>
      <c r="N476" s="7"/>
      <c r="O476" s="7"/>
      <c r="P476" s="7"/>
      <c r="Q476" s="7"/>
      <c r="R476" s="265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 ht="18.0" customHeight="1">
      <c r="A477" s="7"/>
      <c r="B477" s="7"/>
      <c r="C477" s="7"/>
      <c r="D477" s="7"/>
      <c r="E477" s="7"/>
      <c r="F477" s="7"/>
      <c r="G477" s="7"/>
      <c r="H477" s="264"/>
      <c r="I477" s="7"/>
      <c r="J477" s="7"/>
      <c r="K477" s="7"/>
      <c r="L477" s="7"/>
      <c r="M477" s="7"/>
      <c r="N477" s="7"/>
      <c r="O477" s="7"/>
      <c r="P477" s="7"/>
      <c r="Q477" s="7"/>
      <c r="R477" s="265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 ht="18.0" customHeight="1">
      <c r="A478" s="7"/>
      <c r="B478" s="7"/>
      <c r="C478" s="7"/>
      <c r="D478" s="7"/>
      <c r="E478" s="7"/>
      <c r="F478" s="7"/>
      <c r="G478" s="7"/>
      <c r="H478" s="264"/>
      <c r="I478" s="7"/>
      <c r="J478" s="7"/>
      <c r="K478" s="7"/>
      <c r="L478" s="7"/>
      <c r="M478" s="7"/>
      <c r="N478" s="7"/>
      <c r="O478" s="7"/>
      <c r="P478" s="7"/>
      <c r="Q478" s="7"/>
      <c r="R478" s="265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 ht="18.0" customHeight="1">
      <c r="A479" s="7"/>
      <c r="B479" s="7"/>
      <c r="C479" s="7"/>
      <c r="D479" s="7"/>
      <c r="E479" s="7"/>
      <c r="F479" s="7"/>
      <c r="G479" s="7"/>
      <c r="H479" s="264"/>
      <c r="I479" s="7"/>
      <c r="J479" s="7"/>
      <c r="K479" s="7"/>
      <c r="L479" s="7"/>
      <c r="M479" s="7"/>
      <c r="N479" s="7"/>
      <c r="O479" s="7"/>
      <c r="P479" s="7"/>
      <c r="Q479" s="7"/>
      <c r="R479" s="265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 ht="18.0" customHeight="1">
      <c r="A480" s="7"/>
      <c r="B480" s="7"/>
      <c r="C480" s="7"/>
      <c r="D480" s="7"/>
      <c r="E480" s="7"/>
      <c r="F480" s="7"/>
      <c r="G480" s="7"/>
      <c r="H480" s="264"/>
      <c r="I480" s="7"/>
      <c r="J480" s="7"/>
      <c r="K480" s="7"/>
      <c r="L480" s="7"/>
      <c r="M480" s="7"/>
      <c r="N480" s="7"/>
      <c r="O480" s="7"/>
      <c r="P480" s="7"/>
      <c r="Q480" s="7"/>
      <c r="R480" s="265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 ht="18.0" customHeight="1">
      <c r="A481" s="7"/>
      <c r="B481" s="7"/>
      <c r="C481" s="7"/>
      <c r="D481" s="7"/>
      <c r="E481" s="7"/>
      <c r="F481" s="7"/>
      <c r="G481" s="7"/>
      <c r="H481" s="264"/>
      <c r="I481" s="7"/>
      <c r="J481" s="7"/>
      <c r="K481" s="7"/>
      <c r="L481" s="7"/>
      <c r="M481" s="7"/>
      <c r="N481" s="7"/>
      <c r="O481" s="7"/>
      <c r="P481" s="7"/>
      <c r="Q481" s="7"/>
      <c r="R481" s="265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 ht="18.0" customHeight="1">
      <c r="A482" s="7"/>
      <c r="B482" s="7"/>
      <c r="C482" s="7"/>
      <c r="D482" s="7"/>
      <c r="E482" s="7"/>
      <c r="F482" s="7"/>
      <c r="G482" s="7"/>
      <c r="H482" s="264"/>
      <c r="I482" s="7"/>
      <c r="J482" s="7"/>
      <c r="K482" s="7"/>
      <c r="L482" s="7"/>
      <c r="M482" s="7"/>
      <c r="N482" s="7"/>
      <c r="O482" s="7"/>
      <c r="P482" s="7"/>
      <c r="Q482" s="7"/>
      <c r="R482" s="265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 ht="18.0" customHeight="1">
      <c r="A483" s="7"/>
      <c r="B483" s="7"/>
      <c r="C483" s="7"/>
      <c r="D483" s="7"/>
      <c r="E483" s="7"/>
      <c r="F483" s="7"/>
      <c r="G483" s="7"/>
      <c r="H483" s="264"/>
      <c r="I483" s="7"/>
      <c r="J483" s="7"/>
      <c r="K483" s="7"/>
      <c r="L483" s="7"/>
      <c r="M483" s="7"/>
      <c r="N483" s="7"/>
      <c r="O483" s="7"/>
      <c r="P483" s="7"/>
      <c r="Q483" s="7"/>
      <c r="R483" s="265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 ht="18.0" customHeight="1">
      <c r="A484" s="7"/>
      <c r="B484" s="7"/>
      <c r="C484" s="7"/>
      <c r="D484" s="7"/>
      <c r="E484" s="7"/>
      <c r="F484" s="7"/>
      <c r="G484" s="7"/>
      <c r="H484" s="264"/>
      <c r="I484" s="7"/>
      <c r="J484" s="7"/>
      <c r="K484" s="7"/>
      <c r="L484" s="7"/>
      <c r="M484" s="7"/>
      <c r="N484" s="7"/>
      <c r="O484" s="7"/>
      <c r="P484" s="7"/>
      <c r="Q484" s="7"/>
      <c r="R484" s="265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 ht="18.0" customHeight="1">
      <c r="A485" s="7"/>
      <c r="B485" s="7"/>
      <c r="C485" s="7"/>
      <c r="D485" s="7"/>
      <c r="E485" s="7"/>
      <c r="F485" s="7"/>
      <c r="G485" s="7"/>
      <c r="H485" s="264"/>
      <c r="I485" s="7"/>
      <c r="J485" s="7"/>
      <c r="K485" s="7"/>
      <c r="L485" s="7"/>
      <c r="M485" s="7"/>
      <c r="N485" s="7"/>
      <c r="O485" s="7"/>
      <c r="P485" s="7"/>
      <c r="Q485" s="7"/>
      <c r="R485" s="265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 ht="18.0" customHeight="1">
      <c r="A486" s="7"/>
      <c r="B486" s="7"/>
      <c r="C486" s="7"/>
      <c r="D486" s="7"/>
      <c r="E486" s="7"/>
      <c r="F486" s="7"/>
      <c r="G486" s="7"/>
      <c r="H486" s="264"/>
      <c r="I486" s="7"/>
      <c r="J486" s="7"/>
      <c r="K486" s="7"/>
      <c r="L486" s="7"/>
      <c r="M486" s="7"/>
      <c r="N486" s="7"/>
      <c r="O486" s="7"/>
      <c r="P486" s="7"/>
      <c r="Q486" s="7"/>
      <c r="R486" s="265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 ht="18.0" customHeight="1">
      <c r="A487" s="7"/>
      <c r="B487" s="7"/>
      <c r="C487" s="7"/>
      <c r="D487" s="7"/>
      <c r="E487" s="7"/>
      <c r="F487" s="7"/>
      <c r="G487" s="7"/>
      <c r="H487" s="264"/>
      <c r="I487" s="7"/>
      <c r="J487" s="7"/>
      <c r="K487" s="7"/>
      <c r="L487" s="7"/>
      <c r="M487" s="7"/>
      <c r="N487" s="7"/>
      <c r="O487" s="7"/>
      <c r="P487" s="7"/>
      <c r="Q487" s="7"/>
      <c r="R487" s="265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 ht="18.0" customHeight="1">
      <c r="A488" s="7"/>
      <c r="B488" s="7"/>
      <c r="C488" s="7"/>
      <c r="D488" s="7"/>
      <c r="E488" s="7"/>
      <c r="F488" s="7"/>
      <c r="G488" s="7"/>
      <c r="H488" s="264"/>
      <c r="I488" s="7"/>
      <c r="J488" s="7"/>
      <c r="K488" s="7"/>
      <c r="L488" s="7"/>
      <c r="M488" s="7"/>
      <c r="N488" s="7"/>
      <c r="O488" s="7"/>
      <c r="P488" s="7"/>
      <c r="Q488" s="7"/>
      <c r="R488" s="265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 ht="18.0" customHeight="1">
      <c r="A489" s="7"/>
      <c r="B489" s="7"/>
      <c r="C489" s="7"/>
      <c r="D489" s="7"/>
      <c r="E489" s="7"/>
      <c r="F489" s="7"/>
      <c r="G489" s="7"/>
      <c r="H489" s="264"/>
      <c r="I489" s="7"/>
      <c r="J489" s="7"/>
      <c r="K489" s="7"/>
      <c r="L489" s="7"/>
      <c r="M489" s="7"/>
      <c r="N489" s="7"/>
      <c r="O489" s="7"/>
      <c r="P489" s="7"/>
      <c r="Q489" s="7"/>
      <c r="R489" s="265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 ht="18.0" customHeight="1">
      <c r="A490" s="7"/>
      <c r="B490" s="7"/>
      <c r="C490" s="7"/>
      <c r="D490" s="7"/>
      <c r="E490" s="7"/>
      <c r="F490" s="7"/>
      <c r="G490" s="7"/>
      <c r="H490" s="264"/>
      <c r="I490" s="7"/>
      <c r="J490" s="7"/>
      <c r="K490" s="7"/>
      <c r="L490" s="7"/>
      <c r="M490" s="7"/>
      <c r="N490" s="7"/>
      <c r="O490" s="7"/>
      <c r="P490" s="7"/>
      <c r="Q490" s="7"/>
      <c r="R490" s="265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 ht="18.0" customHeight="1">
      <c r="A491" s="7"/>
      <c r="B491" s="7"/>
      <c r="C491" s="7"/>
      <c r="D491" s="7"/>
      <c r="E491" s="7"/>
      <c r="F491" s="7"/>
      <c r="G491" s="7"/>
      <c r="H491" s="264"/>
      <c r="I491" s="7"/>
      <c r="J491" s="7"/>
      <c r="K491" s="7"/>
      <c r="L491" s="7"/>
      <c r="M491" s="7"/>
      <c r="N491" s="7"/>
      <c r="O491" s="7"/>
      <c r="P491" s="7"/>
      <c r="Q491" s="7"/>
      <c r="R491" s="265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 ht="18.0" customHeight="1">
      <c r="A492" s="7"/>
      <c r="B492" s="7"/>
      <c r="C492" s="7"/>
      <c r="D492" s="7"/>
      <c r="E492" s="7"/>
      <c r="F492" s="7"/>
      <c r="G492" s="7"/>
      <c r="H492" s="264"/>
      <c r="I492" s="7"/>
      <c r="J492" s="7"/>
      <c r="K492" s="7"/>
      <c r="L492" s="7"/>
      <c r="M492" s="7"/>
      <c r="N492" s="7"/>
      <c r="O492" s="7"/>
      <c r="P492" s="7"/>
      <c r="Q492" s="7"/>
      <c r="R492" s="265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 ht="18.0" customHeight="1">
      <c r="A493" s="7"/>
      <c r="B493" s="7"/>
      <c r="C493" s="7"/>
      <c r="D493" s="7"/>
      <c r="E493" s="7"/>
      <c r="F493" s="7"/>
      <c r="G493" s="7"/>
      <c r="H493" s="264"/>
      <c r="I493" s="7"/>
      <c r="J493" s="7"/>
      <c r="K493" s="7"/>
      <c r="L493" s="7"/>
      <c r="M493" s="7"/>
      <c r="N493" s="7"/>
      <c r="O493" s="7"/>
      <c r="P493" s="7"/>
      <c r="Q493" s="7"/>
      <c r="R493" s="265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 ht="18.0" customHeight="1">
      <c r="A494" s="7"/>
      <c r="B494" s="7"/>
      <c r="C494" s="7"/>
      <c r="D494" s="7"/>
      <c r="E494" s="7"/>
      <c r="F494" s="7"/>
      <c r="G494" s="7"/>
      <c r="H494" s="264"/>
      <c r="I494" s="7"/>
      <c r="J494" s="7"/>
      <c r="K494" s="7"/>
      <c r="L494" s="7"/>
      <c r="M494" s="7"/>
      <c r="N494" s="7"/>
      <c r="O494" s="7"/>
      <c r="P494" s="7"/>
      <c r="Q494" s="7"/>
      <c r="R494" s="265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 ht="18.0" customHeight="1">
      <c r="A495" s="7"/>
      <c r="B495" s="7"/>
      <c r="C495" s="7"/>
      <c r="D495" s="7"/>
      <c r="E495" s="7"/>
      <c r="F495" s="7"/>
      <c r="G495" s="7"/>
      <c r="H495" s="264"/>
      <c r="I495" s="7"/>
      <c r="J495" s="7"/>
      <c r="K495" s="7"/>
      <c r="L495" s="7"/>
      <c r="M495" s="7"/>
      <c r="N495" s="7"/>
      <c r="O495" s="7"/>
      <c r="P495" s="7"/>
      <c r="Q495" s="7"/>
      <c r="R495" s="265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 ht="18.0" customHeight="1">
      <c r="A496" s="7"/>
      <c r="B496" s="7"/>
      <c r="C496" s="7"/>
      <c r="D496" s="7"/>
      <c r="E496" s="7"/>
      <c r="F496" s="7"/>
      <c r="G496" s="7"/>
      <c r="H496" s="264"/>
      <c r="I496" s="7"/>
      <c r="J496" s="7"/>
      <c r="K496" s="7"/>
      <c r="L496" s="7"/>
      <c r="M496" s="7"/>
      <c r="N496" s="7"/>
      <c r="O496" s="7"/>
      <c r="P496" s="7"/>
      <c r="Q496" s="7"/>
      <c r="R496" s="265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 ht="18.0" customHeight="1">
      <c r="A497" s="7"/>
      <c r="B497" s="7"/>
      <c r="C497" s="7"/>
      <c r="D497" s="7"/>
      <c r="E497" s="7"/>
      <c r="F497" s="7"/>
      <c r="G497" s="7"/>
      <c r="H497" s="264"/>
      <c r="I497" s="7"/>
      <c r="J497" s="7"/>
      <c r="K497" s="7"/>
      <c r="L497" s="7"/>
      <c r="M497" s="7"/>
      <c r="N497" s="7"/>
      <c r="O497" s="7"/>
      <c r="P497" s="7"/>
      <c r="Q497" s="7"/>
      <c r="R497" s="265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 ht="18.0" customHeight="1">
      <c r="A498" s="7"/>
      <c r="B498" s="7"/>
      <c r="C498" s="7"/>
      <c r="D498" s="7"/>
      <c r="E498" s="7"/>
      <c r="F498" s="7"/>
      <c r="G498" s="7"/>
      <c r="H498" s="264"/>
      <c r="I498" s="7"/>
      <c r="J498" s="7"/>
      <c r="K498" s="7"/>
      <c r="L498" s="7"/>
      <c r="M498" s="7"/>
      <c r="N498" s="7"/>
      <c r="O498" s="7"/>
      <c r="P498" s="7"/>
      <c r="Q498" s="7"/>
      <c r="R498" s="265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 ht="18.0" customHeight="1">
      <c r="A499" s="7"/>
      <c r="B499" s="7"/>
      <c r="C499" s="7"/>
      <c r="D499" s="7"/>
      <c r="E499" s="7"/>
      <c r="F499" s="7"/>
      <c r="G499" s="7"/>
      <c r="H499" s="264"/>
      <c r="I499" s="7"/>
      <c r="J499" s="7"/>
      <c r="K499" s="7"/>
      <c r="L499" s="7"/>
      <c r="M499" s="7"/>
      <c r="N499" s="7"/>
      <c r="O499" s="7"/>
      <c r="P499" s="7"/>
      <c r="Q499" s="7"/>
      <c r="R499" s="265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 ht="18.0" customHeight="1">
      <c r="A500" s="7"/>
      <c r="B500" s="7"/>
      <c r="C500" s="7"/>
      <c r="D500" s="7"/>
      <c r="E500" s="7"/>
      <c r="F500" s="7"/>
      <c r="G500" s="7"/>
      <c r="H500" s="264"/>
      <c r="I500" s="7"/>
      <c r="J500" s="7"/>
      <c r="K500" s="7"/>
      <c r="L500" s="7"/>
      <c r="M500" s="7"/>
      <c r="N500" s="7"/>
      <c r="O500" s="7"/>
      <c r="P500" s="7"/>
      <c r="Q500" s="7"/>
      <c r="R500" s="265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 ht="18.0" customHeight="1">
      <c r="A501" s="7"/>
      <c r="B501" s="7"/>
      <c r="C501" s="7"/>
      <c r="D501" s="7"/>
      <c r="E501" s="7"/>
      <c r="F501" s="7"/>
      <c r="G501" s="7"/>
      <c r="H501" s="264"/>
      <c r="I501" s="7"/>
      <c r="J501" s="7"/>
      <c r="K501" s="7"/>
      <c r="L501" s="7"/>
      <c r="M501" s="7"/>
      <c r="N501" s="7"/>
      <c r="O501" s="7"/>
      <c r="P501" s="7"/>
      <c r="Q501" s="7"/>
      <c r="R501" s="265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 ht="18.0" customHeight="1">
      <c r="A502" s="7"/>
      <c r="B502" s="7"/>
      <c r="C502" s="7"/>
      <c r="D502" s="7"/>
      <c r="E502" s="7"/>
      <c r="F502" s="7"/>
      <c r="G502" s="7"/>
      <c r="H502" s="264"/>
      <c r="I502" s="7"/>
      <c r="J502" s="7"/>
      <c r="K502" s="7"/>
      <c r="L502" s="7"/>
      <c r="M502" s="7"/>
      <c r="N502" s="7"/>
      <c r="O502" s="7"/>
      <c r="P502" s="7"/>
      <c r="Q502" s="7"/>
      <c r="R502" s="265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 ht="18.0" customHeight="1">
      <c r="A503" s="7"/>
      <c r="B503" s="7"/>
      <c r="C503" s="7"/>
      <c r="D503" s="7"/>
      <c r="E503" s="7"/>
      <c r="F503" s="7"/>
      <c r="G503" s="7"/>
      <c r="H503" s="264"/>
      <c r="I503" s="7"/>
      <c r="J503" s="7"/>
      <c r="K503" s="7"/>
      <c r="L503" s="7"/>
      <c r="M503" s="7"/>
      <c r="N503" s="7"/>
      <c r="O503" s="7"/>
      <c r="P503" s="7"/>
      <c r="Q503" s="7"/>
      <c r="R503" s="265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 ht="18.0" customHeight="1">
      <c r="A504" s="7"/>
      <c r="B504" s="7"/>
      <c r="C504" s="7"/>
      <c r="D504" s="7"/>
      <c r="E504" s="7"/>
      <c r="F504" s="7"/>
      <c r="G504" s="7"/>
      <c r="H504" s="264"/>
      <c r="I504" s="7"/>
      <c r="J504" s="7"/>
      <c r="K504" s="7"/>
      <c r="L504" s="7"/>
      <c r="M504" s="7"/>
      <c r="N504" s="7"/>
      <c r="O504" s="7"/>
      <c r="P504" s="7"/>
      <c r="Q504" s="7"/>
      <c r="R504" s="265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 ht="18.0" customHeight="1">
      <c r="A505" s="7"/>
      <c r="B505" s="7"/>
      <c r="C505" s="7"/>
      <c r="D505" s="7"/>
      <c r="E505" s="7"/>
      <c r="F505" s="7"/>
      <c r="G505" s="7"/>
      <c r="H505" s="264"/>
      <c r="I505" s="7"/>
      <c r="J505" s="7"/>
      <c r="K505" s="7"/>
      <c r="L505" s="7"/>
      <c r="M505" s="7"/>
      <c r="N505" s="7"/>
      <c r="O505" s="7"/>
      <c r="P505" s="7"/>
      <c r="Q505" s="7"/>
      <c r="R505" s="265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 ht="18.0" customHeight="1">
      <c r="A506" s="7"/>
      <c r="B506" s="7"/>
      <c r="C506" s="7"/>
      <c r="D506" s="7"/>
      <c r="E506" s="7"/>
      <c r="F506" s="7"/>
      <c r="G506" s="7"/>
      <c r="H506" s="264"/>
      <c r="I506" s="7"/>
      <c r="J506" s="7"/>
      <c r="K506" s="7"/>
      <c r="L506" s="7"/>
      <c r="M506" s="7"/>
      <c r="N506" s="7"/>
      <c r="O506" s="7"/>
      <c r="P506" s="7"/>
      <c r="Q506" s="7"/>
      <c r="R506" s="265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 ht="18.0" customHeight="1">
      <c r="A507" s="7"/>
      <c r="B507" s="7"/>
      <c r="C507" s="7"/>
      <c r="D507" s="7"/>
      <c r="E507" s="7"/>
      <c r="F507" s="7"/>
      <c r="G507" s="7"/>
      <c r="H507" s="264"/>
      <c r="I507" s="7"/>
      <c r="J507" s="7"/>
      <c r="K507" s="7"/>
      <c r="L507" s="7"/>
      <c r="M507" s="7"/>
      <c r="N507" s="7"/>
      <c r="O507" s="7"/>
      <c r="P507" s="7"/>
      <c r="Q507" s="7"/>
      <c r="R507" s="265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 ht="18.0" customHeight="1">
      <c r="A508" s="7"/>
      <c r="B508" s="7"/>
      <c r="C508" s="7"/>
      <c r="D508" s="7"/>
      <c r="E508" s="7"/>
      <c r="F508" s="7"/>
      <c r="G508" s="7"/>
      <c r="H508" s="264"/>
      <c r="I508" s="7"/>
      <c r="J508" s="7"/>
      <c r="K508" s="7"/>
      <c r="L508" s="7"/>
      <c r="M508" s="7"/>
      <c r="N508" s="7"/>
      <c r="O508" s="7"/>
      <c r="P508" s="7"/>
      <c r="Q508" s="7"/>
      <c r="R508" s="265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 ht="18.0" customHeight="1">
      <c r="A509" s="7"/>
      <c r="B509" s="7"/>
      <c r="C509" s="7"/>
      <c r="D509" s="7"/>
      <c r="E509" s="7"/>
      <c r="F509" s="7"/>
      <c r="G509" s="7"/>
      <c r="H509" s="264"/>
      <c r="I509" s="7"/>
      <c r="J509" s="7"/>
      <c r="K509" s="7"/>
      <c r="L509" s="7"/>
      <c r="M509" s="7"/>
      <c r="N509" s="7"/>
      <c r="O509" s="7"/>
      <c r="P509" s="7"/>
      <c r="Q509" s="7"/>
      <c r="R509" s="265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47:E247"/>
    <mergeCell ref="C261:E26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44532.0</v>
      </c>
      <c r="J4" s="139" t="str">
        <f>+B8&amp;"/"&amp;B9&amp;"/"&amp;B10&amp;"/"&amp;B11&amp;"/"&amp;B12&amp;"/"&amp;B13&amp;"/"&amp;B14&amp;"/"&amp;B15</f>
        <v>D2550GT CC/D2550GT CC/D2550GT/D2670CC/D2270CC/D1870CC//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76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+I238</f>
        <v>0.01878373696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77</v>
      </c>
      <c r="C8" s="155">
        <v>25.5</v>
      </c>
      <c r="D8" s="156">
        <v>0.0579</v>
      </c>
      <c r="E8" s="157">
        <f>268.461*1.8</f>
        <v>483.2298</v>
      </c>
      <c r="F8" s="157"/>
      <c r="G8" s="157"/>
      <c r="H8" s="158">
        <v>1.8</v>
      </c>
      <c r="I8" s="159">
        <f t="shared" ref="I8:I20" si="1">+D8*E8</f>
        <v>27.97900542</v>
      </c>
      <c r="J8" s="160">
        <f t="shared" ref="J8:J20" si="2">E8-I8</f>
        <v>455.2507946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77</v>
      </c>
      <c r="C9" s="155">
        <v>25.5</v>
      </c>
      <c r="D9" s="156">
        <v>0.0579</v>
      </c>
      <c r="E9" s="157">
        <f>268.461*6.5</f>
        <v>1744.9965</v>
      </c>
      <c r="F9" s="157"/>
      <c r="G9" s="157"/>
      <c r="H9" s="158">
        <v>6.5</v>
      </c>
      <c r="I9" s="159">
        <f t="shared" si="1"/>
        <v>101.0352974</v>
      </c>
      <c r="J9" s="160">
        <f t="shared" si="2"/>
        <v>1643.961203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78</v>
      </c>
      <c r="C10" s="155">
        <v>25.5</v>
      </c>
      <c r="D10" s="156">
        <v>0.0577</v>
      </c>
      <c r="E10" s="157">
        <f>262.54*45.3</f>
        <v>11893.062</v>
      </c>
      <c r="F10" s="157"/>
      <c r="G10" s="157"/>
      <c r="H10" s="158">
        <v>45.3</v>
      </c>
      <c r="I10" s="159">
        <f t="shared" si="1"/>
        <v>686.2296774</v>
      </c>
      <c r="J10" s="160">
        <f t="shared" si="2"/>
        <v>11206.83232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79</v>
      </c>
      <c r="C11" s="155">
        <v>26.5</v>
      </c>
      <c r="D11" s="156">
        <v>0.0545</v>
      </c>
      <c r="E11" s="157">
        <f>236.248*22.1</f>
        <v>5221.0808</v>
      </c>
      <c r="F11" s="157"/>
      <c r="G11" s="157"/>
      <c r="H11" s="158">
        <v>22.1</v>
      </c>
      <c r="I11" s="159">
        <f t="shared" si="1"/>
        <v>284.5489036</v>
      </c>
      <c r="J11" s="160">
        <f t="shared" si="2"/>
        <v>4936.531896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80</v>
      </c>
      <c r="C12" s="155">
        <v>22.5</v>
      </c>
      <c r="D12" s="163">
        <v>0.0737</v>
      </c>
      <c r="E12" s="164">
        <f>243.599*33.6</f>
        <v>8184.9264</v>
      </c>
      <c r="F12" s="164"/>
      <c r="G12" s="164"/>
      <c r="H12" s="158">
        <v>33.6</v>
      </c>
      <c r="I12" s="159">
        <f t="shared" si="1"/>
        <v>603.2290757</v>
      </c>
      <c r="J12" s="160">
        <f t="shared" si="2"/>
        <v>7581.697324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81</v>
      </c>
      <c r="C13" s="162">
        <v>18.5</v>
      </c>
      <c r="D13" s="163">
        <v>0.0999</v>
      </c>
      <c r="E13" s="164">
        <f>212.508*19.8</f>
        <v>4207.6584</v>
      </c>
      <c r="F13" s="164"/>
      <c r="G13" s="164"/>
      <c r="H13" s="158">
        <v>19.8</v>
      </c>
      <c r="I13" s="159">
        <f t="shared" si="1"/>
        <v>420.3450742</v>
      </c>
      <c r="J13" s="160">
        <f t="shared" si="2"/>
        <v>3787.313326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5"/>
      <c r="B21" s="166"/>
      <c r="C21" s="167"/>
      <c r="D21" s="168"/>
      <c r="E21" s="169">
        <f>SUM(E8:E20)</f>
        <v>31734.9539</v>
      </c>
      <c r="F21" s="170"/>
      <c r="G21" s="170"/>
      <c r="H21" s="171"/>
      <c r="I21" s="172">
        <f t="shared" ref="I21:J21" si="3">SUM(I8:I20)</f>
        <v>2123.367034</v>
      </c>
      <c r="J21" s="173">
        <f t="shared" si="3"/>
        <v>29611.58687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4"/>
      <c r="B22" s="144"/>
      <c r="C22" s="144"/>
      <c r="D22" s="175"/>
      <c r="E22" s="176"/>
      <c r="F22" s="151"/>
      <c r="G22" s="151"/>
      <c r="H22" s="147"/>
      <c r="I22" s="177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40.5" customHeight="1">
      <c r="A27" s="178"/>
      <c r="B27" s="162" t="s">
        <v>12</v>
      </c>
      <c r="C27" s="179" t="s">
        <v>60</v>
      </c>
      <c r="D27" s="52"/>
      <c r="E27" s="53"/>
      <c r="F27" s="180"/>
      <c r="G27" s="180"/>
      <c r="H27" s="181" t="s">
        <v>14</v>
      </c>
      <c r="I27" s="162" t="s">
        <v>15</v>
      </c>
      <c r="J27" s="162" t="s">
        <v>16</v>
      </c>
      <c r="K27" s="139"/>
      <c r="L27" s="162" t="s">
        <v>17</v>
      </c>
      <c r="M27" s="162" t="s">
        <v>15</v>
      </c>
      <c r="N27" s="178" t="s">
        <v>18</v>
      </c>
      <c r="O27" s="139"/>
      <c r="P27" s="139"/>
      <c r="Q27" s="178" t="s">
        <v>61</v>
      </c>
      <c r="R27" s="182"/>
      <c r="S27" s="162" t="s">
        <v>17</v>
      </c>
      <c r="T27" s="162" t="s">
        <v>15</v>
      </c>
      <c r="U27" s="178" t="s">
        <v>18</v>
      </c>
      <c r="V27" s="139"/>
      <c r="W27" s="178" t="s">
        <v>19</v>
      </c>
      <c r="X27" s="178" t="s">
        <v>20</v>
      </c>
      <c r="Y27" s="178" t="s">
        <v>21</v>
      </c>
      <c r="Z27" s="178" t="s">
        <v>82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2">
        <v>1.0</v>
      </c>
      <c r="B28" s="183" t="s">
        <v>83</v>
      </c>
      <c r="C28" s="184">
        <v>96.0</v>
      </c>
      <c r="D28" s="184">
        <v>202.0</v>
      </c>
      <c r="E28" s="184">
        <v>186.0</v>
      </c>
      <c r="F28" s="184">
        <f t="shared" ref="F28:F184" si="5">VALUE(IF(RIGHT(B28, 1)="%", RIGHT(B28, 3), 0))</f>
        <v>0.8</v>
      </c>
      <c r="G28" s="184">
        <f t="shared" ref="G28:G184" si="6">+R28*C28/100*D28/100*E28/100</f>
        <v>90.1728</v>
      </c>
      <c r="H28" s="185">
        <f t="shared" ref="H28:H184" si="7">IF(F28=0, G28, F28*G28)</f>
        <v>72.13824</v>
      </c>
      <c r="I28" s="184">
        <v>1.0</v>
      </c>
      <c r="J28" s="186">
        <f t="shared" ref="J28:J184" si="8">+I28*H28</f>
        <v>72.13824</v>
      </c>
      <c r="K28" s="187"/>
      <c r="L28" s="188">
        <f>D28*25.4/1000</f>
        <v>5.1308</v>
      </c>
      <c r="M28" s="189">
        <f>+I28</f>
        <v>1</v>
      </c>
      <c r="N28" s="189">
        <f>M28*L28</f>
        <v>5.1308</v>
      </c>
      <c r="O28" s="187"/>
      <c r="P28" s="187"/>
      <c r="Q28" s="188">
        <v>96.0</v>
      </c>
      <c r="R28" s="190">
        <v>25.0</v>
      </c>
      <c r="S28" s="178">
        <f t="shared" ref="S28:S185" si="9">E28/100</f>
        <v>1.86</v>
      </c>
      <c r="T28" s="162">
        <f t="shared" ref="T28:T185" si="10">I28</f>
        <v>1</v>
      </c>
      <c r="U28" s="162">
        <f t="shared" ref="U28:U185" si="11">T28*S28</f>
        <v>1.86</v>
      </c>
      <c r="V28" s="191">
        <f t="shared" ref="V28:V67" si="12">R28*C28/100*D28/100*E28/100</f>
        <v>90.1728</v>
      </c>
      <c r="W28" s="178">
        <f t="shared" ref="W28:X28" si="4">C28/100</f>
        <v>0.96</v>
      </c>
      <c r="X28" s="178">
        <f t="shared" si="4"/>
        <v>2.02</v>
      </c>
      <c r="Y28" s="178">
        <f t="shared" ref="Y28:Y185" si="14">U28</f>
        <v>1.86</v>
      </c>
      <c r="Z28" s="192">
        <f t="shared" ref="Z28:Z185" si="15">W28*X28*Y28</f>
        <v>3.606912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2">
        <v>2.0</v>
      </c>
      <c r="B29" s="183" t="s">
        <v>83</v>
      </c>
      <c r="C29" s="184">
        <v>98.0</v>
      </c>
      <c r="D29" s="184">
        <v>202.0</v>
      </c>
      <c r="E29" s="184">
        <v>177.0</v>
      </c>
      <c r="F29" s="184">
        <f t="shared" si="5"/>
        <v>0.8</v>
      </c>
      <c r="G29" s="184">
        <f t="shared" si="6"/>
        <v>87.5973</v>
      </c>
      <c r="H29" s="185">
        <f t="shared" si="7"/>
        <v>70.07784</v>
      </c>
      <c r="I29" s="184">
        <v>1.0</v>
      </c>
      <c r="J29" s="186">
        <f t="shared" si="8"/>
        <v>70.07784</v>
      </c>
      <c r="K29" s="187"/>
      <c r="L29" s="188"/>
      <c r="M29" s="189"/>
      <c r="N29" s="189"/>
      <c r="O29" s="187"/>
      <c r="P29" s="187"/>
      <c r="Q29" s="188">
        <v>93.0</v>
      </c>
      <c r="R29" s="190">
        <v>25.0</v>
      </c>
      <c r="S29" s="178">
        <f t="shared" si="9"/>
        <v>1.77</v>
      </c>
      <c r="T29" s="162">
        <f t="shared" si="10"/>
        <v>1</v>
      </c>
      <c r="U29" s="162">
        <f t="shared" si="11"/>
        <v>1.77</v>
      </c>
      <c r="V29" s="191">
        <f t="shared" si="12"/>
        <v>87.5973</v>
      </c>
      <c r="W29" s="178">
        <f t="shared" ref="W29:X29" si="13">C29/100</f>
        <v>0.98</v>
      </c>
      <c r="X29" s="178">
        <f t="shared" si="13"/>
        <v>2.02</v>
      </c>
      <c r="Y29" s="178">
        <f t="shared" si="14"/>
        <v>1.77</v>
      </c>
      <c r="Z29" s="192">
        <f t="shared" si="15"/>
        <v>3.503892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3.0</v>
      </c>
      <c r="B30" s="193" t="s">
        <v>84</v>
      </c>
      <c r="C30" s="193">
        <v>80.0</v>
      </c>
      <c r="D30" s="193">
        <v>202.0</v>
      </c>
      <c r="E30" s="193">
        <v>159.0</v>
      </c>
      <c r="F30" s="193">
        <f t="shared" si="5"/>
        <v>0</v>
      </c>
      <c r="G30" s="193">
        <f t="shared" si="6"/>
        <v>64.236</v>
      </c>
      <c r="H30" s="194">
        <f t="shared" si="7"/>
        <v>64.236</v>
      </c>
      <c r="I30" s="193">
        <v>1.0</v>
      </c>
      <c r="J30" s="195">
        <f t="shared" si="8"/>
        <v>64.236</v>
      </c>
      <c r="K30" s="139"/>
      <c r="L30" s="178">
        <f t="shared" ref="L30:L52" si="17">D30*25.4/1000</f>
        <v>5.1308</v>
      </c>
      <c r="M30" s="162">
        <f t="shared" ref="M30:M65" si="18">+I30</f>
        <v>1</v>
      </c>
      <c r="N30" s="162">
        <f t="shared" ref="N30:N52" si="19">M30*L30</f>
        <v>5.1308</v>
      </c>
      <c r="O30" s="139"/>
      <c r="P30" s="139"/>
      <c r="Q30" s="178">
        <v>73.0</v>
      </c>
      <c r="R30" s="190">
        <v>25.0</v>
      </c>
      <c r="S30" s="178">
        <f t="shared" si="9"/>
        <v>1.59</v>
      </c>
      <c r="T30" s="162">
        <f t="shared" si="10"/>
        <v>1</v>
      </c>
      <c r="U30" s="162">
        <f t="shared" si="11"/>
        <v>1.59</v>
      </c>
      <c r="V30" s="191">
        <f t="shared" si="12"/>
        <v>64.236</v>
      </c>
      <c r="W30" s="178">
        <f t="shared" ref="W30:X30" si="16">C30/100</f>
        <v>0.8</v>
      </c>
      <c r="X30" s="178">
        <f t="shared" si="16"/>
        <v>2.02</v>
      </c>
      <c r="Y30" s="178">
        <f t="shared" si="14"/>
        <v>1.59</v>
      </c>
      <c r="Z30" s="192">
        <f t="shared" si="15"/>
        <v>2.56944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4.0</v>
      </c>
      <c r="B31" s="193" t="s">
        <v>84</v>
      </c>
      <c r="C31" s="193">
        <v>96.0</v>
      </c>
      <c r="D31" s="193">
        <v>202.0</v>
      </c>
      <c r="E31" s="193">
        <v>201.0</v>
      </c>
      <c r="F31" s="193">
        <f t="shared" si="5"/>
        <v>0</v>
      </c>
      <c r="G31" s="193">
        <f t="shared" si="6"/>
        <v>97.4448</v>
      </c>
      <c r="H31" s="194">
        <f t="shared" si="7"/>
        <v>97.4448</v>
      </c>
      <c r="I31" s="193">
        <v>1.0</v>
      </c>
      <c r="J31" s="195">
        <f t="shared" si="8"/>
        <v>97.4448</v>
      </c>
      <c r="K31" s="139"/>
      <c r="L31" s="178">
        <f t="shared" si="17"/>
        <v>5.1308</v>
      </c>
      <c r="M31" s="162">
        <f t="shared" si="18"/>
        <v>1</v>
      </c>
      <c r="N31" s="162">
        <f t="shared" si="19"/>
        <v>5.1308</v>
      </c>
      <c r="O31" s="139"/>
      <c r="P31" s="139"/>
      <c r="Q31" s="178">
        <v>105.0</v>
      </c>
      <c r="R31" s="190">
        <v>25.0</v>
      </c>
      <c r="S31" s="178">
        <f t="shared" si="9"/>
        <v>2.01</v>
      </c>
      <c r="T31" s="162">
        <f t="shared" si="10"/>
        <v>1</v>
      </c>
      <c r="U31" s="162">
        <f t="shared" si="11"/>
        <v>2.01</v>
      </c>
      <c r="V31" s="191">
        <f t="shared" si="12"/>
        <v>97.4448</v>
      </c>
      <c r="W31" s="178">
        <f t="shared" ref="W31:X31" si="20">C31/100</f>
        <v>0.96</v>
      </c>
      <c r="X31" s="178">
        <f t="shared" si="20"/>
        <v>2.02</v>
      </c>
      <c r="Y31" s="178">
        <f t="shared" si="14"/>
        <v>2.01</v>
      </c>
      <c r="Z31" s="192">
        <f t="shared" si="15"/>
        <v>3.897792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5.0</v>
      </c>
      <c r="B32" s="193" t="s">
        <v>84</v>
      </c>
      <c r="C32" s="193">
        <v>84.0</v>
      </c>
      <c r="D32" s="193">
        <v>202.0</v>
      </c>
      <c r="E32" s="193">
        <v>134.0</v>
      </c>
      <c r="F32" s="193">
        <f t="shared" si="5"/>
        <v>0</v>
      </c>
      <c r="G32" s="193">
        <f t="shared" si="6"/>
        <v>56.8428</v>
      </c>
      <c r="H32" s="194">
        <f t="shared" si="7"/>
        <v>56.8428</v>
      </c>
      <c r="I32" s="193">
        <v>1.0</v>
      </c>
      <c r="J32" s="195">
        <f t="shared" si="8"/>
        <v>56.8428</v>
      </c>
      <c r="K32" s="139"/>
      <c r="L32" s="178">
        <f t="shared" si="17"/>
        <v>5.1308</v>
      </c>
      <c r="M32" s="162">
        <f t="shared" si="18"/>
        <v>1</v>
      </c>
      <c r="N32" s="162">
        <f t="shared" si="19"/>
        <v>5.1308</v>
      </c>
      <c r="O32" s="139"/>
      <c r="P32" s="139"/>
      <c r="Q32" s="178">
        <v>63.0</v>
      </c>
      <c r="R32" s="190">
        <v>25.0</v>
      </c>
      <c r="S32" s="178">
        <f t="shared" si="9"/>
        <v>1.34</v>
      </c>
      <c r="T32" s="162">
        <f t="shared" si="10"/>
        <v>1</v>
      </c>
      <c r="U32" s="162">
        <f t="shared" si="11"/>
        <v>1.34</v>
      </c>
      <c r="V32" s="191">
        <f t="shared" si="12"/>
        <v>56.8428</v>
      </c>
      <c r="W32" s="178">
        <f t="shared" ref="W32:X32" si="21">C32/100</f>
        <v>0.84</v>
      </c>
      <c r="X32" s="178">
        <f t="shared" si="21"/>
        <v>2.02</v>
      </c>
      <c r="Y32" s="178">
        <f t="shared" si="14"/>
        <v>1.34</v>
      </c>
      <c r="Z32" s="192">
        <f t="shared" si="15"/>
        <v>2.273712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6.0</v>
      </c>
      <c r="B33" s="193" t="s">
        <v>84</v>
      </c>
      <c r="C33" s="193">
        <v>99.0</v>
      </c>
      <c r="D33" s="193">
        <v>202.0</v>
      </c>
      <c r="E33" s="193">
        <v>198.0</v>
      </c>
      <c r="F33" s="193">
        <f t="shared" si="5"/>
        <v>0</v>
      </c>
      <c r="G33" s="193">
        <f t="shared" si="6"/>
        <v>98.9901</v>
      </c>
      <c r="H33" s="194">
        <f t="shared" si="7"/>
        <v>98.9901</v>
      </c>
      <c r="I33" s="193">
        <v>1.0</v>
      </c>
      <c r="J33" s="195">
        <f t="shared" si="8"/>
        <v>98.9901</v>
      </c>
      <c r="K33" s="139"/>
      <c r="L33" s="178">
        <f t="shared" si="17"/>
        <v>5.1308</v>
      </c>
      <c r="M33" s="162">
        <f t="shared" si="18"/>
        <v>1</v>
      </c>
      <c r="N33" s="162">
        <f t="shared" si="19"/>
        <v>5.1308</v>
      </c>
      <c r="O33" s="139"/>
      <c r="P33" s="139"/>
      <c r="Q33" s="178">
        <v>108.0</v>
      </c>
      <c r="R33" s="190">
        <v>25.0</v>
      </c>
      <c r="S33" s="178">
        <f t="shared" si="9"/>
        <v>1.98</v>
      </c>
      <c r="T33" s="162">
        <f t="shared" si="10"/>
        <v>1</v>
      </c>
      <c r="U33" s="162">
        <f t="shared" si="11"/>
        <v>1.98</v>
      </c>
      <c r="V33" s="191">
        <f t="shared" si="12"/>
        <v>98.9901</v>
      </c>
      <c r="W33" s="178">
        <f t="shared" ref="W33:X33" si="22">C33/100</f>
        <v>0.99</v>
      </c>
      <c r="X33" s="178">
        <f t="shared" si="22"/>
        <v>2.02</v>
      </c>
      <c r="Y33" s="178">
        <f t="shared" si="14"/>
        <v>1.98</v>
      </c>
      <c r="Z33" s="192">
        <f t="shared" si="15"/>
        <v>3.959604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7.0</v>
      </c>
      <c r="B34" s="193" t="s">
        <v>84</v>
      </c>
      <c r="C34" s="193">
        <v>101.0</v>
      </c>
      <c r="D34" s="193">
        <v>202.0</v>
      </c>
      <c r="E34" s="193">
        <v>2460.0</v>
      </c>
      <c r="F34" s="193">
        <f t="shared" si="5"/>
        <v>0</v>
      </c>
      <c r="G34" s="193">
        <f t="shared" si="6"/>
        <v>1254.723</v>
      </c>
      <c r="H34" s="194">
        <f t="shared" si="7"/>
        <v>1254.723</v>
      </c>
      <c r="I34" s="193">
        <v>1.0</v>
      </c>
      <c r="J34" s="195">
        <f t="shared" si="8"/>
        <v>1254.723</v>
      </c>
      <c r="K34" s="139"/>
      <c r="L34" s="178">
        <f t="shared" si="17"/>
        <v>5.1308</v>
      </c>
      <c r="M34" s="162">
        <f t="shared" si="18"/>
        <v>1</v>
      </c>
      <c r="N34" s="162">
        <f t="shared" si="19"/>
        <v>5.1308</v>
      </c>
      <c r="O34" s="139"/>
      <c r="P34" s="139"/>
      <c r="Q34" s="178">
        <v>1000.0</v>
      </c>
      <c r="R34" s="190">
        <v>25.0</v>
      </c>
      <c r="S34" s="178">
        <f t="shared" si="9"/>
        <v>24.6</v>
      </c>
      <c r="T34" s="162">
        <f t="shared" si="10"/>
        <v>1</v>
      </c>
      <c r="U34" s="162">
        <f t="shared" si="11"/>
        <v>24.6</v>
      </c>
      <c r="V34" s="191">
        <f t="shared" si="12"/>
        <v>1254.723</v>
      </c>
      <c r="W34" s="178">
        <f t="shared" ref="W34:X34" si="23">C34/100</f>
        <v>1.01</v>
      </c>
      <c r="X34" s="178">
        <f t="shared" si="23"/>
        <v>2.02</v>
      </c>
      <c r="Y34" s="178">
        <f t="shared" si="14"/>
        <v>24.6</v>
      </c>
      <c r="Z34" s="192">
        <f t="shared" si="15"/>
        <v>50.18892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8.0</v>
      </c>
      <c r="B35" s="183" t="s">
        <v>85</v>
      </c>
      <c r="C35" s="184">
        <v>93.0</v>
      </c>
      <c r="D35" s="184">
        <v>202.0</v>
      </c>
      <c r="E35" s="184">
        <v>174.0</v>
      </c>
      <c r="F35" s="184">
        <f t="shared" si="5"/>
        <v>0.8</v>
      </c>
      <c r="G35" s="184">
        <f t="shared" si="6"/>
        <v>83.353482</v>
      </c>
      <c r="H35" s="185">
        <f t="shared" si="7"/>
        <v>66.6827856</v>
      </c>
      <c r="I35" s="184">
        <v>1.0</v>
      </c>
      <c r="J35" s="186">
        <f t="shared" si="8"/>
        <v>66.6827856</v>
      </c>
      <c r="K35" s="187"/>
      <c r="L35" s="188">
        <f t="shared" si="17"/>
        <v>5.1308</v>
      </c>
      <c r="M35" s="189">
        <f t="shared" si="18"/>
        <v>1</v>
      </c>
      <c r="N35" s="189">
        <f t="shared" si="19"/>
        <v>5.1308</v>
      </c>
      <c r="O35" s="187"/>
      <c r="P35" s="187"/>
      <c r="Q35" s="188">
        <v>89.0</v>
      </c>
      <c r="R35" s="190">
        <v>25.5</v>
      </c>
      <c r="S35" s="178">
        <f t="shared" si="9"/>
        <v>1.74</v>
      </c>
      <c r="T35" s="162">
        <f t="shared" si="10"/>
        <v>1</v>
      </c>
      <c r="U35" s="162">
        <f t="shared" si="11"/>
        <v>1.74</v>
      </c>
      <c r="V35" s="191">
        <f t="shared" si="12"/>
        <v>83.353482</v>
      </c>
      <c r="W35" s="178">
        <f t="shared" ref="W35:X35" si="24">C35/100</f>
        <v>0.93</v>
      </c>
      <c r="X35" s="178">
        <f t="shared" si="24"/>
        <v>2.02</v>
      </c>
      <c r="Y35" s="178">
        <f t="shared" si="14"/>
        <v>1.74</v>
      </c>
      <c r="Z35" s="192">
        <f t="shared" si="15"/>
        <v>3.268764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9.0</v>
      </c>
      <c r="B36" s="193" t="s">
        <v>78</v>
      </c>
      <c r="C36" s="193">
        <v>92.0</v>
      </c>
      <c r="D36" s="193">
        <v>202.0</v>
      </c>
      <c r="E36" s="193">
        <v>172.0</v>
      </c>
      <c r="F36" s="193">
        <f t="shared" si="5"/>
        <v>0</v>
      </c>
      <c r="G36" s="193">
        <f t="shared" si="6"/>
        <v>81.509424</v>
      </c>
      <c r="H36" s="194">
        <f t="shared" si="7"/>
        <v>81.509424</v>
      </c>
      <c r="I36" s="193">
        <v>1.0</v>
      </c>
      <c r="J36" s="195">
        <f t="shared" si="8"/>
        <v>81.509424</v>
      </c>
      <c r="K36" s="139"/>
      <c r="L36" s="178">
        <f t="shared" si="17"/>
        <v>5.1308</v>
      </c>
      <c r="M36" s="162">
        <f t="shared" si="18"/>
        <v>1</v>
      </c>
      <c r="N36" s="162">
        <f t="shared" si="19"/>
        <v>5.1308</v>
      </c>
      <c r="O36" s="139"/>
      <c r="P36" s="139"/>
      <c r="Q36" s="178">
        <v>84.0</v>
      </c>
      <c r="R36" s="190">
        <v>25.5</v>
      </c>
      <c r="S36" s="178">
        <f t="shared" si="9"/>
        <v>1.72</v>
      </c>
      <c r="T36" s="162">
        <f t="shared" si="10"/>
        <v>1</v>
      </c>
      <c r="U36" s="162">
        <f t="shared" si="11"/>
        <v>1.72</v>
      </c>
      <c r="V36" s="191">
        <f t="shared" si="12"/>
        <v>81.509424</v>
      </c>
      <c r="W36" s="178">
        <f t="shared" ref="W36:X36" si="25">C36/100</f>
        <v>0.92</v>
      </c>
      <c r="X36" s="178">
        <f t="shared" si="25"/>
        <v>2.02</v>
      </c>
      <c r="Y36" s="178">
        <f t="shared" si="14"/>
        <v>1.72</v>
      </c>
      <c r="Z36" s="192">
        <f t="shared" si="15"/>
        <v>3.196448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10.0</v>
      </c>
      <c r="B37" s="193" t="s">
        <v>78</v>
      </c>
      <c r="C37" s="193">
        <v>104.0</v>
      </c>
      <c r="D37" s="193">
        <v>202.0</v>
      </c>
      <c r="E37" s="193">
        <v>195.0</v>
      </c>
      <c r="F37" s="193">
        <f t="shared" si="5"/>
        <v>0</v>
      </c>
      <c r="G37" s="193">
        <f t="shared" si="6"/>
        <v>104.46228</v>
      </c>
      <c r="H37" s="194">
        <f t="shared" si="7"/>
        <v>104.46228</v>
      </c>
      <c r="I37" s="193">
        <v>1.0</v>
      </c>
      <c r="J37" s="195">
        <f t="shared" si="8"/>
        <v>104.46228</v>
      </c>
      <c r="K37" s="139"/>
      <c r="L37" s="178">
        <f t="shared" si="17"/>
        <v>5.1308</v>
      </c>
      <c r="M37" s="162">
        <f t="shared" si="18"/>
        <v>1</v>
      </c>
      <c r="N37" s="162">
        <f t="shared" si="19"/>
        <v>5.1308</v>
      </c>
      <c r="O37" s="139"/>
      <c r="P37" s="139"/>
      <c r="Q37" s="178">
        <v>104.0</v>
      </c>
      <c r="R37" s="190">
        <v>25.5</v>
      </c>
      <c r="S37" s="178">
        <f t="shared" si="9"/>
        <v>1.95</v>
      </c>
      <c r="T37" s="162">
        <f t="shared" si="10"/>
        <v>1</v>
      </c>
      <c r="U37" s="162">
        <f t="shared" si="11"/>
        <v>1.95</v>
      </c>
      <c r="V37" s="191">
        <f t="shared" si="12"/>
        <v>104.46228</v>
      </c>
      <c r="W37" s="178">
        <f t="shared" ref="W37:X37" si="26">C37/100</f>
        <v>1.04</v>
      </c>
      <c r="X37" s="178">
        <f t="shared" si="26"/>
        <v>2.02</v>
      </c>
      <c r="Y37" s="178">
        <f t="shared" si="14"/>
        <v>1.95</v>
      </c>
      <c r="Z37" s="192">
        <f t="shared" si="15"/>
        <v>4.09656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11.0</v>
      </c>
      <c r="B38" s="193" t="s">
        <v>78</v>
      </c>
      <c r="C38" s="193">
        <v>103.0</v>
      </c>
      <c r="D38" s="193">
        <v>202.0</v>
      </c>
      <c r="E38" s="193">
        <v>2868.0</v>
      </c>
      <c r="F38" s="193">
        <f t="shared" si="5"/>
        <v>0</v>
      </c>
      <c r="G38" s="193">
        <f t="shared" si="6"/>
        <v>1521.626004</v>
      </c>
      <c r="H38" s="194">
        <f t="shared" si="7"/>
        <v>1521.626004</v>
      </c>
      <c r="I38" s="193">
        <v>1.0</v>
      </c>
      <c r="J38" s="195">
        <f t="shared" si="8"/>
        <v>1521.626004</v>
      </c>
      <c r="K38" s="139"/>
      <c r="L38" s="178">
        <f t="shared" si="17"/>
        <v>5.1308</v>
      </c>
      <c r="M38" s="162">
        <f t="shared" si="18"/>
        <v>1</v>
      </c>
      <c r="N38" s="162">
        <f t="shared" si="19"/>
        <v>5.1308</v>
      </c>
      <c r="O38" s="139"/>
      <c r="P38" s="139"/>
      <c r="Q38" s="178">
        <v>1520.0</v>
      </c>
      <c r="R38" s="190">
        <v>25.5</v>
      </c>
      <c r="S38" s="178">
        <f t="shared" si="9"/>
        <v>28.68</v>
      </c>
      <c r="T38" s="162">
        <f t="shared" si="10"/>
        <v>1</v>
      </c>
      <c r="U38" s="162">
        <f t="shared" si="11"/>
        <v>28.68</v>
      </c>
      <c r="V38" s="191">
        <f t="shared" si="12"/>
        <v>1521.626004</v>
      </c>
      <c r="W38" s="178">
        <f t="shared" ref="W38:X38" si="27">C38/100</f>
        <v>1.03</v>
      </c>
      <c r="X38" s="178">
        <f t="shared" si="27"/>
        <v>2.02</v>
      </c>
      <c r="Y38" s="178">
        <f t="shared" si="14"/>
        <v>28.68</v>
      </c>
      <c r="Z38" s="192">
        <f t="shared" si="15"/>
        <v>59.671608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12.0</v>
      </c>
      <c r="B39" s="193" t="s">
        <v>78</v>
      </c>
      <c r="C39" s="193">
        <v>102.0</v>
      </c>
      <c r="D39" s="193">
        <v>202.0</v>
      </c>
      <c r="E39" s="193">
        <v>2865.0</v>
      </c>
      <c r="F39" s="193">
        <f t="shared" si="5"/>
        <v>0</v>
      </c>
      <c r="G39" s="193">
        <f t="shared" si="6"/>
        <v>1505.27673</v>
      </c>
      <c r="H39" s="194">
        <f t="shared" si="7"/>
        <v>1505.27673</v>
      </c>
      <c r="I39" s="193">
        <v>1.0</v>
      </c>
      <c r="J39" s="195">
        <f t="shared" si="8"/>
        <v>1505.27673</v>
      </c>
      <c r="K39" s="139"/>
      <c r="L39" s="178">
        <f t="shared" si="17"/>
        <v>5.1308</v>
      </c>
      <c r="M39" s="162">
        <f t="shared" si="18"/>
        <v>1</v>
      </c>
      <c r="N39" s="162">
        <f t="shared" si="19"/>
        <v>5.1308</v>
      </c>
      <c r="O39" s="139"/>
      <c r="P39" s="139"/>
      <c r="Q39" s="178">
        <v>1520.0</v>
      </c>
      <c r="R39" s="190">
        <v>25.5</v>
      </c>
      <c r="S39" s="178">
        <f t="shared" si="9"/>
        <v>28.65</v>
      </c>
      <c r="T39" s="162">
        <f t="shared" si="10"/>
        <v>1</v>
      </c>
      <c r="U39" s="162">
        <f t="shared" si="11"/>
        <v>28.65</v>
      </c>
      <c r="V39" s="191">
        <f t="shared" si="12"/>
        <v>1505.27673</v>
      </c>
      <c r="W39" s="178">
        <f t="shared" ref="W39:X39" si="28">C39/100</f>
        <v>1.02</v>
      </c>
      <c r="X39" s="178">
        <f t="shared" si="28"/>
        <v>2.02</v>
      </c>
      <c r="Y39" s="178">
        <f t="shared" si="14"/>
        <v>28.65</v>
      </c>
      <c r="Z39" s="192">
        <f t="shared" si="15"/>
        <v>59.03046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13.0</v>
      </c>
      <c r="B40" s="193" t="s">
        <v>78</v>
      </c>
      <c r="C40" s="193">
        <v>103.0</v>
      </c>
      <c r="D40" s="193">
        <v>202.0</v>
      </c>
      <c r="E40" s="193">
        <v>2865.0</v>
      </c>
      <c r="F40" s="193">
        <f t="shared" si="5"/>
        <v>0</v>
      </c>
      <c r="G40" s="193">
        <f t="shared" si="6"/>
        <v>1520.034345</v>
      </c>
      <c r="H40" s="194">
        <f t="shared" si="7"/>
        <v>1520.034345</v>
      </c>
      <c r="I40" s="193">
        <v>1.0</v>
      </c>
      <c r="J40" s="195">
        <f t="shared" si="8"/>
        <v>1520.034345</v>
      </c>
      <c r="K40" s="139"/>
      <c r="L40" s="178">
        <f t="shared" si="17"/>
        <v>5.1308</v>
      </c>
      <c r="M40" s="162">
        <f t="shared" si="18"/>
        <v>1</v>
      </c>
      <c r="N40" s="162">
        <f t="shared" si="19"/>
        <v>5.1308</v>
      </c>
      <c r="O40" s="139"/>
      <c r="P40" s="139"/>
      <c r="Q40" s="178">
        <v>1505.0</v>
      </c>
      <c r="R40" s="190">
        <v>25.5</v>
      </c>
      <c r="S40" s="178">
        <f t="shared" si="9"/>
        <v>28.65</v>
      </c>
      <c r="T40" s="162">
        <f t="shared" si="10"/>
        <v>1</v>
      </c>
      <c r="U40" s="162">
        <f t="shared" si="11"/>
        <v>28.65</v>
      </c>
      <c r="V40" s="191">
        <f t="shared" si="12"/>
        <v>1520.034345</v>
      </c>
      <c r="W40" s="178">
        <f t="shared" ref="W40:X40" si="29">C40/100</f>
        <v>1.03</v>
      </c>
      <c r="X40" s="178">
        <f t="shared" si="29"/>
        <v>2.02</v>
      </c>
      <c r="Y40" s="178">
        <f t="shared" si="14"/>
        <v>28.65</v>
      </c>
      <c r="Z40" s="192">
        <f t="shared" si="15"/>
        <v>59.60919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14.0</v>
      </c>
      <c r="B41" s="193" t="s">
        <v>78</v>
      </c>
      <c r="C41" s="193">
        <v>102.0</v>
      </c>
      <c r="D41" s="193">
        <v>202.0</v>
      </c>
      <c r="E41" s="193">
        <v>2863.0</v>
      </c>
      <c r="F41" s="193">
        <f t="shared" si="5"/>
        <v>0</v>
      </c>
      <c r="G41" s="193">
        <f t="shared" si="6"/>
        <v>1504.225926</v>
      </c>
      <c r="H41" s="194">
        <f t="shared" si="7"/>
        <v>1504.225926</v>
      </c>
      <c r="I41" s="193">
        <v>1.0</v>
      </c>
      <c r="J41" s="195">
        <f t="shared" si="8"/>
        <v>1504.225926</v>
      </c>
      <c r="K41" s="139"/>
      <c r="L41" s="178">
        <f t="shared" si="17"/>
        <v>5.1308</v>
      </c>
      <c r="M41" s="162">
        <f t="shared" si="18"/>
        <v>1</v>
      </c>
      <c r="N41" s="162">
        <f t="shared" si="19"/>
        <v>5.1308</v>
      </c>
      <c r="O41" s="139"/>
      <c r="P41" s="139"/>
      <c r="Q41" s="178">
        <v>1515.0</v>
      </c>
      <c r="R41" s="190">
        <v>25.5</v>
      </c>
      <c r="S41" s="178">
        <f t="shared" si="9"/>
        <v>28.63</v>
      </c>
      <c r="T41" s="162">
        <f t="shared" si="10"/>
        <v>1</v>
      </c>
      <c r="U41" s="162">
        <f t="shared" si="11"/>
        <v>28.63</v>
      </c>
      <c r="V41" s="191">
        <f t="shared" si="12"/>
        <v>1504.225926</v>
      </c>
      <c r="W41" s="178">
        <f t="shared" ref="W41:X41" si="30">C41/100</f>
        <v>1.02</v>
      </c>
      <c r="X41" s="178">
        <f t="shared" si="30"/>
        <v>2.02</v>
      </c>
      <c r="Y41" s="178">
        <f t="shared" si="14"/>
        <v>28.63</v>
      </c>
      <c r="Z41" s="192">
        <f t="shared" si="15"/>
        <v>58.989252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15.0</v>
      </c>
      <c r="B42" s="193" t="s">
        <v>78</v>
      </c>
      <c r="C42" s="193">
        <v>103.0</v>
      </c>
      <c r="D42" s="193">
        <v>202.0</v>
      </c>
      <c r="E42" s="193">
        <v>2862.0</v>
      </c>
      <c r="F42" s="193">
        <f t="shared" si="5"/>
        <v>0</v>
      </c>
      <c r="G42" s="193">
        <f t="shared" si="6"/>
        <v>1518.442686</v>
      </c>
      <c r="H42" s="194">
        <f t="shared" si="7"/>
        <v>1518.442686</v>
      </c>
      <c r="I42" s="193">
        <v>1.0</v>
      </c>
      <c r="J42" s="195">
        <f t="shared" si="8"/>
        <v>1518.442686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1510.0</v>
      </c>
      <c r="R42" s="190">
        <v>25.5</v>
      </c>
      <c r="S42" s="178">
        <f t="shared" si="9"/>
        <v>28.62</v>
      </c>
      <c r="T42" s="162">
        <f t="shared" si="10"/>
        <v>1</v>
      </c>
      <c r="U42" s="162">
        <f t="shared" si="11"/>
        <v>28.62</v>
      </c>
      <c r="V42" s="191">
        <f t="shared" si="12"/>
        <v>1518.442686</v>
      </c>
      <c r="W42" s="178">
        <f t="shared" ref="W42:X42" si="31">C42/100</f>
        <v>1.03</v>
      </c>
      <c r="X42" s="178">
        <f t="shared" si="31"/>
        <v>2.02</v>
      </c>
      <c r="Y42" s="178">
        <f t="shared" si="14"/>
        <v>28.62</v>
      </c>
      <c r="Z42" s="192">
        <f t="shared" si="15"/>
        <v>59.546772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16.0</v>
      </c>
      <c r="B43" s="193" t="s">
        <v>78</v>
      </c>
      <c r="C43" s="193">
        <v>103.0</v>
      </c>
      <c r="D43" s="193">
        <v>202.0</v>
      </c>
      <c r="E43" s="193">
        <v>2862.0</v>
      </c>
      <c r="F43" s="193">
        <f t="shared" si="5"/>
        <v>0</v>
      </c>
      <c r="G43" s="193">
        <f t="shared" si="6"/>
        <v>1518.442686</v>
      </c>
      <c r="H43" s="194">
        <f t="shared" si="7"/>
        <v>1518.442686</v>
      </c>
      <c r="I43" s="193">
        <v>1.0</v>
      </c>
      <c r="J43" s="195">
        <f t="shared" si="8"/>
        <v>1518.442686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1515.0</v>
      </c>
      <c r="R43" s="190">
        <v>25.5</v>
      </c>
      <c r="S43" s="178">
        <f t="shared" si="9"/>
        <v>28.62</v>
      </c>
      <c r="T43" s="162">
        <f t="shared" si="10"/>
        <v>1</v>
      </c>
      <c r="U43" s="162">
        <f t="shared" si="11"/>
        <v>28.62</v>
      </c>
      <c r="V43" s="191">
        <f t="shared" si="12"/>
        <v>1518.442686</v>
      </c>
      <c r="W43" s="178">
        <f t="shared" ref="W43:X43" si="32">C43/100</f>
        <v>1.03</v>
      </c>
      <c r="X43" s="178">
        <f t="shared" si="32"/>
        <v>2.02</v>
      </c>
      <c r="Y43" s="178">
        <f t="shared" si="14"/>
        <v>28.62</v>
      </c>
      <c r="Z43" s="192">
        <f t="shared" si="15"/>
        <v>59.546772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17.0</v>
      </c>
      <c r="B44" s="193" t="s">
        <v>78</v>
      </c>
      <c r="C44" s="193">
        <v>102.0</v>
      </c>
      <c r="D44" s="193">
        <v>202.0</v>
      </c>
      <c r="E44" s="193">
        <v>2868.0</v>
      </c>
      <c r="F44" s="193">
        <f t="shared" si="5"/>
        <v>0</v>
      </c>
      <c r="G44" s="193">
        <f t="shared" si="6"/>
        <v>1506.852936</v>
      </c>
      <c r="H44" s="194">
        <f t="shared" si="7"/>
        <v>1506.852936</v>
      </c>
      <c r="I44" s="193">
        <v>1.0</v>
      </c>
      <c r="J44" s="195">
        <f t="shared" si="8"/>
        <v>1506.852936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1510.0</v>
      </c>
      <c r="R44" s="190">
        <v>25.5</v>
      </c>
      <c r="S44" s="178">
        <f t="shared" si="9"/>
        <v>28.68</v>
      </c>
      <c r="T44" s="162">
        <f t="shared" si="10"/>
        <v>1</v>
      </c>
      <c r="U44" s="162">
        <f t="shared" si="11"/>
        <v>28.68</v>
      </c>
      <c r="V44" s="191">
        <f t="shared" si="12"/>
        <v>1506.852936</v>
      </c>
      <c r="W44" s="178">
        <f t="shared" ref="W44:X44" si="33">C44/100</f>
        <v>1.02</v>
      </c>
      <c r="X44" s="178">
        <f t="shared" si="33"/>
        <v>2.02</v>
      </c>
      <c r="Y44" s="178">
        <f t="shared" si="14"/>
        <v>28.68</v>
      </c>
      <c r="Z44" s="192">
        <f t="shared" si="15"/>
        <v>59.092272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18.0</v>
      </c>
      <c r="B45" s="183" t="s">
        <v>86</v>
      </c>
      <c r="C45" s="184">
        <v>81.0</v>
      </c>
      <c r="D45" s="184">
        <v>210.0</v>
      </c>
      <c r="E45" s="184">
        <v>195.0</v>
      </c>
      <c r="F45" s="184">
        <f t="shared" si="5"/>
        <v>0.8</v>
      </c>
      <c r="G45" s="184">
        <f t="shared" si="6"/>
        <v>87.899175</v>
      </c>
      <c r="H45" s="185">
        <f t="shared" si="7"/>
        <v>70.31934</v>
      </c>
      <c r="I45" s="184">
        <v>1.0</v>
      </c>
      <c r="J45" s="186">
        <f t="shared" si="8"/>
        <v>70.31934</v>
      </c>
      <c r="K45" s="187"/>
      <c r="L45" s="188">
        <f t="shared" si="17"/>
        <v>5.334</v>
      </c>
      <c r="M45" s="189">
        <f t="shared" si="18"/>
        <v>1</v>
      </c>
      <c r="N45" s="189">
        <f t="shared" si="19"/>
        <v>5.334</v>
      </c>
      <c r="O45" s="187"/>
      <c r="P45" s="187"/>
      <c r="Q45" s="188">
        <v>94.0</v>
      </c>
      <c r="R45" s="190">
        <v>26.5</v>
      </c>
      <c r="S45" s="178">
        <f t="shared" si="9"/>
        <v>1.95</v>
      </c>
      <c r="T45" s="162">
        <f t="shared" si="10"/>
        <v>1</v>
      </c>
      <c r="U45" s="162">
        <f t="shared" si="11"/>
        <v>1.95</v>
      </c>
      <c r="V45" s="191">
        <f t="shared" si="12"/>
        <v>87.899175</v>
      </c>
      <c r="W45" s="178">
        <f t="shared" ref="W45:X45" si="34">C45/100</f>
        <v>0.81</v>
      </c>
      <c r="X45" s="178">
        <f t="shared" si="34"/>
        <v>2.1</v>
      </c>
      <c r="Y45" s="178">
        <f t="shared" si="14"/>
        <v>1.95</v>
      </c>
      <c r="Z45" s="192">
        <f t="shared" si="15"/>
        <v>3.31695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19.0</v>
      </c>
      <c r="B46" s="193" t="s">
        <v>79</v>
      </c>
      <c r="C46" s="193">
        <v>87.0</v>
      </c>
      <c r="D46" s="193">
        <v>210.0</v>
      </c>
      <c r="E46" s="193">
        <v>230.0</v>
      </c>
      <c r="F46" s="193">
        <f t="shared" si="5"/>
        <v>0</v>
      </c>
      <c r="G46" s="193">
        <f t="shared" si="6"/>
        <v>111.35565</v>
      </c>
      <c r="H46" s="194">
        <f t="shared" si="7"/>
        <v>111.35565</v>
      </c>
      <c r="I46" s="193">
        <v>1.0</v>
      </c>
      <c r="J46" s="195">
        <f t="shared" si="8"/>
        <v>111.35565</v>
      </c>
      <c r="K46" s="139"/>
      <c r="L46" s="178">
        <f t="shared" si="17"/>
        <v>5.334</v>
      </c>
      <c r="M46" s="162">
        <f t="shared" si="18"/>
        <v>1</v>
      </c>
      <c r="N46" s="162">
        <f t="shared" si="19"/>
        <v>5.334</v>
      </c>
      <c r="O46" s="139"/>
      <c r="P46" s="139"/>
      <c r="Q46" s="178">
        <v>115.0</v>
      </c>
      <c r="R46" s="190">
        <v>26.5</v>
      </c>
      <c r="S46" s="178">
        <f t="shared" si="9"/>
        <v>2.3</v>
      </c>
      <c r="T46" s="162">
        <f t="shared" si="10"/>
        <v>1</v>
      </c>
      <c r="U46" s="162">
        <f t="shared" si="11"/>
        <v>2.3</v>
      </c>
      <c r="V46" s="191">
        <f t="shared" si="12"/>
        <v>111.35565</v>
      </c>
      <c r="W46" s="178">
        <f t="shared" ref="W46:X46" si="35">C46/100</f>
        <v>0.87</v>
      </c>
      <c r="X46" s="178">
        <f t="shared" si="35"/>
        <v>2.1</v>
      </c>
      <c r="Y46" s="178">
        <f t="shared" si="14"/>
        <v>2.3</v>
      </c>
      <c r="Z46" s="192">
        <f t="shared" si="15"/>
        <v>4.2021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20.0</v>
      </c>
      <c r="B47" s="193" t="s">
        <v>79</v>
      </c>
      <c r="C47" s="193">
        <v>89.0</v>
      </c>
      <c r="D47" s="193">
        <v>210.0</v>
      </c>
      <c r="E47" s="193">
        <v>207.0</v>
      </c>
      <c r="F47" s="193">
        <f t="shared" si="5"/>
        <v>0</v>
      </c>
      <c r="G47" s="193">
        <f t="shared" si="6"/>
        <v>102.523995</v>
      </c>
      <c r="H47" s="194">
        <f t="shared" si="7"/>
        <v>102.523995</v>
      </c>
      <c r="I47" s="193">
        <v>1.0</v>
      </c>
      <c r="J47" s="195">
        <f t="shared" si="8"/>
        <v>102.523995</v>
      </c>
      <c r="K47" s="139"/>
      <c r="L47" s="178">
        <f t="shared" si="17"/>
        <v>5.334</v>
      </c>
      <c r="M47" s="162">
        <f t="shared" si="18"/>
        <v>1</v>
      </c>
      <c r="N47" s="162">
        <f t="shared" si="19"/>
        <v>5.334</v>
      </c>
      <c r="O47" s="139"/>
      <c r="P47" s="139"/>
      <c r="Q47" s="178">
        <v>109.0</v>
      </c>
      <c r="R47" s="190">
        <v>26.5</v>
      </c>
      <c r="S47" s="178">
        <f t="shared" si="9"/>
        <v>2.07</v>
      </c>
      <c r="T47" s="162">
        <f t="shared" si="10"/>
        <v>1</v>
      </c>
      <c r="U47" s="162">
        <f t="shared" si="11"/>
        <v>2.07</v>
      </c>
      <c r="V47" s="191">
        <f t="shared" si="12"/>
        <v>102.523995</v>
      </c>
      <c r="W47" s="178">
        <f t="shared" ref="W47:X47" si="36">C47/100</f>
        <v>0.89</v>
      </c>
      <c r="X47" s="178">
        <f t="shared" si="36"/>
        <v>2.1</v>
      </c>
      <c r="Y47" s="178">
        <f t="shared" si="14"/>
        <v>2.07</v>
      </c>
      <c r="Z47" s="192">
        <f t="shared" si="15"/>
        <v>3.86883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21.0</v>
      </c>
      <c r="B48" s="193" t="s">
        <v>79</v>
      </c>
      <c r="C48" s="193">
        <v>90.0</v>
      </c>
      <c r="D48" s="193">
        <v>210.0</v>
      </c>
      <c r="E48" s="193">
        <v>206.0</v>
      </c>
      <c r="F48" s="193">
        <f t="shared" si="5"/>
        <v>0</v>
      </c>
      <c r="G48" s="193">
        <f t="shared" si="6"/>
        <v>103.1751</v>
      </c>
      <c r="H48" s="194">
        <f t="shared" si="7"/>
        <v>103.1751</v>
      </c>
      <c r="I48" s="193">
        <v>1.0</v>
      </c>
      <c r="J48" s="195">
        <f t="shared" si="8"/>
        <v>103.1751</v>
      </c>
      <c r="K48" s="139"/>
      <c r="L48" s="178">
        <f t="shared" si="17"/>
        <v>5.334</v>
      </c>
      <c r="M48" s="162">
        <f t="shared" si="18"/>
        <v>1</v>
      </c>
      <c r="N48" s="162">
        <f t="shared" si="19"/>
        <v>5.334</v>
      </c>
      <c r="O48" s="139"/>
      <c r="P48" s="139"/>
      <c r="Q48" s="178">
        <v>109.0</v>
      </c>
      <c r="R48" s="190">
        <v>26.5</v>
      </c>
      <c r="S48" s="178">
        <f t="shared" si="9"/>
        <v>2.06</v>
      </c>
      <c r="T48" s="162">
        <f t="shared" si="10"/>
        <v>1</v>
      </c>
      <c r="U48" s="162">
        <f t="shared" si="11"/>
        <v>2.06</v>
      </c>
      <c r="V48" s="191">
        <f t="shared" si="12"/>
        <v>103.1751</v>
      </c>
      <c r="W48" s="178">
        <f t="shared" ref="W48:X48" si="37">C48/100</f>
        <v>0.9</v>
      </c>
      <c r="X48" s="178">
        <f t="shared" si="37"/>
        <v>2.1</v>
      </c>
      <c r="Y48" s="178">
        <f t="shared" si="14"/>
        <v>2.06</v>
      </c>
      <c r="Z48" s="192">
        <f t="shared" si="15"/>
        <v>3.8934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22.0</v>
      </c>
      <c r="B49" s="193" t="s">
        <v>79</v>
      </c>
      <c r="C49" s="193">
        <v>90.0</v>
      </c>
      <c r="D49" s="193">
        <v>210.0</v>
      </c>
      <c r="E49" s="193">
        <v>198.0</v>
      </c>
      <c r="F49" s="193">
        <f t="shared" si="5"/>
        <v>0</v>
      </c>
      <c r="G49" s="193">
        <f t="shared" si="6"/>
        <v>99.1683</v>
      </c>
      <c r="H49" s="194">
        <f t="shared" si="7"/>
        <v>99.1683</v>
      </c>
      <c r="I49" s="193">
        <v>1.0</v>
      </c>
      <c r="J49" s="195">
        <f t="shared" si="8"/>
        <v>99.1683</v>
      </c>
      <c r="K49" s="139"/>
      <c r="L49" s="178">
        <f t="shared" si="17"/>
        <v>5.334</v>
      </c>
      <c r="M49" s="162">
        <f t="shared" si="18"/>
        <v>1</v>
      </c>
      <c r="N49" s="162">
        <f t="shared" si="19"/>
        <v>5.334</v>
      </c>
      <c r="O49" s="139"/>
      <c r="P49" s="139"/>
      <c r="Q49" s="178">
        <v>103.0</v>
      </c>
      <c r="R49" s="190">
        <v>26.5</v>
      </c>
      <c r="S49" s="178">
        <f t="shared" si="9"/>
        <v>1.98</v>
      </c>
      <c r="T49" s="162">
        <f t="shared" si="10"/>
        <v>1</v>
      </c>
      <c r="U49" s="162">
        <f t="shared" si="11"/>
        <v>1.98</v>
      </c>
      <c r="V49" s="191">
        <f t="shared" si="12"/>
        <v>99.1683</v>
      </c>
      <c r="W49" s="178">
        <f t="shared" ref="W49:X49" si="38">C49/100</f>
        <v>0.9</v>
      </c>
      <c r="X49" s="178">
        <f t="shared" si="38"/>
        <v>2.1</v>
      </c>
      <c r="Y49" s="178">
        <f t="shared" si="14"/>
        <v>1.98</v>
      </c>
      <c r="Z49" s="192">
        <f t="shared" si="15"/>
        <v>3.7422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23.0</v>
      </c>
      <c r="B50" s="193" t="s">
        <v>79</v>
      </c>
      <c r="C50" s="193">
        <v>91.0</v>
      </c>
      <c r="D50" s="193">
        <v>210.0</v>
      </c>
      <c r="E50" s="193">
        <v>191.0</v>
      </c>
      <c r="F50" s="193">
        <f t="shared" si="5"/>
        <v>0</v>
      </c>
      <c r="G50" s="193">
        <f t="shared" si="6"/>
        <v>96.725265</v>
      </c>
      <c r="H50" s="194">
        <f t="shared" si="7"/>
        <v>96.725265</v>
      </c>
      <c r="I50" s="193">
        <v>1.0</v>
      </c>
      <c r="J50" s="195">
        <f t="shared" si="8"/>
        <v>96.725265</v>
      </c>
      <c r="K50" s="139"/>
      <c r="L50" s="178">
        <f t="shared" si="17"/>
        <v>5.334</v>
      </c>
      <c r="M50" s="162">
        <f t="shared" si="18"/>
        <v>1</v>
      </c>
      <c r="N50" s="162">
        <f t="shared" si="19"/>
        <v>5.334</v>
      </c>
      <c r="O50" s="139"/>
      <c r="P50" s="139"/>
      <c r="Q50" s="178">
        <v>101.0</v>
      </c>
      <c r="R50" s="190">
        <v>26.5</v>
      </c>
      <c r="S50" s="178">
        <f t="shared" si="9"/>
        <v>1.91</v>
      </c>
      <c r="T50" s="162">
        <f t="shared" si="10"/>
        <v>1</v>
      </c>
      <c r="U50" s="162">
        <f t="shared" si="11"/>
        <v>1.91</v>
      </c>
      <c r="V50" s="191">
        <f t="shared" si="12"/>
        <v>96.725265</v>
      </c>
      <c r="W50" s="178">
        <f t="shared" ref="W50:X50" si="39">C50/100</f>
        <v>0.91</v>
      </c>
      <c r="X50" s="178">
        <f t="shared" si="39"/>
        <v>2.1</v>
      </c>
      <c r="Y50" s="178">
        <f t="shared" si="14"/>
        <v>1.91</v>
      </c>
      <c r="Z50" s="192">
        <f t="shared" si="15"/>
        <v>3.65001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24.0</v>
      </c>
      <c r="B51" s="193" t="s">
        <v>79</v>
      </c>
      <c r="C51" s="193">
        <v>92.0</v>
      </c>
      <c r="D51" s="193">
        <v>210.0</v>
      </c>
      <c r="E51" s="193">
        <v>2868.0</v>
      </c>
      <c r="F51" s="193">
        <f t="shared" si="5"/>
        <v>0</v>
      </c>
      <c r="G51" s="193">
        <f t="shared" si="6"/>
        <v>1468.35864</v>
      </c>
      <c r="H51" s="194">
        <f t="shared" si="7"/>
        <v>1468.35864</v>
      </c>
      <c r="I51" s="193">
        <v>1.0</v>
      </c>
      <c r="J51" s="195">
        <f t="shared" si="8"/>
        <v>1468.35864</v>
      </c>
      <c r="K51" s="139"/>
      <c r="L51" s="178">
        <f t="shared" si="17"/>
        <v>5.334</v>
      </c>
      <c r="M51" s="162">
        <f t="shared" si="18"/>
        <v>1</v>
      </c>
      <c r="N51" s="162">
        <f t="shared" si="19"/>
        <v>5.334</v>
      </c>
      <c r="O51" s="139"/>
      <c r="P51" s="139"/>
      <c r="Q51" s="178">
        <v>1500.0</v>
      </c>
      <c r="R51" s="190">
        <v>26.5</v>
      </c>
      <c r="S51" s="178">
        <f t="shared" si="9"/>
        <v>28.68</v>
      </c>
      <c r="T51" s="162">
        <f t="shared" si="10"/>
        <v>1</v>
      </c>
      <c r="U51" s="162">
        <f t="shared" si="11"/>
        <v>28.68</v>
      </c>
      <c r="V51" s="191">
        <f t="shared" si="12"/>
        <v>1468.35864</v>
      </c>
      <c r="W51" s="178">
        <f t="shared" ref="W51:X51" si="40">C51/100</f>
        <v>0.92</v>
      </c>
      <c r="X51" s="178">
        <f t="shared" si="40"/>
        <v>2.1</v>
      </c>
      <c r="Y51" s="178">
        <f t="shared" si="14"/>
        <v>28.68</v>
      </c>
      <c r="Z51" s="192">
        <f t="shared" si="15"/>
        <v>55.40976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25.0</v>
      </c>
      <c r="B52" s="193" t="s">
        <v>79</v>
      </c>
      <c r="C52" s="193">
        <v>91.0</v>
      </c>
      <c r="D52" s="193">
        <v>210.0</v>
      </c>
      <c r="E52" s="193">
        <v>2867.0</v>
      </c>
      <c r="F52" s="193">
        <f t="shared" si="5"/>
        <v>0</v>
      </c>
      <c r="G52" s="193">
        <f t="shared" si="6"/>
        <v>1451.891805</v>
      </c>
      <c r="H52" s="194">
        <f t="shared" si="7"/>
        <v>1451.891805</v>
      </c>
      <c r="I52" s="193">
        <v>1.0</v>
      </c>
      <c r="J52" s="195">
        <f t="shared" si="8"/>
        <v>1451.891805</v>
      </c>
      <c r="K52" s="139"/>
      <c r="L52" s="178">
        <f t="shared" si="17"/>
        <v>5.334</v>
      </c>
      <c r="M52" s="162">
        <f t="shared" si="18"/>
        <v>1</v>
      </c>
      <c r="N52" s="162">
        <f t="shared" si="19"/>
        <v>5.334</v>
      </c>
      <c r="O52" s="139"/>
      <c r="P52" s="139"/>
      <c r="Q52" s="178">
        <v>1495.0</v>
      </c>
      <c r="R52" s="190">
        <v>26.5</v>
      </c>
      <c r="S52" s="178">
        <f t="shared" si="9"/>
        <v>28.67</v>
      </c>
      <c r="T52" s="162">
        <f t="shared" si="10"/>
        <v>1</v>
      </c>
      <c r="U52" s="162">
        <f t="shared" si="11"/>
        <v>28.67</v>
      </c>
      <c r="V52" s="191">
        <f t="shared" si="12"/>
        <v>1451.891805</v>
      </c>
      <c r="W52" s="178">
        <f t="shared" ref="W52:X52" si="41">C52/100</f>
        <v>0.91</v>
      </c>
      <c r="X52" s="178">
        <f t="shared" si="41"/>
        <v>2.1</v>
      </c>
      <c r="Y52" s="178">
        <f t="shared" si="14"/>
        <v>28.67</v>
      </c>
      <c r="Z52" s="192">
        <f t="shared" si="15"/>
        <v>54.78837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26.0</v>
      </c>
      <c r="B53" s="193" t="s">
        <v>79</v>
      </c>
      <c r="C53" s="193">
        <v>91.0</v>
      </c>
      <c r="D53" s="193">
        <v>210.0</v>
      </c>
      <c r="E53" s="193">
        <v>2185.0</v>
      </c>
      <c r="F53" s="193">
        <f t="shared" si="5"/>
        <v>0</v>
      </c>
      <c r="G53" s="193">
        <f t="shared" si="6"/>
        <v>1106.516775</v>
      </c>
      <c r="H53" s="194">
        <f t="shared" si="7"/>
        <v>1106.516775</v>
      </c>
      <c r="I53" s="193">
        <v>1.0</v>
      </c>
      <c r="J53" s="195">
        <f t="shared" si="8"/>
        <v>1106.516775</v>
      </c>
      <c r="K53" s="139"/>
      <c r="L53" s="197"/>
      <c r="M53" s="198">
        <f t="shared" si="18"/>
        <v>1</v>
      </c>
      <c r="N53" s="198"/>
      <c r="O53" s="139"/>
      <c r="P53" s="139"/>
      <c r="Q53" s="178">
        <v>1145.0</v>
      </c>
      <c r="R53" s="190">
        <v>26.5</v>
      </c>
      <c r="S53" s="178">
        <f t="shared" si="9"/>
        <v>21.85</v>
      </c>
      <c r="T53" s="162">
        <f t="shared" si="10"/>
        <v>1</v>
      </c>
      <c r="U53" s="162">
        <f t="shared" si="11"/>
        <v>21.85</v>
      </c>
      <c r="V53" s="191">
        <f t="shared" si="12"/>
        <v>1106.516775</v>
      </c>
      <c r="W53" s="178">
        <f t="shared" ref="W53:X53" si="42">C53/100</f>
        <v>0.91</v>
      </c>
      <c r="X53" s="178">
        <f t="shared" si="42"/>
        <v>2.1</v>
      </c>
      <c r="Y53" s="178">
        <f t="shared" si="14"/>
        <v>21.85</v>
      </c>
      <c r="Z53" s="192">
        <f t="shared" si="15"/>
        <v>41.75535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27.0</v>
      </c>
      <c r="B54" s="183" t="s">
        <v>87</v>
      </c>
      <c r="C54" s="184">
        <v>84.0</v>
      </c>
      <c r="D54" s="184">
        <v>210.0</v>
      </c>
      <c r="E54" s="184">
        <v>189.0</v>
      </c>
      <c r="F54" s="184">
        <f t="shared" si="5"/>
        <v>0.8</v>
      </c>
      <c r="G54" s="184">
        <f t="shared" si="6"/>
        <v>80.01504</v>
      </c>
      <c r="H54" s="185">
        <f t="shared" si="7"/>
        <v>64.012032</v>
      </c>
      <c r="I54" s="184">
        <v>1.0</v>
      </c>
      <c r="J54" s="186">
        <f t="shared" si="8"/>
        <v>64.012032</v>
      </c>
      <c r="K54" s="187"/>
      <c r="L54" s="188"/>
      <c r="M54" s="189">
        <f t="shared" si="18"/>
        <v>1</v>
      </c>
      <c r="N54" s="189"/>
      <c r="O54" s="187"/>
      <c r="P54" s="187"/>
      <c r="Q54" s="188">
        <v>86.0</v>
      </c>
      <c r="R54" s="190">
        <v>24.0</v>
      </c>
      <c r="S54" s="178">
        <f t="shared" si="9"/>
        <v>1.89</v>
      </c>
      <c r="T54" s="162">
        <f t="shared" si="10"/>
        <v>1</v>
      </c>
      <c r="U54" s="162">
        <f t="shared" si="11"/>
        <v>1.89</v>
      </c>
      <c r="V54" s="191">
        <f t="shared" si="12"/>
        <v>80.01504</v>
      </c>
      <c r="W54" s="178">
        <f t="shared" ref="W54:X54" si="43">C54/100</f>
        <v>0.84</v>
      </c>
      <c r="X54" s="178">
        <f t="shared" si="43"/>
        <v>2.1</v>
      </c>
      <c r="Y54" s="178">
        <f t="shared" si="14"/>
        <v>1.89</v>
      </c>
      <c r="Z54" s="192">
        <f t="shared" si="15"/>
        <v>3.33396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28.0</v>
      </c>
      <c r="B55" s="193" t="s">
        <v>80</v>
      </c>
      <c r="C55" s="193">
        <v>104.0</v>
      </c>
      <c r="D55" s="193">
        <v>210.0</v>
      </c>
      <c r="E55" s="193">
        <v>210.0</v>
      </c>
      <c r="F55" s="193">
        <f t="shared" si="5"/>
        <v>0</v>
      </c>
      <c r="G55" s="193">
        <f t="shared" si="6"/>
        <v>110.0736</v>
      </c>
      <c r="H55" s="194">
        <f t="shared" si="7"/>
        <v>110.0736</v>
      </c>
      <c r="I55" s="193">
        <v>1.0</v>
      </c>
      <c r="J55" s="195">
        <f t="shared" si="8"/>
        <v>110.0736</v>
      </c>
      <c r="K55" s="139"/>
      <c r="L55" s="197"/>
      <c r="M55" s="198">
        <f t="shared" si="18"/>
        <v>1</v>
      </c>
      <c r="N55" s="198"/>
      <c r="O55" s="139"/>
      <c r="P55" s="139"/>
      <c r="Q55" s="178">
        <v>109.0</v>
      </c>
      <c r="R55" s="190">
        <v>24.0</v>
      </c>
      <c r="S55" s="178">
        <f t="shared" si="9"/>
        <v>2.1</v>
      </c>
      <c r="T55" s="162">
        <f t="shared" si="10"/>
        <v>1</v>
      </c>
      <c r="U55" s="162">
        <f t="shared" si="11"/>
        <v>2.1</v>
      </c>
      <c r="V55" s="191">
        <f t="shared" si="12"/>
        <v>110.0736</v>
      </c>
      <c r="W55" s="178">
        <f t="shared" ref="W55:X55" si="44">C55/100</f>
        <v>1.04</v>
      </c>
      <c r="X55" s="178">
        <f t="shared" si="44"/>
        <v>2.1</v>
      </c>
      <c r="Y55" s="178">
        <f t="shared" si="14"/>
        <v>2.1</v>
      </c>
      <c r="Z55" s="192">
        <f t="shared" si="15"/>
        <v>4.5864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29.0</v>
      </c>
      <c r="B56" s="193" t="s">
        <v>80</v>
      </c>
      <c r="C56" s="193">
        <v>101.0</v>
      </c>
      <c r="D56" s="193">
        <v>210.0</v>
      </c>
      <c r="E56" s="193">
        <v>2867.0</v>
      </c>
      <c r="F56" s="193">
        <f t="shared" si="5"/>
        <v>0</v>
      </c>
      <c r="G56" s="193">
        <f t="shared" si="6"/>
        <v>1459.41768</v>
      </c>
      <c r="H56" s="194">
        <f t="shared" si="7"/>
        <v>1459.41768</v>
      </c>
      <c r="I56" s="193">
        <v>1.0</v>
      </c>
      <c r="J56" s="195">
        <f t="shared" si="8"/>
        <v>1459.41768</v>
      </c>
      <c r="K56" s="139"/>
      <c r="L56" s="197"/>
      <c r="M56" s="198">
        <f t="shared" si="18"/>
        <v>1</v>
      </c>
      <c r="N56" s="198"/>
      <c r="O56" s="139"/>
      <c r="P56" s="139"/>
      <c r="Q56" s="178">
        <v>1470.0</v>
      </c>
      <c r="R56" s="190">
        <v>24.0</v>
      </c>
      <c r="S56" s="178">
        <f t="shared" si="9"/>
        <v>28.67</v>
      </c>
      <c r="T56" s="162">
        <f t="shared" si="10"/>
        <v>1</v>
      </c>
      <c r="U56" s="162">
        <f t="shared" si="11"/>
        <v>28.67</v>
      </c>
      <c r="V56" s="191">
        <f t="shared" si="12"/>
        <v>1459.41768</v>
      </c>
      <c r="W56" s="178">
        <f t="shared" ref="W56:X56" si="45">C56/100</f>
        <v>1.01</v>
      </c>
      <c r="X56" s="178">
        <f t="shared" si="45"/>
        <v>2.1</v>
      </c>
      <c r="Y56" s="178">
        <f t="shared" si="14"/>
        <v>28.67</v>
      </c>
      <c r="Z56" s="192">
        <f t="shared" si="15"/>
        <v>60.80907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30.0</v>
      </c>
      <c r="B57" s="193" t="s">
        <v>80</v>
      </c>
      <c r="C57" s="193">
        <v>101.0</v>
      </c>
      <c r="D57" s="193">
        <v>210.0</v>
      </c>
      <c r="E57" s="193">
        <v>2871.0</v>
      </c>
      <c r="F57" s="193">
        <f t="shared" si="5"/>
        <v>0</v>
      </c>
      <c r="G57" s="193">
        <f t="shared" si="6"/>
        <v>1461.45384</v>
      </c>
      <c r="H57" s="194">
        <f t="shared" si="7"/>
        <v>1461.45384</v>
      </c>
      <c r="I57" s="193">
        <v>1.0</v>
      </c>
      <c r="J57" s="195">
        <f t="shared" si="8"/>
        <v>1461.45384</v>
      </c>
      <c r="K57" s="139"/>
      <c r="L57" s="197"/>
      <c r="M57" s="198">
        <f t="shared" si="18"/>
        <v>1</v>
      </c>
      <c r="N57" s="198"/>
      <c r="O57" s="139"/>
      <c r="P57" s="139"/>
      <c r="Q57" s="178">
        <v>1475.0</v>
      </c>
      <c r="R57" s="190">
        <v>24.0</v>
      </c>
      <c r="S57" s="178">
        <f t="shared" si="9"/>
        <v>28.71</v>
      </c>
      <c r="T57" s="162">
        <f t="shared" si="10"/>
        <v>1</v>
      </c>
      <c r="U57" s="162">
        <f t="shared" si="11"/>
        <v>28.71</v>
      </c>
      <c r="V57" s="191">
        <f t="shared" si="12"/>
        <v>1461.45384</v>
      </c>
      <c r="W57" s="178">
        <f t="shared" ref="W57:X57" si="46">C57/100</f>
        <v>1.01</v>
      </c>
      <c r="X57" s="178">
        <f t="shared" si="46"/>
        <v>2.1</v>
      </c>
      <c r="Y57" s="178">
        <f t="shared" si="14"/>
        <v>28.71</v>
      </c>
      <c r="Z57" s="192">
        <f t="shared" si="15"/>
        <v>60.89391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31.0</v>
      </c>
      <c r="B58" s="193" t="s">
        <v>80</v>
      </c>
      <c r="C58" s="193">
        <v>103.0</v>
      </c>
      <c r="D58" s="193">
        <v>210.0</v>
      </c>
      <c r="E58" s="193">
        <v>2868.0</v>
      </c>
      <c r="F58" s="193">
        <f t="shared" si="5"/>
        <v>0</v>
      </c>
      <c r="G58" s="193">
        <f t="shared" si="6"/>
        <v>1488.83616</v>
      </c>
      <c r="H58" s="194">
        <f t="shared" si="7"/>
        <v>1488.83616</v>
      </c>
      <c r="I58" s="193">
        <v>1.0</v>
      </c>
      <c r="J58" s="195">
        <f t="shared" si="8"/>
        <v>1488.83616</v>
      </c>
      <c r="K58" s="139"/>
      <c r="L58" s="197"/>
      <c r="M58" s="198">
        <f t="shared" si="18"/>
        <v>1</v>
      </c>
      <c r="N58" s="198"/>
      <c r="O58" s="139"/>
      <c r="P58" s="139"/>
      <c r="Q58" s="178">
        <v>1475.0</v>
      </c>
      <c r="R58" s="190">
        <v>24.0</v>
      </c>
      <c r="S58" s="178">
        <f t="shared" si="9"/>
        <v>28.68</v>
      </c>
      <c r="T58" s="162">
        <f t="shared" si="10"/>
        <v>1</v>
      </c>
      <c r="U58" s="162">
        <f t="shared" si="11"/>
        <v>28.68</v>
      </c>
      <c r="V58" s="191">
        <f t="shared" si="12"/>
        <v>1488.83616</v>
      </c>
      <c r="W58" s="178">
        <f t="shared" ref="W58:X58" si="47">C58/100</f>
        <v>1.03</v>
      </c>
      <c r="X58" s="178">
        <f t="shared" si="47"/>
        <v>2.1</v>
      </c>
      <c r="Y58" s="178">
        <f t="shared" si="14"/>
        <v>28.68</v>
      </c>
      <c r="Z58" s="192">
        <f t="shared" si="15"/>
        <v>62.03484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32.0</v>
      </c>
      <c r="B59" s="193" t="s">
        <v>80</v>
      </c>
      <c r="C59" s="193">
        <v>101.0</v>
      </c>
      <c r="D59" s="193">
        <v>210.0</v>
      </c>
      <c r="E59" s="193">
        <v>2660.0</v>
      </c>
      <c r="F59" s="193">
        <f t="shared" si="5"/>
        <v>0</v>
      </c>
      <c r="G59" s="193">
        <f t="shared" si="6"/>
        <v>1354.0464</v>
      </c>
      <c r="H59" s="194">
        <f t="shared" si="7"/>
        <v>1354.0464</v>
      </c>
      <c r="I59" s="193">
        <v>1.0</v>
      </c>
      <c r="J59" s="195">
        <f t="shared" si="8"/>
        <v>1354.0464</v>
      </c>
      <c r="K59" s="139"/>
      <c r="L59" s="197"/>
      <c r="M59" s="198">
        <f t="shared" si="18"/>
        <v>1</v>
      </c>
      <c r="N59" s="198"/>
      <c r="O59" s="139"/>
      <c r="P59" s="139"/>
      <c r="Q59" s="178">
        <v>1360.0</v>
      </c>
      <c r="R59" s="190">
        <v>24.0</v>
      </c>
      <c r="S59" s="178">
        <f t="shared" si="9"/>
        <v>26.6</v>
      </c>
      <c r="T59" s="162">
        <f t="shared" si="10"/>
        <v>1</v>
      </c>
      <c r="U59" s="162">
        <f t="shared" si="11"/>
        <v>26.6</v>
      </c>
      <c r="V59" s="191">
        <f t="shared" si="12"/>
        <v>1354.0464</v>
      </c>
      <c r="W59" s="178">
        <f t="shared" ref="W59:X59" si="48">C59/100</f>
        <v>1.01</v>
      </c>
      <c r="X59" s="178">
        <f t="shared" si="48"/>
        <v>2.1</v>
      </c>
      <c r="Y59" s="178">
        <f t="shared" si="14"/>
        <v>26.6</v>
      </c>
      <c r="Z59" s="192">
        <f t="shared" si="15"/>
        <v>56.4186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33.0</v>
      </c>
      <c r="B60" s="193" t="s">
        <v>80</v>
      </c>
      <c r="C60" s="193">
        <v>100.0</v>
      </c>
      <c r="D60" s="193">
        <v>210.0</v>
      </c>
      <c r="E60" s="193">
        <v>2865.0</v>
      </c>
      <c r="F60" s="193">
        <f t="shared" si="5"/>
        <v>0</v>
      </c>
      <c r="G60" s="193">
        <f t="shared" si="6"/>
        <v>1443.96</v>
      </c>
      <c r="H60" s="194">
        <f t="shared" si="7"/>
        <v>1443.96</v>
      </c>
      <c r="I60" s="193">
        <v>1.0</v>
      </c>
      <c r="J60" s="195">
        <f t="shared" si="8"/>
        <v>1443.96</v>
      </c>
      <c r="K60" s="139"/>
      <c r="L60" s="197"/>
      <c r="M60" s="198">
        <f t="shared" si="18"/>
        <v>1</v>
      </c>
      <c r="N60" s="198"/>
      <c r="O60" s="139"/>
      <c r="P60" s="139"/>
      <c r="Q60" s="178">
        <v>1455.0</v>
      </c>
      <c r="R60" s="190">
        <v>24.0</v>
      </c>
      <c r="S60" s="178">
        <f t="shared" si="9"/>
        <v>28.65</v>
      </c>
      <c r="T60" s="162">
        <f t="shared" si="10"/>
        <v>1</v>
      </c>
      <c r="U60" s="162">
        <f t="shared" si="11"/>
        <v>28.65</v>
      </c>
      <c r="V60" s="191">
        <f t="shared" si="12"/>
        <v>1443.96</v>
      </c>
      <c r="W60" s="178">
        <f t="shared" ref="W60:X60" si="49">C60/100</f>
        <v>1</v>
      </c>
      <c r="X60" s="178">
        <f t="shared" si="49"/>
        <v>2.1</v>
      </c>
      <c r="Y60" s="178">
        <f t="shared" si="14"/>
        <v>28.65</v>
      </c>
      <c r="Z60" s="192">
        <f t="shared" si="15"/>
        <v>60.165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34.0</v>
      </c>
      <c r="B61" s="183" t="s">
        <v>88</v>
      </c>
      <c r="C61" s="184">
        <v>94.0</v>
      </c>
      <c r="D61" s="184">
        <v>217.0</v>
      </c>
      <c r="E61" s="184">
        <v>173.0</v>
      </c>
      <c r="F61" s="184">
        <f t="shared" si="5"/>
        <v>0.8</v>
      </c>
      <c r="G61" s="184">
        <f t="shared" si="6"/>
        <v>65.283799</v>
      </c>
      <c r="H61" s="185">
        <f t="shared" si="7"/>
        <v>52.2270392</v>
      </c>
      <c r="I61" s="184">
        <v>1.0</v>
      </c>
      <c r="J61" s="186">
        <f t="shared" si="8"/>
        <v>52.2270392</v>
      </c>
      <c r="K61" s="187"/>
      <c r="L61" s="188"/>
      <c r="M61" s="189">
        <f t="shared" si="18"/>
        <v>1</v>
      </c>
      <c r="N61" s="189"/>
      <c r="O61" s="187"/>
      <c r="P61" s="187"/>
      <c r="Q61" s="188">
        <v>69.0</v>
      </c>
      <c r="R61" s="190">
        <v>18.5</v>
      </c>
      <c r="S61" s="178">
        <f t="shared" si="9"/>
        <v>1.73</v>
      </c>
      <c r="T61" s="162">
        <f t="shared" si="10"/>
        <v>1</v>
      </c>
      <c r="U61" s="162">
        <f t="shared" si="11"/>
        <v>1.73</v>
      </c>
      <c r="V61" s="191">
        <f t="shared" si="12"/>
        <v>65.283799</v>
      </c>
      <c r="W61" s="178">
        <f t="shared" ref="W61:X61" si="50">C61/100</f>
        <v>0.94</v>
      </c>
      <c r="X61" s="178">
        <f t="shared" si="50"/>
        <v>2.17</v>
      </c>
      <c r="Y61" s="178">
        <f t="shared" si="14"/>
        <v>1.73</v>
      </c>
      <c r="Z61" s="192">
        <f t="shared" si="15"/>
        <v>3.528854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35.0</v>
      </c>
      <c r="B62" s="193" t="s">
        <v>81</v>
      </c>
      <c r="C62" s="193">
        <v>96.0</v>
      </c>
      <c r="D62" s="193">
        <v>217.0</v>
      </c>
      <c r="E62" s="193">
        <v>203.0</v>
      </c>
      <c r="F62" s="193">
        <f t="shared" si="5"/>
        <v>0</v>
      </c>
      <c r="G62" s="193">
        <f t="shared" si="6"/>
        <v>78.234576</v>
      </c>
      <c r="H62" s="194">
        <f t="shared" si="7"/>
        <v>78.234576</v>
      </c>
      <c r="I62" s="193">
        <v>1.0</v>
      </c>
      <c r="J62" s="195">
        <f t="shared" si="8"/>
        <v>78.234576</v>
      </c>
      <c r="K62" s="139"/>
      <c r="L62" s="197"/>
      <c r="M62" s="198">
        <f t="shared" si="18"/>
        <v>1</v>
      </c>
      <c r="N62" s="198"/>
      <c r="O62" s="139"/>
      <c r="P62" s="139"/>
      <c r="Q62" s="178">
        <v>79.0</v>
      </c>
      <c r="R62" s="190">
        <v>18.5</v>
      </c>
      <c r="S62" s="178">
        <f t="shared" si="9"/>
        <v>2.03</v>
      </c>
      <c r="T62" s="162">
        <f t="shared" si="10"/>
        <v>1</v>
      </c>
      <c r="U62" s="162">
        <f t="shared" si="11"/>
        <v>2.03</v>
      </c>
      <c r="V62" s="191">
        <f t="shared" si="12"/>
        <v>78.234576</v>
      </c>
      <c r="W62" s="178">
        <f t="shared" ref="W62:X62" si="51">C62/100</f>
        <v>0.96</v>
      </c>
      <c r="X62" s="178">
        <f t="shared" si="51"/>
        <v>2.17</v>
      </c>
      <c r="Y62" s="178">
        <f t="shared" si="14"/>
        <v>2.03</v>
      </c>
      <c r="Z62" s="192">
        <f t="shared" si="15"/>
        <v>4.228896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2">
        <v>36.0</v>
      </c>
      <c r="B63" s="193" t="s">
        <v>81</v>
      </c>
      <c r="C63" s="193">
        <v>100.0</v>
      </c>
      <c r="D63" s="193">
        <v>217.0</v>
      </c>
      <c r="E63" s="193">
        <v>204.0</v>
      </c>
      <c r="F63" s="193">
        <f t="shared" si="5"/>
        <v>0</v>
      </c>
      <c r="G63" s="193">
        <f t="shared" si="6"/>
        <v>81.8958</v>
      </c>
      <c r="H63" s="194">
        <f t="shared" si="7"/>
        <v>81.8958</v>
      </c>
      <c r="I63" s="193">
        <v>1.0</v>
      </c>
      <c r="J63" s="195">
        <f t="shared" si="8"/>
        <v>81.8958</v>
      </c>
      <c r="K63" s="139"/>
      <c r="L63" s="197"/>
      <c r="M63" s="198">
        <f t="shared" si="18"/>
        <v>1</v>
      </c>
      <c r="N63" s="198"/>
      <c r="O63" s="139"/>
      <c r="P63" s="139"/>
      <c r="Q63" s="178">
        <v>85.0</v>
      </c>
      <c r="R63" s="190">
        <v>18.5</v>
      </c>
      <c r="S63" s="178">
        <f t="shared" si="9"/>
        <v>2.04</v>
      </c>
      <c r="T63" s="162">
        <f t="shared" si="10"/>
        <v>1</v>
      </c>
      <c r="U63" s="162">
        <f t="shared" si="11"/>
        <v>2.04</v>
      </c>
      <c r="V63" s="191">
        <f t="shared" si="12"/>
        <v>81.8958</v>
      </c>
      <c r="W63" s="178">
        <f t="shared" ref="W63:X63" si="52">C63/100</f>
        <v>1</v>
      </c>
      <c r="X63" s="178">
        <f t="shared" si="52"/>
        <v>2.17</v>
      </c>
      <c r="Y63" s="178">
        <f t="shared" si="14"/>
        <v>2.04</v>
      </c>
      <c r="Z63" s="192">
        <f t="shared" si="15"/>
        <v>4.4268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2">
        <v>37.0</v>
      </c>
      <c r="B64" s="193" t="s">
        <v>81</v>
      </c>
      <c r="C64" s="193">
        <v>101.0</v>
      </c>
      <c r="D64" s="193">
        <v>217.0</v>
      </c>
      <c r="E64" s="193">
        <v>191.0</v>
      </c>
      <c r="F64" s="193">
        <f t="shared" si="5"/>
        <v>0</v>
      </c>
      <c r="G64" s="193">
        <f t="shared" si="6"/>
        <v>77.4437195</v>
      </c>
      <c r="H64" s="194">
        <f t="shared" si="7"/>
        <v>77.4437195</v>
      </c>
      <c r="I64" s="193">
        <v>1.0</v>
      </c>
      <c r="J64" s="195">
        <f t="shared" si="8"/>
        <v>77.4437195</v>
      </c>
      <c r="K64" s="139"/>
      <c r="L64" s="197"/>
      <c r="M64" s="198">
        <f t="shared" si="18"/>
        <v>1</v>
      </c>
      <c r="N64" s="198"/>
      <c r="O64" s="139"/>
      <c r="P64" s="139"/>
      <c r="Q64" s="178">
        <v>77.0</v>
      </c>
      <c r="R64" s="190">
        <v>18.5</v>
      </c>
      <c r="S64" s="178">
        <f t="shared" si="9"/>
        <v>1.91</v>
      </c>
      <c r="T64" s="162">
        <f t="shared" si="10"/>
        <v>1</v>
      </c>
      <c r="U64" s="162">
        <f t="shared" si="11"/>
        <v>1.91</v>
      </c>
      <c r="V64" s="191">
        <f t="shared" si="12"/>
        <v>77.4437195</v>
      </c>
      <c r="W64" s="178">
        <f t="shared" ref="W64:X64" si="53">C64/100</f>
        <v>1.01</v>
      </c>
      <c r="X64" s="178">
        <f t="shared" si="53"/>
        <v>2.17</v>
      </c>
      <c r="Y64" s="178">
        <f t="shared" si="14"/>
        <v>1.91</v>
      </c>
      <c r="Z64" s="192">
        <f t="shared" si="15"/>
        <v>4.186147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2">
        <v>38.0</v>
      </c>
      <c r="B65" s="193" t="s">
        <v>81</v>
      </c>
      <c r="C65" s="193">
        <v>103.0</v>
      </c>
      <c r="D65" s="193">
        <v>217.0</v>
      </c>
      <c r="E65" s="193">
        <v>2863.0</v>
      </c>
      <c r="F65" s="193">
        <f t="shared" si="5"/>
        <v>0</v>
      </c>
      <c r="G65" s="193">
        <f t="shared" si="6"/>
        <v>1183.831891</v>
      </c>
      <c r="H65" s="194">
        <f t="shared" si="7"/>
        <v>1183.831891</v>
      </c>
      <c r="I65" s="193">
        <v>1.0</v>
      </c>
      <c r="J65" s="195">
        <f t="shared" si="8"/>
        <v>1183.831891</v>
      </c>
      <c r="K65" s="139"/>
      <c r="L65" s="197"/>
      <c r="M65" s="198">
        <f t="shared" si="18"/>
        <v>1</v>
      </c>
      <c r="N65" s="198"/>
      <c r="O65" s="139"/>
      <c r="P65" s="139"/>
      <c r="Q65" s="178">
        <v>1150.0</v>
      </c>
      <c r="R65" s="190">
        <v>18.5</v>
      </c>
      <c r="S65" s="178">
        <f t="shared" si="9"/>
        <v>28.63</v>
      </c>
      <c r="T65" s="162">
        <f t="shared" si="10"/>
        <v>1</v>
      </c>
      <c r="U65" s="162">
        <f t="shared" si="11"/>
        <v>28.63</v>
      </c>
      <c r="V65" s="191">
        <f t="shared" si="12"/>
        <v>1183.831891</v>
      </c>
      <c r="W65" s="178">
        <f t="shared" ref="W65:X65" si="54">C65/100</f>
        <v>1.03</v>
      </c>
      <c r="X65" s="178">
        <f t="shared" si="54"/>
        <v>2.17</v>
      </c>
      <c r="Y65" s="178">
        <f t="shared" si="14"/>
        <v>28.63</v>
      </c>
      <c r="Z65" s="192">
        <f t="shared" si="15"/>
        <v>63.990913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2">
        <v>39.0</v>
      </c>
      <c r="B66" s="193" t="s">
        <v>81</v>
      </c>
      <c r="C66" s="193">
        <v>103.0</v>
      </c>
      <c r="D66" s="193">
        <v>217.0</v>
      </c>
      <c r="E66" s="193">
        <v>2864.0</v>
      </c>
      <c r="F66" s="193">
        <f t="shared" si="5"/>
        <v>0</v>
      </c>
      <c r="G66" s="193">
        <f t="shared" si="6"/>
        <v>1184.245384</v>
      </c>
      <c r="H66" s="194">
        <f t="shared" si="7"/>
        <v>1184.245384</v>
      </c>
      <c r="I66" s="193">
        <v>1.0</v>
      </c>
      <c r="J66" s="195">
        <f t="shared" si="8"/>
        <v>1184.245384</v>
      </c>
      <c r="K66" s="139"/>
      <c r="L66" s="197"/>
      <c r="M66" s="198"/>
      <c r="N66" s="198"/>
      <c r="O66" s="139"/>
      <c r="P66" s="139"/>
      <c r="Q66" s="178">
        <v>1185.0</v>
      </c>
      <c r="R66" s="190">
        <v>18.5</v>
      </c>
      <c r="S66" s="178">
        <f t="shared" si="9"/>
        <v>28.64</v>
      </c>
      <c r="T66" s="162">
        <f t="shared" si="10"/>
        <v>1</v>
      </c>
      <c r="U66" s="162">
        <f t="shared" si="11"/>
        <v>28.64</v>
      </c>
      <c r="V66" s="191">
        <f t="shared" si="12"/>
        <v>1184.245384</v>
      </c>
      <c r="W66" s="178">
        <f t="shared" ref="W66:X66" si="55">C66/100</f>
        <v>1.03</v>
      </c>
      <c r="X66" s="178">
        <f t="shared" si="55"/>
        <v>2.17</v>
      </c>
      <c r="Y66" s="178">
        <f t="shared" si="14"/>
        <v>28.64</v>
      </c>
      <c r="Z66" s="192">
        <f t="shared" si="15"/>
        <v>64.013264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2">
        <v>40.0</v>
      </c>
      <c r="B67" s="193" t="s">
        <v>81</v>
      </c>
      <c r="C67" s="193">
        <v>101.0</v>
      </c>
      <c r="D67" s="193">
        <v>217.0</v>
      </c>
      <c r="E67" s="193">
        <v>2460.0</v>
      </c>
      <c r="F67" s="193">
        <f t="shared" si="5"/>
        <v>0</v>
      </c>
      <c r="G67" s="193">
        <f t="shared" si="6"/>
        <v>997.44267</v>
      </c>
      <c r="H67" s="194">
        <f t="shared" si="7"/>
        <v>997.44267</v>
      </c>
      <c r="I67" s="193">
        <v>1.0</v>
      </c>
      <c r="J67" s="195">
        <f t="shared" si="8"/>
        <v>997.44267</v>
      </c>
      <c r="K67" s="139"/>
      <c r="L67" s="197"/>
      <c r="M67" s="198"/>
      <c r="N67" s="198"/>
      <c r="O67" s="139"/>
      <c r="P67" s="139"/>
      <c r="Q67" s="178">
        <v>1000.0</v>
      </c>
      <c r="R67" s="190">
        <v>18.5</v>
      </c>
      <c r="S67" s="178">
        <f t="shared" si="9"/>
        <v>24.6</v>
      </c>
      <c r="T67" s="162">
        <f t="shared" si="10"/>
        <v>1</v>
      </c>
      <c r="U67" s="162">
        <f t="shared" si="11"/>
        <v>24.6</v>
      </c>
      <c r="V67" s="191">
        <f t="shared" si="12"/>
        <v>997.44267</v>
      </c>
      <c r="W67" s="178">
        <f t="shared" ref="W67:X67" si="56">C67/100</f>
        <v>1.01</v>
      </c>
      <c r="X67" s="178">
        <f t="shared" si="56"/>
        <v>2.17</v>
      </c>
      <c r="Y67" s="178">
        <f t="shared" si="14"/>
        <v>24.6</v>
      </c>
      <c r="Z67" s="192">
        <f t="shared" si="15"/>
        <v>53.91582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2">
        <v>101.0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7">C68/100</f>
        <v>0</v>
      </c>
      <c r="X68" s="199">
        <f t="shared" si="57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2">
        <v>102.0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8">C69/100</f>
        <v>0</v>
      </c>
      <c r="X69" s="199">
        <f t="shared" si="58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2">
        <v>103.0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9">C70/100</f>
        <v>0</v>
      </c>
      <c r="X70" s="199">
        <f t="shared" si="59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2">
        <v>104.0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0">C71/100</f>
        <v>0</v>
      </c>
      <c r="X71" s="199">
        <f t="shared" si="60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2">
        <v>105.0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1">C72/100</f>
        <v>0</v>
      </c>
      <c r="X72" s="199">
        <f t="shared" si="61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106.0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2">C73/100</f>
        <v>0</v>
      </c>
      <c r="X73" s="199">
        <f t="shared" si="62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107.0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3">C74/100</f>
        <v>0</v>
      </c>
      <c r="X74" s="199">
        <f t="shared" si="63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108.0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4">C75/100</f>
        <v>0</v>
      </c>
      <c r="X75" s="199">
        <f t="shared" si="64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109.0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5">C76/100</f>
        <v>0</v>
      </c>
      <c r="X76" s="199">
        <f t="shared" si="65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110.0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6">C77/100</f>
        <v>0</v>
      </c>
      <c r="X77" s="199">
        <f t="shared" si="66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111.0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7">C78/100</f>
        <v>0</v>
      </c>
      <c r="X78" s="199">
        <f t="shared" si="67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112.0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8">C79/100</f>
        <v>0</v>
      </c>
      <c r="X79" s="199">
        <f t="shared" si="68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113.0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9">C80/100</f>
        <v>0</v>
      </c>
      <c r="X80" s="199">
        <f t="shared" si="69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114.0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0">C81/100</f>
        <v>0</v>
      </c>
      <c r="X81" s="199">
        <f t="shared" si="70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115.0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1">C82/100</f>
        <v>0</v>
      </c>
      <c r="X82" s="199">
        <f t="shared" si="71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116.0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2">C83/100</f>
        <v>0</v>
      </c>
      <c r="X83" s="199">
        <f t="shared" si="72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117.0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3">C84/100</f>
        <v>0</v>
      </c>
      <c r="X84" s="199">
        <f t="shared" si="73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118.0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4">C85/100</f>
        <v>0</v>
      </c>
      <c r="X85" s="199">
        <f t="shared" si="74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119.0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5">C86/100</f>
        <v>0</v>
      </c>
      <c r="X86" s="199">
        <f t="shared" si="75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120.0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6">C87/100</f>
        <v>0</v>
      </c>
      <c r="X87" s="199">
        <f t="shared" si="76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121.0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7">C88/100</f>
        <v>0</v>
      </c>
      <c r="X88" s="199">
        <f t="shared" si="77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122.0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8">C89/100</f>
        <v>0</v>
      </c>
      <c r="X89" s="199">
        <f t="shared" si="78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123.0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9">C90/100</f>
        <v>0</v>
      </c>
      <c r="X90" s="199">
        <f t="shared" si="79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124.0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0">C91/100</f>
        <v>0</v>
      </c>
      <c r="X91" s="199">
        <f t="shared" si="80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125.0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1">C92/100</f>
        <v>0</v>
      </c>
      <c r="X92" s="199">
        <f t="shared" si="81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126.0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2">C93/100</f>
        <v>0</v>
      </c>
      <c r="X93" s="199">
        <f t="shared" si="82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127.0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3">C94/100</f>
        <v>0</v>
      </c>
      <c r="X94" s="199">
        <f t="shared" si="83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128.0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4">C95/100</f>
        <v>0</v>
      </c>
      <c r="X95" s="199">
        <f t="shared" si="84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129.0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5">C96/100</f>
        <v>0</v>
      </c>
      <c r="X96" s="199">
        <f t="shared" si="85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130.0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6">C97/100</f>
        <v>0</v>
      </c>
      <c r="X97" s="199">
        <f t="shared" si="86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131.0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7">C98/100</f>
        <v>0</v>
      </c>
      <c r="X98" s="199">
        <f t="shared" si="87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132.0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8">C99/100</f>
        <v>0</v>
      </c>
      <c r="X99" s="199">
        <f t="shared" si="88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133.0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9">C100/100</f>
        <v>0</v>
      </c>
      <c r="X100" s="199">
        <f t="shared" si="89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134.0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0">C101/100</f>
        <v>0</v>
      </c>
      <c r="X101" s="199">
        <f t="shared" si="90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135.0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1">C102/100</f>
        <v>0</v>
      </c>
      <c r="X102" s="199">
        <f t="shared" si="91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136.0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2">C103/100</f>
        <v>0</v>
      </c>
      <c r="X103" s="199">
        <f t="shared" si="92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137.0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3">C104/100</f>
        <v>0</v>
      </c>
      <c r="X104" s="199">
        <f t="shared" si="93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138.0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4">C105/100</f>
        <v>0</v>
      </c>
      <c r="X105" s="199">
        <f t="shared" si="94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139.0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5">C106/100</f>
        <v>0</v>
      </c>
      <c r="X106" s="199">
        <f t="shared" si="95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140.0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6">C107/100</f>
        <v>0</v>
      </c>
      <c r="X107" s="199">
        <f t="shared" si="96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141.0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7">C108/100</f>
        <v>0</v>
      </c>
      <c r="X108" s="199">
        <f t="shared" si="97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142.0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8">C109/100</f>
        <v>0</v>
      </c>
      <c r="X109" s="199">
        <f t="shared" si="98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143.0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9">C110/100</f>
        <v>0</v>
      </c>
      <c r="X110" s="199">
        <f t="shared" si="99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144.0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0">C111/100</f>
        <v>0</v>
      </c>
      <c r="X111" s="199">
        <f t="shared" si="100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145.0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1">C112/100</f>
        <v>0</v>
      </c>
      <c r="X112" s="199">
        <f t="shared" si="101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146.0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2">C113/100</f>
        <v>0</v>
      </c>
      <c r="X113" s="199">
        <f t="shared" si="102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147.0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3">C114/100</f>
        <v>0</v>
      </c>
      <c r="X114" s="199">
        <f t="shared" si="103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148.0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4">C115/100</f>
        <v>0</v>
      </c>
      <c r="X115" s="199">
        <f t="shared" si="104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149.0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5">C116/100</f>
        <v>0</v>
      </c>
      <c r="X116" s="199">
        <f t="shared" si="105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150.0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6">C117/100</f>
        <v>0</v>
      </c>
      <c r="X117" s="199">
        <f t="shared" si="106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151.0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7">C118/100</f>
        <v>0</v>
      </c>
      <c r="X118" s="199">
        <f t="shared" si="107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152.0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8">C119/100</f>
        <v>0</v>
      </c>
      <c r="X119" s="199">
        <f t="shared" si="108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153.0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9">C120/100</f>
        <v>0</v>
      </c>
      <c r="X120" s="199">
        <f t="shared" si="109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154.0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0">C121/100</f>
        <v>0</v>
      </c>
      <c r="X121" s="199">
        <f t="shared" si="110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155.0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1">C122/100</f>
        <v>0</v>
      </c>
      <c r="X122" s="199">
        <f t="shared" si="111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156.0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2">C123/100</f>
        <v>0</v>
      </c>
      <c r="X123" s="199">
        <f t="shared" si="112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157.0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3">C124/100</f>
        <v>0</v>
      </c>
      <c r="X124" s="199">
        <f t="shared" si="113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158.0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4">C125/100</f>
        <v>0</v>
      </c>
      <c r="X125" s="199">
        <f t="shared" si="114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159.0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5">C126/100</f>
        <v>0</v>
      </c>
      <c r="X126" s="199">
        <f t="shared" si="115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160.0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6">C127/100</f>
        <v>0</v>
      </c>
      <c r="X127" s="199">
        <f t="shared" si="116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161.0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7">C128/100</f>
        <v>0</v>
      </c>
      <c r="X128" s="199">
        <f t="shared" si="117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162.0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8">C129/100</f>
        <v>0</v>
      </c>
      <c r="X129" s="199">
        <f t="shared" si="118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163.0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9">C130/100</f>
        <v>0</v>
      </c>
      <c r="X130" s="199">
        <f t="shared" si="119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164.0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0">C131/100</f>
        <v>0</v>
      </c>
      <c r="X131" s="199">
        <f t="shared" si="120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165.0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1">C132/100</f>
        <v>0</v>
      </c>
      <c r="X132" s="199">
        <f t="shared" si="121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166.0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2">C133/100</f>
        <v>0</v>
      </c>
      <c r="X133" s="199">
        <f t="shared" si="122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167.0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3">C134/100</f>
        <v>0</v>
      </c>
      <c r="X134" s="199">
        <f t="shared" si="123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168.0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4">C135/100</f>
        <v>0</v>
      </c>
      <c r="X135" s="199">
        <f t="shared" si="124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169.0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5">C136/100</f>
        <v>0</v>
      </c>
      <c r="X136" s="199">
        <f t="shared" si="125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170.0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6">C137/100</f>
        <v>0</v>
      </c>
      <c r="X137" s="199">
        <f t="shared" si="126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171.0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7">C138/100</f>
        <v>0</v>
      </c>
      <c r="X138" s="199">
        <f t="shared" si="127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172.0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8">C139/100</f>
        <v>0</v>
      </c>
      <c r="X139" s="199">
        <f t="shared" si="128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173.0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9">C140/100</f>
        <v>0</v>
      </c>
      <c r="X140" s="199">
        <f t="shared" si="129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174.0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0">C141/100</f>
        <v>0</v>
      </c>
      <c r="X141" s="199">
        <f t="shared" si="130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175.0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1">C142/100</f>
        <v>0</v>
      </c>
      <c r="X142" s="199">
        <f t="shared" si="131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176.0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2">C143/100</f>
        <v>0</v>
      </c>
      <c r="X143" s="199">
        <f t="shared" si="132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177.0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3">C144/100</f>
        <v>0</v>
      </c>
      <c r="X144" s="199">
        <f t="shared" si="133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178.0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4">C145/100</f>
        <v>0</v>
      </c>
      <c r="X145" s="199">
        <f t="shared" si="134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179.0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5">C146/100</f>
        <v>0</v>
      </c>
      <c r="X146" s="199">
        <f t="shared" si="135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180.0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6">C147/100</f>
        <v>0</v>
      </c>
      <c r="X147" s="199">
        <f t="shared" si="136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181.0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7">C148/100</f>
        <v>0</v>
      </c>
      <c r="X148" s="199">
        <f t="shared" si="137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182.0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8">C149/100</f>
        <v>0</v>
      </c>
      <c r="X149" s="199">
        <f t="shared" si="138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183.0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9">C150/100</f>
        <v>0</v>
      </c>
      <c r="X150" s="199">
        <f t="shared" si="139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184.0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0">C151/100</f>
        <v>0</v>
      </c>
      <c r="X151" s="199">
        <f t="shared" si="140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185.0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1">C152/100</f>
        <v>0</v>
      </c>
      <c r="X152" s="199">
        <f t="shared" si="141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186.0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2">C153/100</f>
        <v>0</v>
      </c>
      <c r="X153" s="199">
        <f t="shared" si="142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187.0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3">C154/100</f>
        <v>0</v>
      </c>
      <c r="X154" s="199">
        <f t="shared" si="143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188.0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4">C155/100</f>
        <v>0</v>
      </c>
      <c r="X155" s="199">
        <f t="shared" si="144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189.0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5">C156/100</f>
        <v>0</v>
      </c>
      <c r="X156" s="199">
        <f t="shared" si="145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190.0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6">C157/100</f>
        <v>0</v>
      </c>
      <c r="X157" s="199">
        <f t="shared" si="146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191.0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7">C158/100</f>
        <v>0</v>
      </c>
      <c r="X158" s="199">
        <f t="shared" si="147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192.0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8">C159/100</f>
        <v>0</v>
      </c>
      <c r="X159" s="199">
        <f t="shared" si="148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193.0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9">C160/100</f>
        <v>0</v>
      </c>
      <c r="X160" s="199">
        <f t="shared" si="149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194.0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0">C161/100</f>
        <v>0</v>
      </c>
      <c r="X161" s="199">
        <f t="shared" si="150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195.0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1">C162/100</f>
        <v>0</v>
      </c>
      <c r="X162" s="199">
        <f t="shared" si="151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196.0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2">C163/100</f>
        <v>0</v>
      </c>
      <c r="X163" s="199">
        <f t="shared" si="152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197.0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3">C164/100</f>
        <v>0</v>
      </c>
      <c r="X164" s="199">
        <f t="shared" si="153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198.0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4">C165/100</f>
        <v>0</v>
      </c>
      <c r="X165" s="199">
        <f t="shared" si="154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199.0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5">C166/100</f>
        <v>0</v>
      </c>
      <c r="X166" s="199">
        <f t="shared" si="155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200.0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6">C167/100</f>
        <v>0</v>
      </c>
      <c r="X167" s="199">
        <f t="shared" si="156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201.0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7">C168/100</f>
        <v>0</v>
      </c>
      <c r="X168" s="199">
        <f t="shared" si="157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202.0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8">C169/100</f>
        <v>0</v>
      </c>
      <c r="X169" s="199">
        <f t="shared" si="158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203.0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9">C170/100</f>
        <v>0</v>
      </c>
      <c r="X170" s="199">
        <f t="shared" si="159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204.0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0">C171/100</f>
        <v>0</v>
      </c>
      <c r="X171" s="199">
        <f t="shared" si="160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205.0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1">C172/100</f>
        <v>0</v>
      </c>
      <c r="X172" s="199">
        <f t="shared" si="161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206.0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2">C173/100</f>
        <v>0</v>
      </c>
      <c r="X173" s="199">
        <f t="shared" si="162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207.0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3">C174/100</f>
        <v>0</v>
      </c>
      <c r="X174" s="199">
        <f t="shared" si="163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208.0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4">C175/100</f>
        <v>0</v>
      </c>
      <c r="X175" s="199">
        <f t="shared" si="164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209.0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5">C176/100</f>
        <v>0</v>
      </c>
      <c r="X176" s="199">
        <f t="shared" si="165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210.0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6">C177/100</f>
        <v>0</v>
      </c>
      <c r="X177" s="199">
        <f t="shared" si="166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211.0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7">C178/100</f>
        <v>0</v>
      </c>
      <c r="X178" s="199">
        <f t="shared" si="167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212.0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8">C179/100</f>
        <v>0</v>
      </c>
      <c r="X179" s="199">
        <f t="shared" si="168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2">
        <v>213.0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9">C180/100</f>
        <v>0</v>
      </c>
      <c r="X180" s="199">
        <f t="shared" si="169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2">
        <v>214.0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70">C181/100</f>
        <v>0</v>
      </c>
      <c r="X181" s="199">
        <f t="shared" si="170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2">
        <v>215.0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1">C182/100</f>
        <v>0</v>
      </c>
      <c r="X182" s="199">
        <f t="shared" si="171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2">
        <v>216.0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2">C183/100</f>
        <v>0</v>
      </c>
      <c r="X183" s="199">
        <f t="shared" si="172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2">
        <v>217.0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3">C184/100</f>
        <v>0</v>
      </c>
      <c r="X184" s="199">
        <f t="shared" si="173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customHeight="1">
      <c r="A185" s="162"/>
      <c r="B185" s="178"/>
      <c r="C185" s="178"/>
      <c r="D185" s="178"/>
      <c r="E185" s="178"/>
      <c r="F185" s="178"/>
      <c r="G185" s="178"/>
      <c r="H185" s="181"/>
      <c r="I185" s="162"/>
      <c r="J185" s="204">
        <f>+Q232</f>
        <v>124.8</v>
      </c>
      <c r="K185" s="139"/>
      <c r="L185" s="139"/>
      <c r="M185" s="139"/>
      <c r="N185" s="139"/>
      <c r="O185" s="139"/>
      <c r="P185" s="139"/>
      <c r="Q185" s="139"/>
      <c r="R185" s="205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4">C185/100</f>
        <v>0</v>
      </c>
      <c r="X185" s="199">
        <f t="shared" si="174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customHeight="1">
      <c r="A186" s="162"/>
      <c r="B186" s="206"/>
      <c r="C186" s="206"/>
      <c r="D186" s="206"/>
      <c r="E186" s="206"/>
      <c r="F186" s="206"/>
      <c r="G186" s="206"/>
      <c r="H186" s="207"/>
      <c r="I186" s="208">
        <f>SUM(I28:I184)</f>
        <v>40</v>
      </c>
      <c r="J186" s="209">
        <f>SUM(J28:J185)</f>
        <v>28333.96424</v>
      </c>
      <c r="K186" s="210"/>
      <c r="L186" s="210"/>
      <c r="M186" s="210"/>
      <c r="N186" s="210"/>
      <c r="O186" s="210"/>
      <c r="P186" s="210"/>
      <c r="Q186" s="210"/>
      <c r="R186" s="141"/>
      <c r="S186" s="210">
        <f>SUMIFS($T$28:$T$184,$S$28:$S$184,"&gt;=3")</f>
        <v>19</v>
      </c>
      <c r="T186" s="210">
        <f t="shared" ref="T186:U186" si="175">SUM(T28:T184)</f>
        <v>40</v>
      </c>
      <c r="U186" s="210">
        <f t="shared" si="175"/>
        <v>567.44</v>
      </c>
      <c r="V186" s="210"/>
      <c r="W186" s="210"/>
      <c r="X186" s="210"/>
      <c r="Y186" s="210"/>
      <c r="Z186" s="211">
        <f>SUM(Z28:Z185)</f>
        <v>1177.207814</v>
      </c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203"/>
      <c r="T187" s="139">
        <f>+T186-S186</f>
        <v>21</v>
      </c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9.25" customHeight="1">
      <c r="A188" s="139"/>
      <c r="B188" s="139"/>
      <c r="C188" s="139"/>
      <c r="D188" s="139"/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205"/>
      <c r="S188" s="139"/>
      <c r="T188" s="139" t="s">
        <v>48</v>
      </c>
      <c r="U188" s="139" t="s">
        <v>68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141"/>
      <c r="S189" s="139" t="s">
        <v>31</v>
      </c>
      <c r="T189" s="212">
        <f>SUMIFS($J$28:$J$184,$S$28:$S$184,"&gt;=3")</f>
        <v>26449.62556</v>
      </c>
      <c r="U189" s="213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9.25" customHeight="1">
      <c r="A190" s="139" t="s">
        <v>32</v>
      </c>
      <c r="B190" s="139"/>
      <c r="C190" s="139"/>
      <c r="D190" s="139" t="s">
        <v>33</v>
      </c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139" t="s">
        <v>34</v>
      </c>
      <c r="T190" s="266">
        <f>J186-T189</f>
        <v>1884.338686</v>
      </c>
      <c r="U190" s="213">
        <f>+SUMIFS($U$28:$U$184,$S$28:$S$184,"&gt;=3")</f>
        <v>527.51</v>
      </c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5"/>
      <c r="S191" s="139"/>
      <c r="T191" s="214">
        <f>+I186</f>
        <v>40</v>
      </c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39.0" customHeight="1">
      <c r="A192" s="178"/>
      <c r="B192" s="162" t="s">
        <v>12</v>
      </c>
      <c r="C192" s="179" t="s">
        <v>69</v>
      </c>
      <c r="D192" s="52"/>
      <c r="E192" s="53"/>
      <c r="F192" s="180"/>
      <c r="G192" s="180"/>
      <c r="H192" s="181" t="s">
        <v>14</v>
      </c>
      <c r="I192" s="162" t="s">
        <v>15</v>
      </c>
      <c r="J192" s="162" t="s">
        <v>16</v>
      </c>
      <c r="K192" s="139"/>
      <c r="L192" s="139"/>
      <c r="M192" s="139"/>
      <c r="N192" s="139"/>
      <c r="O192" s="139"/>
      <c r="P192" s="139"/>
      <c r="Q192" s="139"/>
      <c r="R192" s="141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customHeight="1">
      <c r="A193" s="155">
        <v>1.0</v>
      </c>
      <c r="B193" s="215" t="s">
        <v>83</v>
      </c>
      <c r="C193" s="215">
        <v>96.0</v>
      </c>
      <c r="D193" s="215">
        <v>202.0</v>
      </c>
      <c r="E193" s="215">
        <v>186.0</v>
      </c>
      <c r="F193" s="215">
        <f t="shared" ref="F193:F198" si="176">1-VALUE(IF(RIGHT(B193, 1)="%", RIGHT(B193, 3), 0))</f>
        <v>0.2</v>
      </c>
      <c r="G193" s="215">
        <f t="shared" ref="G193:G198" si="177">+Q193*C193/100*D193/100*E193/100</f>
        <v>0</v>
      </c>
      <c r="H193" s="216">
        <f t="shared" ref="H193:H198" si="178">IF(F193=0, G193, F193*G193)</f>
        <v>0</v>
      </c>
      <c r="I193" s="215">
        <v>1.0</v>
      </c>
      <c r="J193" s="217">
        <v>90.1728</v>
      </c>
      <c r="K193" s="139"/>
      <c r="L193" s="178">
        <f t="shared" ref="L193:L198" si="179">D193*25.4/1000</f>
        <v>5.1308</v>
      </c>
      <c r="M193" s="162">
        <f t="shared" ref="M193:M197" si="180">+I193</f>
        <v>1</v>
      </c>
      <c r="N193" s="162">
        <f t="shared" ref="N193:N197" si="181">M193*L193</f>
        <v>5.1308</v>
      </c>
      <c r="O193" s="139"/>
      <c r="P193" s="139"/>
      <c r="Q193" s="139"/>
      <c r="R193" s="141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customHeight="1">
      <c r="A194" s="155">
        <v>2.0</v>
      </c>
      <c r="B194" s="215" t="s">
        <v>83</v>
      </c>
      <c r="C194" s="215">
        <v>98.0</v>
      </c>
      <c r="D194" s="215">
        <v>202.0</v>
      </c>
      <c r="E194" s="215">
        <v>177.0</v>
      </c>
      <c r="F194" s="215">
        <f t="shared" si="176"/>
        <v>0.2</v>
      </c>
      <c r="G194" s="215">
        <f t="shared" si="177"/>
        <v>0</v>
      </c>
      <c r="H194" s="216">
        <f t="shared" si="178"/>
        <v>0</v>
      </c>
      <c r="I194" s="215">
        <v>1.0</v>
      </c>
      <c r="J194" s="217">
        <v>87.59729999999999</v>
      </c>
      <c r="K194" s="139"/>
      <c r="L194" s="178">
        <f t="shared" si="179"/>
        <v>5.1308</v>
      </c>
      <c r="M194" s="162">
        <f t="shared" si="180"/>
        <v>1</v>
      </c>
      <c r="N194" s="162">
        <f t="shared" si="181"/>
        <v>5.1308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customHeight="1">
      <c r="A195" s="155">
        <v>3.0</v>
      </c>
      <c r="B195" s="218" t="s">
        <v>85</v>
      </c>
      <c r="C195" s="218">
        <v>93.0</v>
      </c>
      <c r="D195" s="218">
        <v>202.0</v>
      </c>
      <c r="E195" s="218">
        <v>174.0</v>
      </c>
      <c r="F195" s="218">
        <f t="shared" si="176"/>
        <v>0.2</v>
      </c>
      <c r="G195" s="218">
        <f t="shared" si="177"/>
        <v>0</v>
      </c>
      <c r="H195" s="219">
        <f t="shared" si="178"/>
        <v>0</v>
      </c>
      <c r="I195" s="218">
        <v>1.0</v>
      </c>
      <c r="J195" s="195">
        <v>83.353482</v>
      </c>
      <c r="K195" s="139"/>
      <c r="L195" s="178">
        <f t="shared" si="179"/>
        <v>5.1308</v>
      </c>
      <c r="M195" s="162">
        <f t="shared" si="180"/>
        <v>1</v>
      </c>
      <c r="N195" s="162">
        <f t="shared" si="181"/>
        <v>5.1308</v>
      </c>
      <c r="O195" s="139"/>
      <c r="P195" s="139"/>
      <c r="Q195" s="139"/>
      <c r="R195" s="139"/>
      <c r="S195" s="220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5">
        <v>4.0</v>
      </c>
      <c r="B196" s="218" t="s">
        <v>86</v>
      </c>
      <c r="C196" s="218">
        <v>81.0</v>
      </c>
      <c r="D196" s="218">
        <v>210.0</v>
      </c>
      <c r="E196" s="218">
        <v>195.0</v>
      </c>
      <c r="F196" s="218">
        <f t="shared" si="176"/>
        <v>0.2</v>
      </c>
      <c r="G196" s="218">
        <f t="shared" si="177"/>
        <v>0</v>
      </c>
      <c r="H196" s="219">
        <f t="shared" si="178"/>
        <v>0</v>
      </c>
      <c r="I196" s="218">
        <v>1.0</v>
      </c>
      <c r="J196" s="195">
        <v>87.899175</v>
      </c>
      <c r="K196" s="139"/>
      <c r="L196" s="178">
        <f t="shared" si="179"/>
        <v>5.334</v>
      </c>
      <c r="M196" s="162">
        <f t="shared" si="180"/>
        <v>1</v>
      </c>
      <c r="N196" s="162">
        <f t="shared" si="181"/>
        <v>5.334</v>
      </c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5">
        <v>5.0</v>
      </c>
      <c r="B197" s="218" t="s">
        <v>87</v>
      </c>
      <c r="C197" s="218">
        <v>84.0</v>
      </c>
      <c r="D197" s="218">
        <v>210.0</v>
      </c>
      <c r="E197" s="218">
        <v>189.0</v>
      </c>
      <c r="F197" s="218">
        <f t="shared" si="176"/>
        <v>0.2</v>
      </c>
      <c r="G197" s="218">
        <f t="shared" si="177"/>
        <v>0</v>
      </c>
      <c r="H197" s="219">
        <f t="shared" si="178"/>
        <v>0</v>
      </c>
      <c r="I197" s="218">
        <v>1.0</v>
      </c>
      <c r="J197" s="195">
        <v>80.01504000000001</v>
      </c>
      <c r="K197" s="139"/>
      <c r="L197" s="178">
        <f t="shared" si="179"/>
        <v>5.334</v>
      </c>
      <c r="M197" s="162">
        <f t="shared" si="180"/>
        <v>1</v>
      </c>
      <c r="N197" s="162">
        <f t="shared" si="181"/>
        <v>5.334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5">
        <v>6.0</v>
      </c>
      <c r="B198" s="218" t="s">
        <v>88</v>
      </c>
      <c r="C198" s="218">
        <v>94.0</v>
      </c>
      <c r="D198" s="218">
        <v>217.0</v>
      </c>
      <c r="E198" s="218">
        <v>173.0</v>
      </c>
      <c r="F198" s="218">
        <f t="shared" si="176"/>
        <v>0.2</v>
      </c>
      <c r="G198" s="218">
        <f t="shared" si="177"/>
        <v>0</v>
      </c>
      <c r="H198" s="219">
        <f t="shared" si="178"/>
        <v>0</v>
      </c>
      <c r="I198" s="218">
        <v>1.0</v>
      </c>
      <c r="J198" s="195">
        <v>65.283799</v>
      </c>
      <c r="K198" s="139"/>
      <c r="L198" s="139">
        <f t="shared" si="179"/>
        <v>5.5118</v>
      </c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4.75" customHeight="1">
      <c r="A199" s="162"/>
      <c r="B199" s="197"/>
      <c r="C199" s="197"/>
      <c r="D199" s="197"/>
      <c r="E199" s="197"/>
      <c r="F199" s="197"/>
      <c r="G199" s="197"/>
      <c r="H199" s="222" t="s">
        <v>38</v>
      </c>
      <c r="I199" s="197"/>
      <c r="J199" s="223">
        <f>SUM(J193:J198)</f>
        <v>494.321596</v>
      </c>
      <c r="K199" s="139"/>
      <c r="L199" s="139"/>
      <c r="M199" s="139"/>
      <c r="N199" s="139"/>
      <c r="O199" s="139"/>
      <c r="P199" s="139"/>
      <c r="Q199" s="139"/>
      <c r="R199" s="141"/>
      <c r="S199" s="224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18.75" customHeight="1">
      <c r="A200" s="176"/>
      <c r="B200" s="144"/>
      <c r="C200" s="144"/>
      <c r="D200" s="144"/>
      <c r="E200" s="144"/>
      <c r="F200" s="144"/>
      <c r="G200" s="144"/>
      <c r="H200" s="145"/>
      <c r="I200" s="144"/>
      <c r="J200" s="177"/>
      <c r="K200" s="139"/>
      <c r="L200" s="139"/>
      <c r="M200" s="139"/>
      <c r="N200" s="139"/>
      <c r="O200" s="139"/>
      <c r="P200" s="139"/>
      <c r="Q200" s="139"/>
      <c r="R200" s="141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18.7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4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18.75" customHeight="1">
      <c r="A203" s="139" t="s">
        <v>39</v>
      </c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24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4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42.0" customHeight="1">
      <c r="A205" s="178"/>
      <c r="B205" s="162" t="s">
        <v>12</v>
      </c>
      <c r="C205" s="179" t="s">
        <v>75</v>
      </c>
      <c r="D205" s="52"/>
      <c r="E205" s="53"/>
      <c r="F205" s="225"/>
      <c r="G205" s="225"/>
      <c r="H205" s="181" t="s">
        <v>14</v>
      </c>
      <c r="I205" s="226" t="s">
        <v>15</v>
      </c>
      <c r="J205" s="162" t="s">
        <v>16</v>
      </c>
      <c r="K205" s="139"/>
      <c r="L205" s="139"/>
      <c r="M205" s="139"/>
      <c r="N205" s="139"/>
      <c r="O205" s="139"/>
      <c r="P205" s="139"/>
      <c r="Q205" s="139"/>
      <c r="R205" s="224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4.75" customHeight="1">
      <c r="A206" s="162">
        <v>1.0</v>
      </c>
      <c r="B206" s="183" t="s">
        <v>84</v>
      </c>
      <c r="C206" s="200"/>
      <c r="D206" s="200"/>
      <c r="E206" s="200"/>
      <c r="F206" s="200"/>
      <c r="G206" s="200"/>
      <c r="H206" s="227">
        <v>52.0</v>
      </c>
      <c r="I206" s="200">
        <v>1.0</v>
      </c>
      <c r="J206" s="195">
        <f t="shared" ref="J206:J230" si="182">+I206*H206</f>
        <v>52</v>
      </c>
      <c r="K206" s="178"/>
      <c r="L206" s="178"/>
      <c r="M206" s="178"/>
      <c r="N206" s="178"/>
      <c r="O206" s="178"/>
      <c r="P206" s="178"/>
      <c r="Q206" s="228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78"/>
      <c r="AF206" s="178"/>
      <c r="AG206" s="178"/>
      <c r="AH206" s="178"/>
      <c r="AI206" s="178"/>
      <c r="AJ206" s="178"/>
      <c r="AK206" s="178"/>
    </row>
    <row r="207" ht="24.75" customHeight="1">
      <c r="A207" s="162">
        <v>2.0</v>
      </c>
      <c r="B207" s="193" t="s">
        <v>84</v>
      </c>
      <c r="C207" s="200"/>
      <c r="D207" s="200"/>
      <c r="E207" s="200"/>
      <c r="F207" s="200"/>
      <c r="G207" s="200"/>
      <c r="H207" s="227">
        <v>49.0</v>
      </c>
      <c r="I207" s="200">
        <v>1.0</v>
      </c>
      <c r="J207" s="195">
        <f t="shared" si="182"/>
        <v>49</v>
      </c>
      <c r="K207" s="178"/>
      <c r="L207" s="178"/>
      <c r="M207" s="178"/>
      <c r="N207" s="178"/>
      <c r="O207" s="178"/>
      <c r="P207" s="178"/>
      <c r="Q207" s="228"/>
      <c r="R207" s="224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78"/>
      <c r="AF207" s="178"/>
      <c r="AG207" s="178"/>
      <c r="AH207" s="178"/>
      <c r="AI207" s="178"/>
      <c r="AJ207" s="178"/>
      <c r="AK207" s="178"/>
    </row>
    <row r="208" ht="24.75" customHeight="1">
      <c r="A208" s="162">
        <v>3.0</v>
      </c>
      <c r="B208" s="183" t="s">
        <v>78</v>
      </c>
      <c r="C208" s="200"/>
      <c r="D208" s="200"/>
      <c r="E208" s="200"/>
      <c r="F208" s="200"/>
      <c r="G208" s="200"/>
      <c r="H208" s="227">
        <v>29.0</v>
      </c>
      <c r="I208" s="200">
        <v>1.0</v>
      </c>
      <c r="J208" s="195">
        <f t="shared" si="182"/>
        <v>29</v>
      </c>
      <c r="K208" s="178"/>
      <c r="L208" s="178"/>
      <c r="M208" s="178"/>
      <c r="N208" s="178"/>
      <c r="O208" s="178"/>
      <c r="P208" s="178"/>
      <c r="Q208" s="228"/>
      <c r="R208" s="22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78"/>
      <c r="AF208" s="178"/>
      <c r="AG208" s="178"/>
      <c r="AH208" s="178"/>
      <c r="AI208" s="178"/>
      <c r="AJ208" s="178"/>
      <c r="AK208" s="178"/>
    </row>
    <row r="209" ht="24.75" customHeight="1">
      <c r="A209" s="162">
        <v>4.0</v>
      </c>
      <c r="B209" s="193" t="s">
        <v>78</v>
      </c>
      <c r="C209" s="200"/>
      <c r="D209" s="200"/>
      <c r="E209" s="200"/>
      <c r="F209" s="200"/>
      <c r="G209" s="200"/>
      <c r="H209" s="227">
        <v>27.0</v>
      </c>
      <c r="I209" s="200">
        <v>1.0</v>
      </c>
      <c r="J209" s="195">
        <f t="shared" si="182"/>
        <v>27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78"/>
      <c r="AF209" s="178"/>
      <c r="AG209" s="178"/>
      <c r="AH209" s="178"/>
      <c r="AI209" s="178"/>
      <c r="AJ209" s="178"/>
      <c r="AK209" s="178"/>
    </row>
    <row r="210" ht="24.75" customHeight="1">
      <c r="A210" s="162">
        <v>5.0</v>
      </c>
      <c r="B210" s="183" t="s">
        <v>79</v>
      </c>
      <c r="C210" s="200"/>
      <c r="D210" s="200"/>
      <c r="E210" s="200"/>
      <c r="F210" s="200"/>
      <c r="G210" s="200"/>
      <c r="H210" s="227">
        <v>33.0</v>
      </c>
      <c r="I210" s="200">
        <v>1.0</v>
      </c>
      <c r="J210" s="195">
        <f t="shared" si="182"/>
        <v>33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78"/>
      <c r="AF210" s="178"/>
      <c r="AG210" s="178"/>
      <c r="AH210" s="178"/>
      <c r="AI210" s="178"/>
      <c r="AJ210" s="178"/>
      <c r="AK210" s="178"/>
    </row>
    <row r="211" ht="24.75" customHeight="1">
      <c r="A211" s="162">
        <v>6.0</v>
      </c>
      <c r="B211" s="193" t="s">
        <v>79</v>
      </c>
      <c r="C211" s="200"/>
      <c r="D211" s="200"/>
      <c r="E211" s="200"/>
      <c r="F211" s="200"/>
      <c r="G211" s="200"/>
      <c r="H211" s="227">
        <v>27.0</v>
      </c>
      <c r="I211" s="200">
        <v>1.0</v>
      </c>
      <c r="J211" s="195">
        <f t="shared" si="182"/>
        <v>27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78"/>
      <c r="AF211" s="178"/>
      <c r="AG211" s="178"/>
      <c r="AH211" s="178"/>
      <c r="AI211" s="178"/>
      <c r="AJ211" s="178"/>
      <c r="AK211" s="178"/>
    </row>
    <row r="212" ht="24.75" customHeight="1">
      <c r="A212" s="162">
        <v>7.0</v>
      </c>
      <c r="B212" s="183" t="s">
        <v>80</v>
      </c>
      <c r="C212" s="200"/>
      <c r="D212" s="200"/>
      <c r="E212" s="200"/>
      <c r="F212" s="200"/>
      <c r="G212" s="200"/>
      <c r="H212" s="227">
        <v>31.0</v>
      </c>
      <c r="I212" s="200">
        <v>1.0</v>
      </c>
      <c r="J212" s="195">
        <f t="shared" si="182"/>
        <v>31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78"/>
      <c r="AF212" s="178"/>
      <c r="AG212" s="178"/>
      <c r="AH212" s="178"/>
      <c r="AI212" s="178"/>
      <c r="AJ212" s="178"/>
      <c r="AK212" s="178"/>
    </row>
    <row r="213" ht="24.75" customHeight="1">
      <c r="A213" s="162">
        <v>8.0</v>
      </c>
      <c r="B213" s="193" t="s">
        <v>80</v>
      </c>
      <c r="C213" s="200"/>
      <c r="D213" s="200"/>
      <c r="E213" s="200"/>
      <c r="F213" s="200"/>
      <c r="G213" s="200"/>
      <c r="H213" s="227">
        <v>27.0</v>
      </c>
      <c r="I213" s="200">
        <v>1.0</v>
      </c>
      <c r="J213" s="195">
        <f t="shared" si="182"/>
        <v>27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78"/>
      <c r="AF213" s="178"/>
      <c r="AG213" s="178"/>
      <c r="AH213" s="178"/>
      <c r="AI213" s="178"/>
      <c r="AJ213" s="178"/>
      <c r="AK213" s="178"/>
    </row>
    <row r="214" ht="24.75" customHeight="1">
      <c r="A214" s="162">
        <v>9.0</v>
      </c>
      <c r="B214" s="183" t="s">
        <v>81</v>
      </c>
      <c r="C214" s="200"/>
      <c r="D214" s="200"/>
      <c r="E214" s="200"/>
      <c r="F214" s="200"/>
      <c r="G214" s="200"/>
      <c r="H214" s="227">
        <v>19.0</v>
      </c>
      <c r="I214" s="200">
        <v>1.0</v>
      </c>
      <c r="J214" s="195">
        <f t="shared" si="182"/>
        <v>19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8"/>
      <c r="AF214" s="178"/>
      <c r="AG214" s="178"/>
      <c r="AH214" s="178"/>
      <c r="AI214" s="178"/>
      <c r="AJ214" s="178"/>
      <c r="AK214" s="178"/>
    </row>
    <row r="215" ht="24.75" customHeight="1">
      <c r="A215" s="162">
        <v>10.0</v>
      </c>
      <c r="B215" s="193" t="s">
        <v>81</v>
      </c>
      <c r="C215" s="200"/>
      <c r="D215" s="200"/>
      <c r="E215" s="200"/>
      <c r="F215" s="200"/>
      <c r="G215" s="200"/>
      <c r="H215" s="227">
        <v>18.0</v>
      </c>
      <c r="I215" s="200">
        <v>1.0</v>
      </c>
      <c r="J215" s="195">
        <f t="shared" si="182"/>
        <v>18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8"/>
      <c r="AF215" s="178"/>
      <c r="AG215" s="178"/>
      <c r="AH215" s="178"/>
      <c r="AI215" s="178"/>
      <c r="AJ215" s="178"/>
      <c r="AK215" s="178"/>
    </row>
    <row r="216" ht="24.75" hidden="1" customHeight="1">
      <c r="A216" s="162">
        <v>21.0</v>
      </c>
      <c r="B216" s="229"/>
      <c r="C216" s="200"/>
      <c r="D216" s="200"/>
      <c r="E216" s="200"/>
      <c r="F216" s="200"/>
      <c r="G216" s="200"/>
      <c r="H216" s="227"/>
      <c r="I216" s="200"/>
      <c r="J216" s="195">
        <f t="shared" si="182"/>
        <v>0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8"/>
      <c r="AF216" s="178"/>
      <c r="AG216" s="178"/>
      <c r="AH216" s="178"/>
      <c r="AI216" s="178"/>
      <c r="AJ216" s="178"/>
      <c r="AK216" s="178"/>
    </row>
    <row r="217" ht="24.75" hidden="1" customHeight="1">
      <c r="A217" s="162">
        <v>22.0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82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8"/>
      <c r="AF217" s="178"/>
      <c r="AG217" s="178"/>
      <c r="AH217" s="178"/>
      <c r="AI217" s="178"/>
      <c r="AJ217" s="178"/>
      <c r="AK217" s="178"/>
    </row>
    <row r="218" ht="24.75" hidden="1" customHeight="1">
      <c r="A218" s="162">
        <v>23.0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82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8"/>
      <c r="AF218" s="178"/>
      <c r="AG218" s="178"/>
      <c r="AH218" s="178"/>
      <c r="AI218" s="178"/>
      <c r="AJ218" s="178"/>
      <c r="AK218" s="178"/>
    </row>
    <row r="219" ht="24.75" hidden="1" customHeight="1">
      <c r="A219" s="162">
        <v>24.0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82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8"/>
      <c r="AF219" s="178"/>
      <c r="AG219" s="178"/>
      <c r="AH219" s="178"/>
      <c r="AI219" s="178"/>
      <c r="AJ219" s="178"/>
      <c r="AK219" s="178"/>
    </row>
    <row r="220" ht="24.75" hidden="1" customHeight="1">
      <c r="A220" s="162">
        <v>25.0</v>
      </c>
      <c r="B220" s="229"/>
      <c r="C220" s="200"/>
      <c r="D220" s="200"/>
      <c r="E220" s="200"/>
      <c r="F220" s="200"/>
      <c r="G220" s="200"/>
      <c r="H220" s="227"/>
      <c r="I220" s="200"/>
      <c r="J220" s="195">
        <f t="shared" si="182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8"/>
      <c r="AF220" s="178"/>
      <c r="AG220" s="178"/>
      <c r="AH220" s="178"/>
      <c r="AI220" s="178"/>
      <c r="AJ220" s="178"/>
      <c r="AK220" s="178"/>
    </row>
    <row r="221" ht="24.75" hidden="1" customHeight="1">
      <c r="A221" s="162">
        <v>26.0</v>
      </c>
      <c r="B221" s="229"/>
      <c r="C221" s="200"/>
      <c r="D221" s="200"/>
      <c r="E221" s="200"/>
      <c r="F221" s="200"/>
      <c r="G221" s="200"/>
      <c r="H221" s="227"/>
      <c r="I221" s="200"/>
      <c r="J221" s="195">
        <f t="shared" si="182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8"/>
      <c r="AF221" s="178"/>
      <c r="AG221" s="178"/>
      <c r="AH221" s="178"/>
      <c r="AI221" s="178"/>
      <c r="AJ221" s="178"/>
      <c r="AK221" s="178"/>
    </row>
    <row r="222" ht="24.75" hidden="1" customHeight="1">
      <c r="A222" s="162">
        <v>27.0</v>
      </c>
      <c r="B222" s="229"/>
      <c r="C222" s="200"/>
      <c r="D222" s="200"/>
      <c r="E222" s="200"/>
      <c r="F222" s="200"/>
      <c r="G222" s="200"/>
      <c r="H222" s="200"/>
      <c r="I222" s="200"/>
      <c r="J222" s="195">
        <f t="shared" si="182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8"/>
      <c r="AF222" s="178"/>
      <c r="AG222" s="178"/>
      <c r="AH222" s="178"/>
      <c r="AI222" s="178"/>
      <c r="AJ222" s="178"/>
      <c r="AK222" s="178"/>
    </row>
    <row r="223" ht="24.75" hidden="1" customHeight="1">
      <c r="A223" s="162">
        <v>28.0</v>
      </c>
      <c r="B223" s="229"/>
      <c r="C223" s="200"/>
      <c r="D223" s="200"/>
      <c r="E223" s="200"/>
      <c r="F223" s="200"/>
      <c r="G223" s="200"/>
      <c r="H223" s="200"/>
      <c r="I223" s="200"/>
      <c r="J223" s="195">
        <f t="shared" si="182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8"/>
      <c r="AF223" s="178"/>
      <c r="AG223" s="178"/>
      <c r="AH223" s="178"/>
      <c r="AI223" s="178"/>
      <c r="AJ223" s="178"/>
      <c r="AK223" s="178"/>
    </row>
    <row r="224" ht="24.75" hidden="1" customHeight="1">
      <c r="A224" s="162">
        <v>29.0</v>
      </c>
      <c r="B224" s="230"/>
      <c r="C224" s="200"/>
      <c r="D224" s="200"/>
      <c r="E224" s="200"/>
      <c r="F224" s="200"/>
      <c r="G224" s="200"/>
      <c r="H224" s="200"/>
      <c r="I224" s="200"/>
      <c r="J224" s="195">
        <f t="shared" si="182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8"/>
      <c r="AF224" s="178"/>
      <c r="AG224" s="178"/>
      <c r="AH224" s="178"/>
      <c r="AI224" s="178"/>
      <c r="AJ224" s="178"/>
      <c r="AK224" s="178"/>
    </row>
    <row r="225" ht="24.75" hidden="1" customHeight="1">
      <c r="A225" s="162">
        <v>30.0</v>
      </c>
      <c r="B225" s="230"/>
      <c r="C225" s="200"/>
      <c r="D225" s="200"/>
      <c r="E225" s="200"/>
      <c r="F225" s="200"/>
      <c r="G225" s="200"/>
      <c r="H225" s="227"/>
      <c r="I225" s="200"/>
      <c r="J225" s="195">
        <f t="shared" si="182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8"/>
      <c r="AF225" s="178"/>
      <c r="AG225" s="178"/>
      <c r="AH225" s="178"/>
      <c r="AI225" s="178"/>
      <c r="AJ225" s="178"/>
      <c r="AK225" s="178"/>
    </row>
    <row r="226" ht="24.75" hidden="1" customHeight="1">
      <c r="A226" s="162">
        <v>31.0</v>
      </c>
      <c r="B226" s="218"/>
      <c r="C226" s="200"/>
      <c r="D226" s="200"/>
      <c r="E226" s="200"/>
      <c r="F226" s="200"/>
      <c r="G226" s="200"/>
      <c r="H226" s="227"/>
      <c r="I226" s="200"/>
      <c r="J226" s="195">
        <f t="shared" si="182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8"/>
      <c r="AF226" s="178"/>
      <c r="AG226" s="178"/>
      <c r="AH226" s="178"/>
      <c r="AI226" s="178"/>
      <c r="AJ226" s="178"/>
      <c r="AK226" s="178"/>
    </row>
    <row r="227" ht="24.75" hidden="1" customHeight="1">
      <c r="A227" s="162">
        <v>32.0</v>
      </c>
      <c r="B227" s="218"/>
      <c r="C227" s="162"/>
      <c r="D227" s="162"/>
      <c r="E227" s="162"/>
      <c r="F227" s="162"/>
      <c r="G227" s="162"/>
      <c r="H227" s="162"/>
      <c r="I227" s="162"/>
      <c r="J227" s="195">
        <f t="shared" si="182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8"/>
      <c r="AF227" s="178"/>
      <c r="AG227" s="178"/>
      <c r="AH227" s="178"/>
      <c r="AI227" s="178"/>
      <c r="AJ227" s="178"/>
      <c r="AK227" s="178"/>
    </row>
    <row r="228" ht="24.75" hidden="1" customHeight="1">
      <c r="A228" s="162">
        <v>33.0</v>
      </c>
      <c r="B228" s="230"/>
      <c r="C228" s="162"/>
      <c r="D228" s="162"/>
      <c r="E228" s="162"/>
      <c r="F228" s="162"/>
      <c r="G228" s="162"/>
      <c r="H228" s="162"/>
      <c r="I228" s="162"/>
      <c r="J228" s="195">
        <f t="shared" si="182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</row>
    <row r="229" ht="24.75" hidden="1" customHeight="1">
      <c r="A229" s="162">
        <v>34.0</v>
      </c>
      <c r="B229" s="231"/>
      <c r="C229" s="162"/>
      <c r="D229" s="162"/>
      <c r="E229" s="162"/>
      <c r="F229" s="162"/>
      <c r="G229" s="162"/>
      <c r="H229" s="162"/>
      <c r="I229" s="162"/>
      <c r="J229" s="195">
        <f t="shared" si="182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</row>
    <row r="230" ht="24.75" hidden="1" customHeight="1">
      <c r="A230" s="162">
        <v>35.0</v>
      </c>
      <c r="B230" s="232"/>
      <c r="C230" s="162"/>
      <c r="D230" s="162"/>
      <c r="E230" s="162"/>
      <c r="F230" s="162"/>
      <c r="G230" s="162"/>
      <c r="H230" s="162"/>
      <c r="I230" s="162"/>
      <c r="J230" s="195">
        <f t="shared" si="182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3">
        <f>SUM(J206:J230)</f>
        <v>312</v>
      </c>
      <c r="K231" s="234"/>
      <c r="L231" s="234"/>
      <c r="M231" s="234"/>
      <c r="N231" s="234"/>
      <c r="O231" s="234"/>
      <c r="P231" s="234"/>
      <c r="Q231" s="234"/>
      <c r="R231" s="139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5"/>
      <c r="J232" s="206">
        <f>+J231*60%</f>
        <v>187.2</v>
      </c>
      <c r="K232" s="206"/>
      <c r="L232" s="206"/>
      <c r="M232" s="206"/>
      <c r="N232" s="206"/>
      <c r="O232" s="206"/>
      <c r="P232" s="206"/>
      <c r="Q232" s="206">
        <f>+J231*40%</f>
        <v>124.8</v>
      </c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19.5" customHeight="1">
      <c r="A235" s="235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57.0" customHeight="1">
      <c r="A236" s="236"/>
      <c r="B236" s="237" t="s">
        <v>42</v>
      </c>
      <c r="C236" s="237" t="s">
        <v>43</v>
      </c>
      <c r="D236" s="237" t="s">
        <v>44</v>
      </c>
      <c r="E236" s="237" t="s">
        <v>45</v>
      </c>
      <c r="F236" s="237"/>
      <c r="G236" s="237"/>
      <c r="H236" s="238" t="s">
        <v>46</v>
      </c>
      <c r="I236" s="239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18.75" customHeight="1">
      <c r="A237" s="240" t="s">
        <v>48</v>
      </c>
      <c r="B237" s="241">
        <f>+E21</f>
        <v>31734.9539</v>
      </c>
      <c r="C237" s="242">
        <f>+J186</f>
        <v>28333.96424</v>
      </c>
      <c r="D237" s="242">
        <f>+J199</f>
        <v>494.321596</v>
      </c>
      <c r="E237" s="243">
        <f>J232</f>
        <v>187.2</v>
      </c>
      <c r="F237" s="243"/>
      <c r="G237" s="243"/>
      <c r="H237" s="244">
        <f>+I21</f>
        <v>2123.367034</v>
      </c>
      <c r="I237" s="245">
        <f>+B237-C237-D237-E237-H237</f>
        <v>596.1010266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19.5" customHeight="1">
      <c r="A238" s="246" t="s">
        <v>49</v>
      </c>
      <c r="B238" s="247"/>
      <c r="C238" s="248">
        <f>+C237/B237</f>
        <v>0.8928314291</v>
      </c>
      <c r="D238" s="248">
        <f>+D237/B237</f>
        <v>0.01557656575</v>
      </c>
      <c r="E238" s="248">
        <f>+E237/B237</f>
        <v>0.005898858419</v>
      </c>
      <c r="F238" s="248"/>
      <c r="G238" s="248"/>
      <c r="H238" s="249">
        <f>+H237/B237</f>
        <v>0.06690940974</v>
      </c>
      <c r="I238" s="250">
        <f>+I237/B237</f>
        <v>0.01878373696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19.5" customHeight="1">
      <c r="A239" s="165"/>
      <c r="B239" s="221"/>
      <c r="C239" s="251"/>
      <c r="D239" s="251"/>
      <c r="E239" s="251"/>
      <c r="F239" s="251"/>
      <c r="G239" s="251"/>
      <c r="H239" s="252"/>
      <c r="I239" s="253"/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18.75" customHeight="1">
      <c r="A240" s="254"/>
      <c r="B240" s="255"/>
      <c r="C240" s="255"/>
      <c r="D240" s="255" t="s">
        <v>50</v>
      </c>
      <c r="E240" s="255" t="s">
        <v>48</v>
      </c>
      <c r="F240" s="255"/>
      <c r="G240" s="255"/>
      <c r="H240" s="256">
        <f>+D237+E237+H237+I237</f>
        <v>3400.989656</v>
      </c>
      <c r="I240" s="257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8.75" customHeight="1">
      <c r="A241" s="258"/>
      <c r="B241" s="139"/>
      <c r="C241" s="139"/>
      <c r="D241" s="139"/>
      <c r="E241" s="139" t="s">
        <v>49</v>
      </c>
      <c r="F241" s="139"/>
      <c r="G241" s="139"/>
      <c r="H241" s="252">
        <f>+H240/B237</f>
        <v>0.1071685709</v>
      </c>
      <c r="I241" s="259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258"/>
      <c r="B242" s="139"/>
      <c r="C242" s="139" t="s">
        <v>51</v>
      </c>
      <c r="D242" s="139"/>
      <c r="E242" s="139"/>
      <c r="F242" s="139"/>
      <c r="G242" s="139"/>
      <c r="H242" s="140"/>
      <c r="I242" s="259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258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9.5" customHeight="1">
      <c r="A244" s="260"/>
      <c r="B244" s="261"/>
      <c r="C244" s="261"/>
      <c r="D244" s="261"/>
      <c r="E244" s="261"/>
      <c r="F244" s="261"/>
      <c r="G244" s="261"/>
      <c r="H244" s="262"/>
      <c r="I244" s="263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92:E192"/>
    <mergeCell ref="C205:E205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13.71"/>
    <col customWidth="1" min="28" max="28" width="22.86"/>
    <col customWidth="1" min="29" max="29" width="20.43"/>
    <col customWidth="1" min="30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44533.0</v>
      </c>
      <c r="J4" s="139" t="str">
        <f>+B8&amp;"/"&amp;B9&amp;"/"&amp;B10&amp;"/"&amp;B11&amp;"/"&amp;B12&amp;"/"&amp;B13&amp;"/"&amp;B14&amp;"/"&amp;B15&amp;"/"&amp;B16</f>
        <v>HRD2930/HRD2940/HRD2930/HRD2940/HRD2940/HRD2960/D1650/D2050CC/D2850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89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+I257</f>
        <v>0.02079012562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57</v>
      </c>
      <c r="C8" s="155">
        <v>29.5</v>
      </c>
      <c r="D8" s="156">
        <v>0.0155</v>
      </c>
      <c r="E8" s="157">
        <f>253.14*23.1</f>
        <v>5847.534</v>
      </c>
      <c r="F8" s="157"/>
      <c r="G8" s="157"/>
      <c r="H8" s="158">
        <v>23.1</v>
      </c>
      <c r="I8" s="159">
        <f t="shared" ref="I8:I23" si="1">+D8*E8</f>
        <v>90.636777</v>
      </c>
      <c r="J8" s="160">
        <f t="shared" ref="J8:J23" si="2">E8-I8</f>
        <v>5756.897223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267" t="s">
        <v>55</v>
      </c>
      <c r="C9" s="155">
        <v>29.5</v>
      </c>
      <c r="D9" s="156">
        <v>0.0146</v>
      </c>
      <c r="E9" s="157">
        <f>252.8*35.6</f>
        <v>8999.68</v>
      </c>
      <c r="F9" s="157"/>
      <c r="G9" s="157"/>
      <c r="H9" s="158">
        <v>35.6</v>
      </c>
      <c r="I9" s="159">
        <f t="shared" si="1"/>
        <v>131.395328</v>
      </c>
      <c r="J9" s="160">
        <f t="shared" si="2"/>
        <v>8868.284672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267" t="s">
        <v>57</v>
      </c>
      <c r="C10" s="155">
        <v>29.5</v>
      </c>
      <c r="D10" s="156">
        <v>0.0155</v>
      </c>
      <c r="E10" s="157">
        <f>253.14*28.2</f>
        <v>7138.548</v>
      </c>
      <c r="F10" s="157"/>
      <c r="G10" s="157"/>
      <c r="H10" s="158">
        <v>28.2</v>
      </c>
      <c r="I10" s="159">
        <f t="shared" si="1"/>
        <v>110.647494</v>
      </c>
      <c r="J10" s="160">
        <f t="shared" si="2"/>
        <v>7027.900506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268" t="s">
        <v>55</v>
      </c>
      <c r="C11" s="155">
        <v>29.5</v>
      </c>
      <c r="D11" s="163">
        <v>0.0146</v>
      </c>
      <c r="E11" s="164">
        <f>252.8*40.6</f>
        <v>10263.68</v>
      </c>
      <c r="F11" s="164"/>
      <c r="G11" s="164"/>
      <c r="H11" s="158">
        <v>40.6</v>
      </c>
      <c r="I11" s="159">
        <f t="shared" si="1"/>
        <v>149.849728</v>
      </c>
      <c r="J11" s="160">
        <f t="shared" si="2"/>
        <v>10113.83027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268" t="s">
        <v>55</v>
      </c>
      <c r="C12" s="155">
        <v>29.5</v>
      </c>
      <c r="D12" s="163">
        <v>0.0146</v>
      </c>
      <c r="E12" s="164">
        <f>252.8*15</f>
        <v>3792</v>
      </c>
      <c r="F12" s="164"/>
      <c r="G12" s="164"/>
      <c r="H12" s="158">
        <v>15.0</v>
      </c>
      <c r="I12" s="159">
        <f t="shared" si="1"/>
        <v>55.3632</v>
      </c>
      <c r="J12" s="160">
        <f t="shared" si="2"/>
        <v>3736.6368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90</v>
      </c>
      <c r="C13" s="155">
        <v>29.5</v>
      </c>
      <c r="D13" s="163">
        <v>0.0162</v>
      </c>
      <c r="E13" s="164">
        <f>238.05*34.8</f>
        <v>8284.14</v>
      </c>
      <c r="F13" s="164"/>
      <c r="G13" s="164"/>
      <c r="H13" s="158">
        <v>34.8</v>
      </c>
      <c r="I13" s="159">
        <f t="shared" si="1"/>
        <v>134.203068</v>
      </c>
      <c r="J13" s="160">
        <f t="shared" si="2"/>
        <v>8149.936932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59</v>
      </c>
      <c r="C14" s="162">
        <v>16.5</v>
      </c>
      <c r="D14" s="163">
        <v>0.1057</v>
      </c>
      <c r="E14" s="164">
        <f>178.73*25.5</f>
        <v>4557.615</v>
      </c>
      <c r="F14" s="164"/>
      <c r="G14" s="164"/>
      <c r="H14" s="158">
        <v>25.5</v>
      </c>
      <c r="I14" s="159">
        <f t="shared" si="1"/>
        <v>481.7399055</v>
      </c>
      <c r="J14" s="160">
        <f t="shared" si="2"/>
        <v>4075.875095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4">
        <v>8.0</v>
      </c>
      <c r="B15" s="162" t="s">
        <v>91</v>
      </c>
      <c r="C15" s="162">
        <v>20.5</v>
      </c>
      <c r="D15" s="163">
        <v>0.0855</v>
      </c>
      <c r="E15" s="164">
        <f>224.361*13.6</f>
        <v>3051.3096</v>
      </c>
      <c r="F15" s="164"/>
      <c r="G15" s="164"/>
      <c r="H15" s="158">
        <v>13.6</v>
      </c>
      <c r="I15" s="159">
        <f t="shared" si="1"/>
        <v>260.8869708</v>
      </c>
      <c r="J15" s="160">
        <f t="shared" si="2"/>
        <v>2790.422629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4">
        <v>9.0</v>
      </c>
      <c r="B16" s="162" t="s">
        <v>92</v>
      </c>
      <c r="C16" s="162">
        <v>28.5</v>
      </c>
      <c r="D16" s="163">
        <v>0.0607</v>
      </c>
      <c r="E16" s="164">
        <f>237.86*8.8</f>
        <v>2093.168</v>
      </c>
      <c r="F16" s="164"/>
      <c r="G16" s="164"/>
      <c r="H16" s="158">
        <v>8.8</v>
      </c>
      <c r="I16" s="159">
        <f t="shared" si="1"/>
        <v>127.0552976</v>
      </c>
      <c r="J16" s="160">
        <f t="shared" si="2"/>
        <v>1966.112702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11.0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12.0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2"/>
      <c r="C22" s="162"/>
      <c r="D22" s="163"/>
      <c r="E22" s="164"/>
      <c r="F22" s="164"/>
      <c r="G22" s="164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2"/>
      <c r="C23" s="162"/>
      <c r="D23" s="163"/>
      <c r="E23" s="164"/>
      <c r="F23" s="164"/>
      <c r="G23" s="164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5"/>
      <c r="B24" s="166"/>
      <c r="C24" s="167"/>
      <c r="D24" s="168"/>
      <c r="E24" s="169">
        <f>SUM(E8:E23)</f>
        <v>54027.6746</v>
      </c>
      <c r="F24" s="170"/>
      <c r="G24" s="170"/>
      <c r="H24" s="171"/>
      <c r="I24" s="172">
        <f t="shared" ref="I24:J24" si="3">SUM(I8:I23)</f>
        <v>1541.777769</v>
      </c>
      <c r="J24" s="173">
        <f t="shared" si="3"/>
        <v>52485.89683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4"/>
      <c r="B25" s="144"/>
      <c r="C25" s="144"/>
      <c r="D25" s="175"/>
      <c r="E25" s="176"/>
      <c r="F25" s="151"/>
      <c r="G25" s="151"/>
      <c r="H25" s="147"/>
      <c r="I25" s="177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8"/>
      <c r="B30" s="162" t="s">
        <v>12</v>
      </c>
      <c r="C30" s="179" t="s">
        <v>60</v>
      </c>
      <c r="D30" s="52"/>
      <c r="E30" s="53"/>
      <c r="F30" s="180"/>
      <c r="G30" s="180"/>
      <c r="H30" s="181" t="s">
        <v>14</v>
      </c>
      <c r="I30" s="162" t="s">
        <v>15</v>
      </c>
      <c r="J30" s="162" t="s">
        <v>16</v>
      </c>
      <c r="K30" s="139"/>
      <c r="L30" s="162" t="s">
        <v>17</v>
      </c>
      <c r="M30" s="162" t="s">
        <v>15</v>
      </c>
      <c r="N30" s="178" t="s">
        <v>18</v>
      </c>
      <c r="O30" s="139"/>
      <c r="P30" s="139"/>
      <c r="Q30" s="178" t="s">
        <v>61</v>
      </c>
      <c r="R30" s="182"/>
      <c r="S30" s="162" t="s">
        <v>17</v>
      </c>
      <c r="T30" s="162" t="s">
        <v>15</v>
      </c>
      <c r="U30" s="178" t="s">
        <v>18</v>
      </c>
      <c r="V30" s="139"/>
      <c r="W30" s="178" t="s">
        <v>19</v>
      </c>
      <c r="X30" s="178" t="s">
        <v>20</v>
      </c>
      <c r="Y30" s="178" t="s">
        <v>21</v>
      </c>
      <c r="Z30" s="178" t="s">
        <v>93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1.0</v>
      </c>
      <c r="B31" s="183" t="s">
        <v>94</v>
      </c>
      <c r="C31" s="184">
        <v>87.0</v>
      </c>
      <c r="D31" s="184">
        <v>218.0</v>
      </c>
      <c r="E31" s="184">
        <v>166.0</v>
      </c>
      <c r="F31" s="184">
        <f t="shared" ref="F31:F197" si="5">VALUE(IF(RIGHT(B31, 1)="%", RIGHT(B31, 3), 0))</f>
        <v>0.8</v>
      </c>
      <c r="G31" s="184">
        <f t="shared" ref="G31:G197" si="6">+R31*C31/100*D31/100*E31/100</f>
        <v>92.876502</v>
      </c>
      <c r="H31" s="185">
        <f t="shared" ref="H31:H197" si="7">IF(F31=0, G31, F31*G31)</f>
        <v>74.3012016</v>
      </c>
      <c r="I31" s="184">
        <v>1.0</v>
      </c>
      <c r="J31" s="186">
        <f t="shared" ref="J31:J197" si="8">+I31*H31</f>
        <v>74.3012016</v>
      </c>
      <c r="K31" s="187"/>
      <c r="L31" s="188">
        <f>D31*25.4/1000</f>
        <v>5.5372</v>
      </c>
      <c r="M31" s="189">
        <f>+I31</f>
        <v>1</v>
      </c>
      <c r="N31" s="189">
        <f>M31*L31</f>
        <v>5.5372</v>
      </c>
      <c r="O31" s="187"/>
      <c r="P31" s="187"/>
      <c r="Q31" s="188">
        <v>92.0</v>
      </c>
      <c r="R31" s="190">
        <v>29.5</v>
      </c>
      <c r="S31" s="178">
        <f t="shared" ref="S31:S198" si="9">E31/100</f>
        <v>1.66</v>
      </c>
      <c r="T31" s="162">
        <f t="shared" ref="T31:T198" si="10">I31</f>
        <v>1</v>
      </c>
      <c r="U31" s="162">
        <f t="shared" ref="U31:U198" si="11">T31*S31</f>
        <v>1.66</v>
      </c>
      <c r="V31" s="191">
        <f t="shared" ref="V31:V80" si="12">R31*C31/100*D31/100*E31/100</f>
        <v>92.876502</v>
      </c>
      <c r="W31" s="178">
        <f t="shared" ref="W31:X31" si="4">C31/100</f>
        <v>0.87</v>
      </c>
      <c r="X31" s="178">
        <f t="shared" si="4"/>
        <v>2.18</v>
      </c>
      <c r="Y31" s="178">
        <f t="shared" ref="Y31:Y198" si="14">U31</f>
        <v>1.66</v>
      </c>
      <c r="Z31" s="192">
        <f t="shared" ref="Z31:Z198" si="15">W31*X31*Y31</f>
        <v>3.148356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2.0</v>
      </c>
      <c r="B32" s="193" t="s">
        <v>57</v>
      </c>
      <c r="C32" s="193">
        <v>54.0</v>
      </c>
      <c r="D32" s="193">
        <v>218.0</v>
      </c>
      <c r="E32" s="193">
        <v>113.0</v>
      </c>
      <c r="F32" s="193">
        <f t="shared" si="5"/>
        <v>0</v>
      </c>
      <c r="G32" s="193">
        <f t="shared" si="6"/>
        <v>39.241962</v>
      </c>
      <c r="H32" s="194">
        <f t="shared" si="7"/>
        <v>39.241962</v>
      </c>
      <c r="I32" s="193">
        <v>1.0</v>
      </c>
      <c r="J32" s="195">
        <f t="shared" si="8"/>
        <v>39.241962</v>
      </c>
      <c r="K32" s="139"/>
      <c r="L32" s="178"/>
      <c r="M32" s="162"/>
      <c r="N32" s="162"/>
      <c r="O32" s="139"/>
      <c r="P32" s="139"/>
      <c r="Q32" s="178">
        <v>54.0</v>
      </c>
      <c r="R32" s="190">
        <v>29.5</v>
      </c>
      <c r="S32" s="178">
        <f t="shared" si="9"/>
        <v>1.13</v>
      </c>
      <c r="T32" s="162">
        <f t="shared" si="10"/>
        <v>1</v>
      </c>
      <c r="U32" s="162">
        <f t="shared" si="11"/>
        <v>1.13</v>
      </c>
      <c r="V32" s="191">
        <f t="shared" si="12"/>
        <v>39.241962</v>
      </c>
      <c r="W32" s="178">
        <f t="shared" ref="W32:X32" si="13">C32/100</f>
        <v>0.54</v>
      </c>
      <c r="X32" s="178">
        <f t="shared" si="13"/>
        <v>2.18</v>
      </c>
      <c r="Y32" s="178">
        <f t="shared" si="14"/>
        <v>1.13</v>
      </c>
      <c r="Z32" s="192">
        <f t="shared" si="15"/>
        <v>1.330236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3.0</v>
      </c>
      <c r="B33" s="193" t="s">
        <v>57</v>
      </c>
      <c r="C33" s="193">
        <v>96.0</v>
      </c>
      <c r="D33" s="193">
        <v>218.0</v>
      </c>
      <c r="E33" s="193">
        <v>185.0</v>
      </c>
      <c r="F33" s="193">
        <f t="shared" si="5"/>
        <v>0</v>
      </c>
      <c r="G33" s="193">
        <f t="shared" si="6"/>
        <v>114.21456</v>
      </c>
      <c r="H33" s="194">
        <f t="shared" si="7"/>
        <v>114.21456</v>
      </c>
      <c r="I33" s="193">
        <v>1.0</v>
      </c>
      <c r="J33" s="195">
        <f t="shared" si="8"/>
        <v>114.21456</v>
      </c>
      <c r="K33" s="139"/>
      <c r="L33" s="178">
        <f t="shared" ref="L33:L56" si="17">D33*25.4/1000</f>
        <v>5.5372</v>
      </c>
      <c r="M33" s="162">
        <f t="shared" ref="M33:M48" si="18">+I33</f>
        <v>1</v>
      </c>
      <c r="N33" s="162">
        <f t="shared" ref="N33:N48" si="19">M33*L33</f>
        <v>5.5372</v>
      </c>
      <c r="O33" s="139"/>
      <c r="P33" s="139"/>
      <c r="Q33" s="178">
        <v>115.0</v>
      </c>
      <c r="R33" s="190">
        <v>29.5</v>
      </c>
      <c r="S33" s="178">
        <f t="shared" si="9"/>
        <v>1.85</v>
      </c>
      <c r="T33" s="162">
        <f t="shared" si="10"/>
        <v>1</v>
      </c>
      <c r="U33" s="162">
        <f t="shared" si="11"/>
        <v>1.85</v>
      </c>
      <c r="V33" s="191">
        <f t="shared" si="12"/>
        <v>114.21456</v>
      </c>
      <c r="W33" s="178">
        <f t="shared" ref="W33:X33" si="16">C33/100</f>
        <v>0.96</v>
      </c>
      <c r="X33" s="178">
        <f t="shared" si="16"/>
        <v>2.18</v>
      </c>
      <c r="Y33" s="178">
        <f t="shared" si="14"/>
        <v>1.85</v>
      </c>
      <c r="Z33" s="192">
        <f t="shared" si="15"/>
        <v>3.87168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4.0</v>
      </c>
      <c r="B34" s="193" t="s">
        <v>57</v>
      </c>
      <c r="C34" s="193">
        <v>95.0</v>
      </c>
      <c r="D34" s="193">
        <v>218.0</v>
      </c>
      <c r="E34" s="193">
        <v>2871.0</v>
      </c>
      <c r="F34" s="193">
        <f t="shared" si="5"/>
        <v>0</v>
      </c>
      <c r="G34" s="193">
        <f t="shared" si="6"/>
        <v>1754.023095</v>
      </c>
      <c r="H34" s="194">
        <f t="shared" si="7"/>
        <v>1754.023095</v>
      </c>
      <c r="I34" s="193">
        <v>1.0</v>
      </c>
      <c r="J34" s="195">
        <f t="shared" si="8"/>
        <v>1754.023095</v>
      </c>
      <c r="K34" s="139"/>
      <c r="L34" s="178">
        <f t="shared" si="17"/>
        <v>5.5372</v>
      </c>
      <c r="M34" s="162">
        <f t="shared" si="18"/>
        <v>1</v>
      </c>
      <c r="N34" s="162">
        <f t="shared" si="19"/>
        <v>5.5372</v>
      </c>
      <c r="O34" s="139"/>
      <c r="P34" s="139"/>
      <c r="Q34" s="178">
        <v>1775.0</v>
      </c>
      <c r="R34" s="190">
        <v>29.5</v>
      </c>
      <c r="S34" s="178">
        <f t="shared" si="9"/>
        <v>28.71</v>
      </c>
      <c r="T34" s="162">
        <f t="shared" si="10"/>
        <v>1</v>
      </c>
      <c r="U34" s="162">
        <f t="shared" si="11"/>
        <v>28.71</v>
      </c>
      <c r="V34" s="191">
        <f t="shared" si="12"/>
        <v>1754.023095</v>
      </c>
      <c r="W34" s="178">
        <f t="shared" ref="W34:X34" si="20">C34/100</f>
        <v>0.95</v>
      </c>
      <c r="X34" s="178">
        <f t="shared" si="20"/>
        <v>2.18</v>
      </c>
      <c r="Y34" s="178">
        <f t="shared" si="14"/>
        <v>28.71</v>
      </c>
      <c r="Z34" s="192">
        <f t="shared" si="15"/>
        <v>59.45841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5.0</v>
      </c>
      <c r="B35" s="193" t="s">
        <v>57</v>
      </c>
      <c r="C35" s="193">
        <v>95.0</v>
      </c>
      <c r="D35" s="193">
        <v>218.0</v>
      </c>
      <c r="E35" s="193">
        <v>2872.0</v>
      </c>
      <c r="F35" s="193">
        <f t="shared" si="5"/>
        <v>0</v>
      </c>
      <c r="G35" s="193">
        <f t="shared" si="6"/>
        <v>1754.63404</v>
      </c>
      <c r="H35" s="194">
        <f t="shared" si="7"/>
        <v>1754.63404</v>
      </c>
      <c r="I35" s="193">
        <v>1.0</v>
      </c>
      <c r="J35" s="195">
        <f t="shared" si="8"/>
        <v>1754.63404</v>
      </c>
      <c r="K35" s="139"/>
      <c r="L35" s="178">
        <f t="shared" si="17"/>
        <v>5.5372</v>
      </c>
      <c r="M35" s="162">
        <f t="shared" si="18"/>
        <v>1</v>
      </c>
      <c r="N35" s="162">
        <f t="shared" si="19"/>
        <v>5.5372</v>
      </c>
      <c r="O35" s="139"/>
      <c r="P35" s="139"/>
      <c r="Q35" s="178">
        <v>1780.0</v>
      </c>
      <c r="R35" s="190">
        <v>29.5</v>
      </c>
      <c r="S35" s="178">
        <f t="shared" si="9"/>
        <v>28.72</v>
      </c>
      <c r="T35" s="162">
        <f t="shared" si="10"/>
        <v>1</v>
      </c>
      <c r="U35" s="162">
        <f t="shared" si="11"/>
        <v>28.72</v>
      </c>
      <c r="V35" s="191">
        <f t="shared" si="12"/>
        <v>1754.63404</v>
      </c>
      <c r="W35" s="178">
        <f t="shared" ref="W35:X35" si="21">C35/100</f>
        <v>0.95</v>
      </c>
      <c r="X35" s="178">
        <f t="shared" si="21"/>
        <v>2.18</v>
      </c>
      <c r="Y35" s="178">
        <f t="shared" si="14"/>
        <v>28.72</v>
      </c>
      <c r="Z35" s="192">
        <f t="shared" si="15"/>
        <v>59.47912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6.0</v>
      </c>
      <c r="B36" s="193" t="s">
        <v>57</v>
      </c>
      <c r="C36" s="193">
        <v>96.0</v>
      </c>
      <c r="D36" s="193">
        <v>218.0</v>
      </c>
      <c r="E36" s="193">
        <v>2652.0</v>
      </c>
      <c r="F36" s="193">
        <f t="shared" si="5"/>
        <v>0</v>
      </c>
      <c r="G36" s="193">
        <f t="shared" si="6"/>
        <v>1637.281152</v>
      </c>
      <c r="H36" s="194">
        <f t="shared" si="7"/>
        <v>1637.281152</v>
      </c>
      <c r="I36" s="193">
        <v>1.0</v>
      </c>
      <c r="J36" s="195">
        <f t="shared" si="8"/>
        <v>1637.281152</v>
      </c>
      <c r="K36" s="139"/>
      <c r="L36" s="178">
        <f t="shared" si="17"/>
        <v>5.5372</v>
      </c>
      <c r="M36" s="162">
        <f t="shared" si="18"/>
        <v>1</v>
      </c>
      <c r="N36" s="162">
        <f t="shared" si="19"/>
        <v>5.5372</v>
      </c>
      <c r="O36" s="139"/>
      <c r="P36" s="139"/>
      <c r="Q36" s="178">
        <v>1615.0</v>
      </c>
      <c r="R36" s="190">
        <v>29.5</v>
      </c>
      <c r="S36" s="178">
        <f t="shared" si="9"/>
        <v>26.52</v>
      </c>
      <c r="T36" s="162">
        <f t="shared" si="10"/>
        <v>1</v>
      </c>
      <c r="U36" s="162">
        <f t="shared" si="11"/>
        <v>26.52</v>
      </c>
      <c r="V36" s="191">
        <f t="shared" si="12"/>
        <v>1637.281152</v>
      </c>
      <c r="W36" s="178">
        <f t="shared" ref="W36:X36" si="22">C36/100</f>
        <v>0.96</v>
      </c>
      <c r="X36" s="178">
        <f t="shared" si="22"/>
        <v>2.18</v>
      </c>
      <c r="Y36" s="178">
        <f t="shared" si="14"/>
        <v>26.52</v>
      </c>
      <c r="Z36" s="192">
        <f t="shared" si="15"/>
        <v>55.501056</v>
      </c>
      <c r="AA36" s="139"/>
      <c r="AB36" s="26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7.0</v>
      </c>
      <c r="B37" s="183" t="s">
        <v>63</v>
      </c>
      <c r="C37" s="184">
        <v>91.0</v>
      </c>
      <c r="D37" s="184">
        <v>202.0</v>
      </c>
      <c r="E37" s="184">
        <v>203.0</v>
      </c>
      <c r="F37" s="184">
        <f t="shared" si="5"/>
        <v>0.8</v>
      </c>
      <c r="G37" s="184">
        <f t="shared" si="6"/>
        <v>113.812153</v>
      </c>
      <c r="H37" s="185">
        <f t="shared" si="7"/>
        <v>91.0497224</v>
      </c>
      <c r="I37" s="184">
        <v>1.0</v>
      </c>
      <c r="J37" s="186">
        <f t="shared" si="8"/>
        <v>91.0497224</v>
      </c>
      <c r="K37" s="187"/>
      <c r="L37" s="188">
        <f t="shared" si="17"/>
        <v>5.1308</v>
      </c>
      <c r="M37" s="189">
        <f t="shared" si="18"/>
        <v>1</v>
      </c>
      <c r="N37" s="189">
        <f t="shared" si="19"/>
        <v>5.1308</v>
      </c>
      <c r="O37" s="187"/>
      <c r="P37" s="187"/>
      <c r="Q37" s="188">
        <v>115.0</v>
      </c>
      <c r="R37" s="190">
        <v>30.5</v>
      </c>
      <c r="S37" s="178">
        <f t="shared" si="9"/>
        <v>2.03</v>
      </c>
      <c r="T37" s="162">
        <f t="shared" si="10"/>
        <v>1</v>
      </c>
      <c r="U37" s="162">
        <f t="shared" si="11"/>
        <v>2.03</v>
      </c>
      <c r="V37" s="191">
        <f t="shared" si="12"/>
        <v>113.812153</v>
      </c>
      <c r="W37" s="178">
        <f t="shared" ref="W37:X37" si="23">C37/100</f>
        <v>0.91</v>
      </c>
      <c r="X37" s="178">
        <f t="shared" si="23"/>
        <v>2.02</v>
      </c>
      <c r="Y37" s="178">
        <f t="shared" si="14"/>
        <v>2.03</v>
      </c>
      <c r="Z37" s="192">
        <f t="shared" si="15"/>
        <v>3.731546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8.0</v>
      </c>
      <c r="B38" s="193" t="s">
        <v>55</v>
      </c>
      <c r="C38" s="193">
        <v>96.0</v>
      </c>
      <c r="D38" s="193">
        <v>202.0</v>
      </c>
      <c r="E38" s="193">
        <v>200.0</v>
      </c>
      <c r="F38" s="193">
        <f t="shared" si="5"/>
        <v>0</v>
      </c>
      <c r="G38" s="193">
        <f t="shared" si="6"/>
        <v>118.2912</v>
      </c>
      <c r="H38" s="194">
        <f t="shared" si="7"/>
        <v>118.2912</v>
      </c>
      <c r="I38" s="193">
        <v>1.0</v>
      </c>
      <c r="J38" s="195">
        <f t="shared" si="8"/>
        <v>118.2912</v>
      </c>
      <c r="K38" s="139"/>
      <c r="L38" s="178">
        <f t="shared" si="17"/>
        <v>5.1308</v>
      </c>
      <c r="M38" s="162">
        <f t="shared" si="18"/>
        <v>1</v>
      </c>
      <c r="N38" s="162">
        <f t="shared" si="19"/>
        <v>5.1308</v>
      </c>
      <c r="O38" s="139"/>
      <c r="P38" s="139"/>
      <c r="Q38" s="178">
        <v>116.0</v>
      </c>
      <c r="R38" s="190">
        <v>30.5</v>
      </c>
      <c r="S38" s="178">
        <f t="shared" si="9"/>
        <v>2</v>
      </c>
      <c r="T38" s="162">
        <f t="shared" si="10"/>
        <v>1</v>
      </c>
      <c r="U38" s="162">
        <f t="shared" si="11"/>
        <v>2</v>
      </c>
      <c r="V38" s="191">
        <f t="shared" si="12"/>
        <v>118.2912</v>
      </c>
      <c r="W38" s="178">
        <f t="shared" ref="W38:X38" si="24">C38/100</f>
        <v>0.96</v>
      </c>
      <c r="X38" s="178">
        <f t="shared" si="24"/>
        <v>2.02</v>
      </c>
      <c r="Y38" s="178">
        <f t="shared" si="14"/>
        <v>2</v>
      </c>
      <c r="Z38" s="192">
        <f t="shared" si="15"/>
        <v>3.8784</v>
      </c>
      <c r="AA38" s="139"/>
      <c r="AB38" s="139"/>
      <c r="AC38" s="270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9.0</v>
      </c>
      <c r="B39" s="193" t="s">
        <v>55</v>
      </c>
      <c r="C39" s="193">
        <v>95.0</v>
      </c>
      <c r="D39" s="193">
        <v>202.0</v>
      </c>
      <c r="E39" s="193">
        <v>2882.0</v>
      </c>
      <c r="F39" s="193">
        <f t="shared" si="5"/>
        <v>0</v>
      </c>
      <c r="G39" s="193">
        <f t="shared" si="6"/>
        <v>1686.82019</v>
      </c>
      <c r="H39" s="194">
        <f t="shared" si="7"/>
        <v>1686.82019</v>
      </c>
      <c r="I39" s="193">
        <v>1.0</v>
      </c>
      <c r="J39" s="195">
        <f t="shared" si="8"/>
        <v>1686.82019</v>
      </c>
      <c r="K39" s="139"/>
      <c r="L39" s="178">
        <f t="shared" si="17"/>
        <v>5.1308</v>
      </c>
      <c r="M39" s="162">
        <f t="shared" si="18"/>
        <v>1</v>
      </c>
      <c r="N39" s="162">
        <f t="shared" si="19"/>
        <v>5.1308</v>
      </c>
      <c r="O39" s="139"/>
      <c r="P39" s="139"/>
      <c r="Q39" s="178">
        <v>1690.0</v>
      </c>
      <c r="R39" s="190">
        <v>30.5</v>
      </c>
      <c r="S39" s="178">
        <f t="shared" si="9"/>
        <v>28.82</v>
      </c>
      <c r="T39" s="162">
        <f t="shared" si="10"/>
        <v>1</v>
      </c>
      <c r="U39" s="162">
        <f t="shared" si="11"/>
        <v>28.82</v>
      </c>
      <c r="V39" s="191">
        <f t="shared" si="12"/>
        <v>1686.82019</v>
      </c>
      <c r="W39" s="178">
        <f t="shared" ref="W39:X39" si="25">C39/100</f>
        <v>0.95</v>
      </c>
      <c r="X39" s="178">
        <f t="shared" si="25"/>
        <v>2.02</v>
      </c>
      <c r="Y39" s="178">
        <f t="shared" si="14"/>
        <v>28.82</v>
      </c>
      <c r="Z39" s="192">
        <f t="shared" si="15"/>
        <v>55.30558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10.0</v>
      </c>
      <c r="B40" s="193" t="s">
        <v>55</v>
      </c>
      <c r="C40" s="193">
        <v>96.0</v>
      </c>
      <c r="D40" s="193">
        <v>202.0</v>
      </c>
      <c r="E40" s="193">
        <v>2879.0</v>
      </c>
      <c r="F40" s="193">
        <f t="shared" si="5"/>
        <v>0</v>
      </c>
      <c r="G40" s="193">
        <f t="shared" si="6"/>
        <v>1702.801824</v>
      </c>
      <c r="H40" s="194">
        <f t="shared" si="7"/>
        <v>1702.801824</v>
      </c>
      <c r="I40" s="193">
        <v>1.0</v>
      </c>
      <c r="J40" s="195">
        <f t="shared" si="8"/>
        <v>1702.801824</v>
      </c>
      <c r="K40" s="139"/>
      <c r="L40" s="178">
        <f t="shared" si="17"/>
        <v>5.1308</v>
      </c>
      <c r="M40" s="162">
        <f t="shared" si="18"/>
        <v>1</v>
      </c>
      <c r="N40" s="162">
        <f t="shared" si="19"/>
        <v>5.1308</v>
      </c>
      <c r="O40" s="139"/>
      <c r="P40" s="139"/>
      <c r="Q40" s="178">
        <v>1695.0</v>
      </c>
      <c r="R40" s="190">
        <v>30.5</v>
      </c>
      <c r="S40" s="178">
        <f t="shared" si="9"/>
        <v>28.79</v>
      </c>
      <c r="T40" s="162">
        <f t="shared" si="10"/>
        <v>1</v>
      </c>
      <c r="U40" s="162">
        <f t="shared" si="11"/>
        <v>28.79</v>
      </c>
      <c r="V40" s="191">
        <f t="shared" si="12"/>
        <v>1702.801824</v>
      </c>
      <c r="W40" s="178">
        <f t="shared" ref="W40:X40" si="26">C40/100</f>
        <v>0.96</v>
      </c>
      <c r="X40" s="178">
        <f t="shared" si="26"/>
        <v>2.02</v>
      </c>
      <c r="Y40" s="178">
        <f t="shared" si="14"/>
        <v>28.79</v>
      </c>
      <c r="Z40" s="192">
        <f t="shared" si="15"/>
        <v>55.829568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11.0</v>
      </c>
      <c r="B41" s="193" t="s">
        <v>55</v>
      </c>
      <c r="C41" s="193">
        <v>95.0</v>
      </c>
      <c r="D41" s="193">
        <v>202.0</v>
      </c>
      <c r="E41" s="193">
        <v>2876.0</v>
      </c>
      <c r="F41" s="193">
        <f t="shared" si="5"/>
        <v>0</v>
      </c>
      <c r="G41" s="193">
        <f t="shared" si="6"/>
        <v>1683.30842</v>
      </c>
      <c r="H41" s="194">
        <f t="shared" si="7"/>
        <v>1683.30842</v>
      </c>
      <c r="I41" s="193">
        <v>1.0</v>
      </c>
      <c r="J41" s="195">
        <f t="shared" si="8"/>
        <v>1683.30842</v>
      </c>
      <c r="K41" s="139"/>
      <c r="L41" s="178">
        <f t="shared" si="17"/>
        <v>5.1308</v>
      </c>
      <c r="M41" s="162">
        <f t="shared" si="18"/>
        <v>1</v>
      </c>
      <c r="N41" s="162">
        <f t="shared" si="19"/>
        <v>5.1308</v>
      </c>
      <c r="O41" s="139"/>
      <c r="P41" s="139"/>
      <c r="Q41" s="178">
        <v>1690.0</v>
      </c>
      <c r="R41" s="190">
        <v>30.5</v>
      </c>
      <c r="S41" s="178">
        <f t="shared" si="9"/>
        <v>28.76</v>
      </c>
      <c r="T41" s="162">
        <f t="shared" si="10"/>
        <v>1</v>
      </c>
      <c r="U41" s="162">
        <f t="shared" si="11"/>
        <v>28.76</v>
      </c>
      <c r="V41" s="191">
        <f t="shared" si="12"/>
        <v>1683.30842</v>
      </c>
      <c r="W41" s="178">
        <f t="shared" ref="W41:X41" si="27">C41/100</f>
        <v>0.95</v>
      </c>
      <c r="X41" s="178">
        <f t="shared" si="27"/>
        <v>2.02</v>
      </c>
      <c r="Y41" s="178">
        <f t="shared" si="14"/>
        <v>28.76</v>
      </c>
      <c r="Z41" s="192">
        <f t="shared" si="15"/>
        <v>55.19044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12.0</v>
      </c>
      <c r="B42" s="193" t="s">
        <v>55</v>
      </c>
      <c r="C42" s="193">
        <v>95.0</v>
      </c>
      <c r="D42" s="193">
        <v>202.0</v>
      </c>
      <c r="E42" s="193">
        <v>2878.0</v>
      </c>
      <c r="F42" s="193">
        <f t="shared" si="5"/>
        <v>0</v>
      </c>
      <c r="G42" s="193">
        <f t="shared" si="6"/>
        <v>1684.47901</v>
      </c>
      <c r="H42" s="194">
        <f t="shared" si="7"/>
        <v>1684.47901</v>
      </c>
      <c r="I42" s="193">
        <v>1.0</v>
      </c>
      <c r="J42" s="195">
        <f t="shared" si="8"/>
        <v>1684.47901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1695.0</v>
      </c>
      <c r="R42" s="190">
        <v>30.5</v>
      </c>
      <c r="S42" s="178">
        <f t="shared" si="9"/>
        <v>28.78</v>
      </c>
      <c r="T42" s="162">
        <f t="shared" si="10"/>
        <v>1</v>
      </c>
      <c r="U42" s="162">
        <f t="shared" si="11"/>
        <v>28.78</v>
      </c>
      <c r="V42" s="191">
        <f t="shared" si="12"/>
        <v>1684.47901</v>
      </c>
      <c r="W42" s="178">
        <f t="shared" ref="W42:X42" si="28">C42/100</f>
        <v>0.95</v>
      </c>
      <c r="X42" s="178">
        <f t="shared" si="28"/>
        <v>2.02</v>
      </c>
      <c r="Y42" s="178">
        <f t="shared" si="14"/>
        <v>28.78</v>
      </c>
      <c r="Z42" s="192">
        <f t="shared" si="15"/>
        <v>55.22882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13.0</v>
      </c>
      <c r="B43" s="193" t="s">
        <v>55</v>
      </c>
      <c r="C43" s="193">
        <v>95.0</v>
      </c>
      <c r="D43" s="193">
        <v>202.0</v>
      </c>
      <c r="E43" s="193">
        <v>2632.0</v>
      </c>
      <c r="F43" s="193">
        <f t="shared" si="5"/>
        <v>0</v>
      </c>
      <c r="G43" s="193">
        <f t="shared" si="6"/>
        <v>1540.49644</v>
      </c>
      <c r="H43" s="194">
        <f t="shared" si="7"/>
        <v>1540.49644</v>
      </c>
      <c r="I43" s="193">
        <v>1.0</v>
      </c>
      <c r="J43" s="195">
        <f t="shared" si="8"/>
        <v>1540.49644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1550.0</v>
      </c>
      <c r="R43" s="190">
        <v>30.5</v>
      </c>
      <c r="S43" s="178">
        <f t="shared" si="9"/>
        <v>26.32</v>
      </c>
      <c r="T43" s="162">
        <f t="shared" si="10"/>
        <v>1</v>
      </c>
      <c r="U43" s="162">
        <f t="shared" si="11"/>
        <v>26.32</v>
      </c>
      <c r="V43" s="191">
        <f t="shared" si="12"/>
        <v>1540.49644</v>
      </c>
      <c r="W43" s="178">
        <f t="shared" ref="W43:X43" si="29">C43/100</f>
        <v>0.95</v>
      </c>
      <c r="X43" s="178">
        <f t="shared" si="29"/>
        <v>2.02</v>
      </c>
      <c r="Y43" s="178">
        <f t="shared" si="14"/>
        <v>26.32</v>
      </c>
      <c r="Z43" s="192">
        <f t="shared" si="15"/>
        <v>50.50808</v>
      </c>
      <c r="AA43" s="139"/>
      <c r="AB43" s="26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14.0</v>
      </c>
      <c r="B44" s="196" t="s">
        <v>57</v>
      </c>
      <c r="C44" s="193">
        <v>97.0</v>
      </c>
      <c r="D44" s="193">
        <v>202.0</v>
      </c>
      <c r="E44" s="193">
        <v>200.0</v>
      </c>
      <c r="F44" s="193">
        <f t="shared" si="5"/>
        <v>0</v>
      </c>
      <c r="G44" s="193">
        <f t="shared" si="6"/>
        <v>117.564</v>
      </c>
      <c r="H44" s="194">
        <f t="shared" si="7"/>
        <v>117.564</v>
      </c>
      <c r="I44" s="193">
        <v>1.0</v>
      </c>
      <c r="J44" s="195">
        <f t="shared" si="8"/>
        <v>117.564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113.0</v>
      </c>
      <c r="R44" s="190">
        <v>30.0</v>
      </c>
      <c r="S44" s="178">
        <f t="shared" si="9"/>
        <v>2</v>
      </c>
      <c r="T44" s="162">
        <f t="shared" si="10"/>
        <v>1</v>
      </c>
      <c r="U44" s="162">
        <f t="shared" si="11"/>
        <v>2</v>
      </c>
      <c r="V44" s="191">
        <f t="shared" si="12"/>
        <v>117.564</v>
      </c>
      <c r="W44" s="178">
        <f t="shared" ref="W44:X44" si="30">C44/100</f>
        <v>0.97</v>
      </c>
      <c r="X44" s="178">
        <f t="shared" si="30"/>
        <v>2.02</v>
      </c>
      <c r="Y44" s="178">
        <f t="shared" si="14"/>
        <v>2</v>
      </c>
      <c r="Z44" s="192">
        <f t="shared" si="15"/>
        <v>3.9188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15.0</v>
      </c>
      <c r="B45" s="193" t="s">
        <v>57</v>
      </c>
      <c r="C45" s="193">
        <v>94.0</v>
      </c>
      <c r="D45" s="193">
        <v>202.0</v>
      </c>
      <c r="E45" s="193">
        <v>2874.0</v>
      </c>
      <c r="F45" s="193">
        <f t="shared" si="5"/>
        <v>0</v>
      </c>
      <c r="G45" s="193">
        <f t="shared" si="6"/>
        <v>1637.14536</v>
      </c>
      <c r="H45" s="194">
        <f t="shared" si="7"/>
        <v>1637.14536</v>
      </c>
      <c r="I45" s="193">
        <v>1.0</v>
      </c>
      <c r="J45" s="195">
        <f t="shared" si="8"/>
        <v>1637.14536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1655.0</v>
      </c>
      <c r="R45" s="190">
        <v>30.0</v>
      </c>
      <c r="S45" s="178">
        <f t="shared" si="9"/>
        <v>28.74</v>
      </c>
      <c r="T45" s="162">
        <f t="shared" si="10"/>
        <v>1</v>
      </c>
      <c r="U45" s="162">
        <f t="shared" si="11"/>
        <v>28.74</v>
      </c>
      <c r="V45" s="191">
        <f t="shared" si="12"/>
        <v>1637.14536</v>
      </c>
      <c r="W45" s="178">
        <f t="shared" ref="W45:X45" si="31">C45/100</f>
        <v>0.94</v>
      </c>
      <c r="X45" s="178">
        <f t="shared" si="31"/>
        <v>2.02</v>
      </c>
      <c r="Y45" s="178">
        <f t="shared" si="14"/>
        <v>28.74</v>
      </c>
      <c r="Z45" s="192">
        <f t="shared" si="15"/>
        <v>54.571512</v>
      </c>
      <c r="AA45" s="139"/>
      <c r="AB45" s="26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16.0</v>
      </c>
      <c r="B46" s="193" t="s">
        <v>57</v>
      </c>
      <c r="C46" s="193">
        <v>95.0</v>
      </c>
      <c r="D46" s="193">
        <v>202.0</v>
      </c>
      <c r="E46" s="193">
        <v>2874.0</v>
      </c>
      <c r="F46" s="193">
        <f t="shared" si="5"/>
        <v>0</v>
      </c>
      <c r="G46" s="193">
        <f t="shared" si="6"/>
        <v>1654.5618</v>
      </c>
      <c r="H46" s="194">
        <f t="shared" si="7"/>
        <v>1654.5618</v>
      </c>
      <c r="I46" s="193">
        <v>1.0</v>
      </c>
      <c r="J46" s="195">
        <f t="shared" si="8"/>
        <v>1654.5618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1675.0</v>
      </c>
      <c r="R46" s="190">
        <v>30.0</v>
      </c>
      <c r="S46" s="178">
        <f t="shared" si="9"/>
        <v>28.74</v>
      </c>
      <c r="T46" s="162">
        <f t="shared" si="10"/>
        <v>1</v>
      </c>
      <c r="U46" s="162">
        <f t="shared" si="11"/>
        <v>28.74</v>
      </c>
      <c r="V46" s="191">
        <f t="shared" si="12"/>
        <v>1654.5618</v>
      </c>
      <c r="W46" s="178">
        <f t="shared" ref="W46:X46" si="32">C46/100</f>
        <v>0.95</v>
      </c>
      <c r="X46" s="178">
        <f t="shared" si="32"/>
        <v>2.02</v>
      </c>
      <c r="Y46" s="178">
        <f t="shared" si="14"/>
        <v>28.74</v>
      </c>
      <c r="Z46" s="192">
        <f t="shared" si="15"/>
        <v>55.15206</v>
      </c>
      <c r="AA46" s="139"/>
      <c r="AB46" s="139"/>
      <c r="AC46" s="271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17.0</v>
      </c>
      <c r="B47" s="193" t="s">
        <v>57</v>
      </c>
      <c r="C47" s="193">
        <v>93.0</v>
      </c>
      <c r="D47" s="193">
        <v>202.0</v>
      </c>
      <c r="E47" s="193">
        <v>2823.0</v>
      </c>
      <c r="F47" s="193">
        <f t="shared" si="5"/>
        <v>0</v>
      </c>
      <c r="G47" s="193">
        <f t="shared" si="6"/>
        <v>1590.98634</v>
      </c>
      <c r="H47" s="194">
        <f t="shared" si="7"/>
        <v>1590.98634</v>
      </c>
      <c r="I47" s="193">
        <v>1.0</v>
      </c>
      <c r="J47" s="195">
        <f t="shared" si="8"/>
        <v>1590.98634</v>
      </c>
      <c r="K47" s="139"/>
      <c r="L47" s="178">
        <f t="shared" si="17"/>
        <v>5.1308</v>
      </c>
      <c r="M47" s="162">
        <f t="shared" si="18"/>
        <v>1</v>
      </c>
      <c r="N47" s="162">
        <f t="shared" si="19"/>
        <v>5.1308</v>
      </c>
      <c r="O47" s="139"/>
      <c r="P47" s="139"/>
      <c r="Q47" s="178">
        <v>1595.0</v>
      </c>
      <c r="R47" s="190">
        <v>30.0</v>
      </c>
      <c r="S47" s="178">
        <f t="shared" si="9"/>
        <v>28.23</v>
      </c>
      <c r="T47" s="162">
        <f t="shared" si="10"/>
        <v>1</v>
      </c>
      <c r="U47" s="162">
        <f t="shared" si="11"/>
        <v>28.23</v>
      </c>
      <c r="V47" s="191">
        <f t="shared" si="12"/>
        <v>1590.98634</v>
      </c>
      <c r="W47" s="178">
        <f t="shared" ref="W47:X47" si="33">C47/100</f>
        <v>0.93</v>
      </c>
      <c r="X47" s="178">
        <f t="shared" si="33"/>
        <v>2.02</v>
      </c>
      <c r="Y47" s="178">
        <f t="shared" si="14"/>
        <v>28.23</v>
      </c>
      <c r="Z47" s="192">
        <f t="shared" si="15"/>
        <v>53.032878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18.0</v>
      </c>
      <c r="B48" s="193" t="s">
        <v>57</v>
      </c>
      <c r="C48" s="193">
        <v>94.0</v>
      </c>
      <c r="D48" s="193">
        <v>202.0</v>
      </c>
      <c r="E48" s="193">
        <v>2872.0</v>
      </c>
      <c r="F48" s="193">
        <f t="shared" si="5"/>
        <v>0</v>
      </c>
      <c r="G48" s="193">
        <f t="shared" si="6"/>
        <v>1636.00608</v>
      </c>
      <c r="H48" s="194">
        <f t="shared" si="7"/>
        <v>1636.00608</v>
      </c>
      <c r="I48" s="193">
        <v>1.0</v>
      </c>
      <c r="J48" s="195">
        <f t="shared" si="8"/>
        <v>1636.00608</v>
      </c>
      <c r="K48" s="139"/>
      <c r="L48" s="178">
        <f t="shared" si="17"/>
        <v>5.1308</v>
      </c>
      <c r="M48" s="162">
        <f t="shared" si="18"/>
        <v>1</v>
      </c>
      <c r="N48" s="162">
        <f t="shared" si="19"/>
        <v>5.1308</v>
      </c>
      <c r="O48" s="139"/>
      <c r="P48" s="139"/>
      <c r="Q48" s="178">
        <v>1640.0</v>
      </c>
      <c r="R48" s="190">
        <v>30.0</v>
      </c>
      <c r="S48" s="178">
        <f t="shared" si="9"/>
        <v>28.72</v>
      </c>
      <c r="T48" s="162">
        <f t="shared" si="10"/>
        <v>1</v>
      </c>
      <c r="U48" s="162">
        <f t="shared" si="11"/>
        <v>28.72</v>
      </c>
      <c r="V48" s="191">
        <f t="shared" si="12"/>
        <v>1636.00608</v>
      </c>
      <c r="W48" s="178">
        <f t="shared" ref="W48:X48" si="34">C48/100</f>
        <v>0.94</v>
      </c>
      <c r="X48" s="178">
        <f t="shared" si="34"/>
        <v>2.02</v>
      </c>
      <c r="Y48" s="178">
        <f t="shared" si="14"/>
        <v>28.72</v>
      </c>
      <c r="Z48" s="192">
        <f t="shared" si="15"/>
        <v>54.533536</v>
      </c>
      <c r="AA48" s="139"/>
      <c r="AB48" s="26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19.0</v>
      </c>
      <c r="B49" s="272" t="s">
        <v>95</v>
      </c>
      <c r="C49" s="272">
        <v>95.0</v>
      </c>
      <c r="D49" s="272">
        <v>202.0</v>
      </c>
      <c r="E49" s="272">
        <v>216.0</v>
      </c>
      <c r="F49" s="272">
        <f t="shared" si="5"/>
        <v>0.5</v>
      </c>
      <c r="G49" s="272">
        <f t="shared" si="6"/>
        <v>124.3512</v>
      </c>
      <c r="H49" s="273">
        <f t="shared" si="7"/>
        <v>62.1756</v>
      </c>
      <c r="I49" s="272">
        <v>1.0</v>
      </c>
      <c r="J49" s="274">
        <f t="shared" si="8"/>
        <v>62.1756</v>
      </c>
      <c r="K49" s="275"/>
      <c r="L49" s="276">
        <f t="shared" si="17"/>
        <v>5.1308</v>
      </c>
      <c r="M49" s="277"/>
      <c r="N49" s="277"/>
      <c r="O49" s="275"/>
      <c r="P49" s="275"/>
      <c r="Q49" s="276">
        <v>127.0</v>
      </c>
      <c r="R49" s="190">
        <v>30.0</v>
      </c>
      <c r="S49" s="178">
        <f t="shared" si="9"/>
        <v>2.16</v>
      </c>
      <c r="T49" s="162">
        <f t="shared" si="10"/>
        <v>1</v>
      </c>
      <c r="U49" s="162">
        <f t="shared" si="11"/>
        <v>2.16</v>
      </c>
      <c r="V49" s="191">
        <f t="shared" si="12"/>
        <v>124.3512</v>
      </c>
      <c r="W49" s="178">
        <f t="shared" ref="W49:X49" si="35">C49/100</f>
        <v>0.95</v>
      </c>
      <c r="X49" s="178">
        <f t="shared" si="35"/>
        <v>2.02</v>
      </c>
      <c r="Y49" s="178">
        <f t="shared" si="14"/>
        <v>2.16</v>
      </c>
      <c r="Z49" s="192">
        <f t="shared" si="15"/>
        <v>4.14504</v>
      </c>
      <c r="AA49" s="139"/>
      <c r="AB49" s="26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20.0</v>
      </c>
      <c r="B50" s="183" t="s">
        <v>63</v>
      </c>
      <c r="C50" s="184">
        <v>89.0</v>
      </c>
      <c r="D50" s="184">
        <v>195.0</v>
      </c>
      <c r="E50" s="184">
        <v>177.0</v>
      </c>
      <c r="F50" s="184">
        <f t="shared" si="5"/>
        <v>0.8</v>
      </c>
      <c r="G50" s="184">
        <f t="shared" si="6"/>
        <v>90.6191325</v>
      </c>
      <c r="H50" s="185">
        <f t="shared" si="7"/>
        <v>72.495306</v>
      </c>
      <c r="I50" s="184">
        <v>1.0</v>
      </c>
      <c r="J50" s="186">
        <f t="shared" si="8"/>
        <v>72.495306</v>
      </c>
      <c r="K50" s="187"/>
      <c r="L50" s="188">
        <f t="shared" si="17"/>
        <v>4.953</v>
      </c>
      <c r="M50" s="189">
        <f t="shared" ref="M50:M69" si="37">+I50</f>
        <v>1</v>
      </c>
      <c r="N50" s="189">
        <f t="shared" ref="N50:N56" si="38">M50*L50</f>
        <v>4.953</v>
      </c>
      <c r="O50" s="187"/>
      <c r="P50" s="187"/>
      <c r="Q50" s="188">
        <v>95.0</v>
      </c>
      <c r="R50" s="190">
        <v>29.5</v>
      </c>
      <c r="S50" s="178">
        <f t="shared" si="9"/>
        <v>1.77</v>
      </c>
      <c r="T50" s="162">
        <f t="shared" si="10"/>
        <v>1</v>
      </c>
      <c r="U50" s="162">
        <f t="shared" si="11"/>
        <v>1.77</v>
      </c>
      <c r="V50" s="191">
        <f t="shared" si="12"/>
        <v>90.6191325</v>
      </c>
      <c r="W50" s="178">
        <f t="shared" ref="W50:X50" si="36">C50/100</f>
        <v>0.89</v>
      </c>
      <c r="X50" s="178">
        <f t="shared" si="36"/>
        <v>1.95</v>
      </c>
      <c r="Y50" s="178">
        <f t="shared" si="14"/>
        <v>1.77</v>
      </c>
      <c r="Z50" s="192">
        <f t="shared" si="15"/>
        <v>3.071835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21.0</v>
      </c>
      <c r="B51" s="193" t="s">
        <v>55</v>
      </c>
      <c r="C51" s="193">
        <v>102.0</v>
      </c>
      <c r="D51" s="193">
        <v>195.0</v>
      </c>
      <c r="E51" s="193">
        <v>200.0</v>
      </c>
      <c r="F51" s="193">
        <f t="shared" si="5"/>
        <v>0</v>
      </c>
      <c r="G51" s="193">
        <f t="shared" si="6"/>
        <v>117.351</v>
      </c>
      <c r="H51" s="194">
        <f t="shared" si="7"/>
        <v>117.351</v>
      </c>
      <c r="I51" s="193">
        <v>1.0</v>
      </c>
      <c r="J51" s="195">
        <f t="shared" si="8"/>
        <v>117.351</v>
      </c>
      <c r="K51" s="139"/>
      <c r="L51" s="178">
        <f t="shared" si="17"/>
        <v>4.953</v>
      </c>
      <c r="M51" s="162">
        <f t="shared" si="37"/>
        <v>1</v>
      </c>
      <c r="N51" s="162">
        <f t="shared" si="38"/>
        <v>4.953</v>
      </c>
      <c r="O51" s="139"/>
      <c r="P51" s="139"/>
      <c r="Q51" s="178">
        <v>121.0</v>
      </c>
      <c r="R51" s="190">
        <v>29.5</v>
      </c>
      <c r="S51" s="178">
        <f t="shared" si="9"/>
        <v>2</v>
      </c>
      <c r="T51" s="162">
        <f t="shared" si="10"/>
        <v>1</v>
      </c>
      <c r="U51" s="162">
        <f t="shared" si="11"/>
        <v>2</v>
      </c>
      <c r="V51" s="191">
        <f t="shared" si="12"/>
        <v>117.351</v>
      </c>
      <c r="W51" s="178">
        <f t="shared" ref="W51:X51" si="39">C51/100</f>
        <v>1.02</v>
      </c>
      <c r="X51" s="178">
        <f t="shared" si="39"/>
        <v>1.95</v>
      </c>
      <c r="Y51" s="178">
        <f t="shared" si="14"/>
        <v>2</v>
      </c>
      <c r="Z51" s="192">
        <f t="shared" si="15"/>
        <v>3.978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22.0</v>
      </c>
      <c r="B52" s="193" t="s">
        <v>55</v>
      </c>
      <c r="C52" s="193">
        <v>104.0</v>
      </c>
      <c r="D52" s="193">
        <v>195.0</v>
      </c>
      <c r="E52" s="193">
        <v>2866.0</v>
      </c>
      <c r="F52" s="193">
        <f t="shared" si="5"/>
        <v>0</v>
      </c>
      <c r="G52" s="193">
        <f t="shared" si="6"/>
        <v>1714.61316</v>
      </c>
      <c r="H52" s="194">
        <f t="shared" si="7"/>
        <v>1714.61316</v>
      </c>
      <c r="I52" s="193">
        <v>1.0</v>
      </c>
      <c r="J52" s="195">
        <f t="shared" si="8"/>
        <v>1714.61316</v>
      </c>
      <c r="K52" s="139"/>
      <c r="L52" s="178">
        <f t="shared" si="17"/>
        <v>4.953</v>
      </c>
      <c r="M52" s="162">
        <f t="shared" si="37"/>
        <v>1</v>
      </c>
      <c r="N52" s="162">
        <f t="shared" si="38"/>
        <v>4.953</v>
      </c>
      <c r="O52" s="139"/>
      <c r="P52" s="139"/>
      <c r="Q52" s="178">
        <v>1695.0</v>
      </c>
      <c r="R52" s="190">
        <v>29.5</v>
      </c>
      <c r="S52" s="178">
        <f t="shared" si="9"/>
        <v>28.66</v>
      </c>
      <c r="T52" s="162">
        <f t="shared" si="10"/>
        <v>1</v>
      </c>
      <c r="U52" s="162">
        <f t="shared" si="11"/>
        <v>28.66</v>
      </c>
      <c r="V52" s="191">
        <f t="shared" si="12"/>
        <v>1714.61316</v>
      </c>
      <c r="W52" s="178">
        <f t="shared" ref="W52:X52" si="40">C52/100</f>
        <v>1.04</v>
      </c>
      <c r="X52" s="178">
        <f t="shared" si="40"/>
        <v>1.95</v>
      </c>
      <c r="Y52" s="178">
        <f t="shared" si="14"/>
        <v>28.66</v>
      </c>
      <c r="Z52" s="192">
        <f t="shared" si="15"/>
        <v>58.12248</v>
      </c>
      <c r="AA52" s="139"/>
      <c r="AB52" s="26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23.0</v>
      </c>
      <c r="B53" s="193" t="s">
        <v>55</v>
      </c>
      <c r="C53" s="193">
        <v>103.0</v>
      </c>
      <c r="D53" s="193">
        <v>195.0</v>
      </c>
      <c r="E53" s="193">
        <v>2828.0</v>
      </c>
      <c r="F53" s="193">
        <f t="shared" si="5"/>
        <v>0</v>
      </c>
      <c r="G53" s="193">
        <f t="shared" si="6"/>
        <v>1675.61121</v>
      </c>
      <c r="H53" s="194">
        <f t="shared" si="7"/>
        <v>1675.61121</v>
      </c>
      <c r="I53" s="193">
        <v>1.0</v>
      </c>
      <c r="J53" s="195">
        <f t="shared" si="8"/>
        <v>1675.61121</v>
      </c>
      <c r="K53" s="139"/>
      <c r="L53" s="178">
        <f t="shared" si="17"/>
        <v>4.953</v>
      </c>
      <c r="M53" s="162">
        <f t="shared" si="37"/>
        <v>1</v>
      </c>
      <c r="N53" s="162">
        <f t="shared" si="38"/>
        <v>4.953</v>
      </c>
      <c r="O53" s="139"/>
      <c r="P53" s="139"/>
      <c r="Q53" s="178">
        <v>1665.0</v>
      </c>
      <c r="R53" s="190">
        <v>29.5</v>
      </c>
      <c r="S53" s="178">
        <f t="shared" si="9"/>
        <v>28.28</v>
      </c>
      <c r="T53" s="162">
        <f t="shared" si="10"/>
        <v>1</v>
      </c>
      <c r="U53" s="162">
        <f t="shared" si="11"/>
        <v>28.28</v>
      </c>
      <c r="V53" s="191">
        <f t="shared" si="12"/>
        <v>1675.61121</v>
      </c>
      <c r="W53" s="178">
        <f t="shared" ref="W53:X53" si="41">C53/100</f>
        <v>1.03</v>
      </c>
      <c r="X53" s="178">
        <f t="shared" si="41"/>
        <v>1.95</v>
      </c>
      <c r="Y53" s="178">
        <f t="shared" si="14"/>
        <v>28.28</v>
      </c>
      <c r="Z53" s="192">
        <f t="shared" si="15"/>
        <v>56.80038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24.0</v>
      </c>
      <c r="B54" s="193" t="s">
        <v>55</v>
      </c>
      <c r="C54" s="193">
        <v>102.0</v>
      </c>
      <c r="D54" s="193">
        <v>195.0</v>
      </c>
      <c r="E54" s="193">
        <v>2865.0</v>
      </c>
      <c r="F54" s="193">
        <f t="shared" si="5"/>
        <v>0</v>
      </c>
      <c r="G54" s="193">
        <f t="shared" si="6"/>
        <v>1681.053075</v>
      </c>
      <c r="H54" s="194">
        <f t="shared" si="7"/>
        <v>1681.053075</v>
      </c>
      <c r="I54" s="193">
        <v>1.0</v>
      </c>
      <c r="J54" s="195">
        <f t="shared" si="8"/>
        <v>1681.053075</v>
      </c>
      <c r="K54" s="139"/>
      <c r="L54" s="178">
        <f t="shared" si="17"/>
        <v>4.953</v>
      </c>
      <c r="M54" s="162">
        <f t="shared" si="37"/>
        <v>1</v>
      </c>
      <c r="N54" s="162">
        <f t="shared" si="38"/>
        <v>4.953</v>
      </c>
      <c r="O54" s="139"/>
      <c r="P54" s="139"/>
      <c r="Q54" s="178">
        <v>1680.0</v>
      </c>
      <c r="R54" s="190">
        <v>29.5</v>
      </c>
      <c r="S54" s="178">
        <f t="shared" si="9"/>
        <v>28.65</v>
      </c>
      <c r="T54" s="162">
        <f t="shared" si="10"/>
        <v>1</v>
      </c>
      <c r="U54" s="162">
        <f t="shared" si="11"/>
        <v>28.65</v>
      </c>
      <c r="V54" s="191">
        <f t="shared" si="12"/>
        <v>1681.053075</v>
      </c>
      <c r="W54" s="178">
        <f t="shared" ref="W54:X54" si="42">C54/100</f>
        <v>1.02</v>
      </c>
      <c r="X54" s="178">
        <f t="shared" si="42"/>
        <v>1.95</v>
      </c>
      <c r="Y54" s="178">
        <f t="shared" si="14"/>
        <v>28.65</v>
      </c>
      <c r="Z54" s="192">
        <f t="shared" si="15"/>
        <v>56.98485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25.0</v>
      </c>
      <c r="B55" s="193" t="s">
        <v>55</v>
      </c>
      <c r="C55" s="193">
        <v>102.0</v>
      </c>
      <c r="D55" s="193">
        <v>195.0</v>
      </c>
      <c r="E55" s="193">
        <v>2867.0</v>
      </c>
      <c r="F55" s="193">
        <f t="shared" si="5"/>
        <v>0</v>
      </c>
      <c r="G55" s="193">
        <f t="shared" si="6"/>
        <v>1682.226585</v>
      </c>
      <c r="H55" s="194">
        <f t="shared" si="7"/>
        <v>1682.226585</v>
      </c>
      <c r="I55" s="193">
        <v>1.0</v>
      </c>
      <c r="J55" s="195">
        <f t="shared" si="8"/>
        <v>1682.226585</v>
      </c>
      <c r="K55" s="139"/>
      <c r="L55" s="178">
        <f t="shared" si="17"/>
        <v>4.953</v>
      </c>
      <c r="M55" s="162">
        <f t="shared" si="37"/>
        <v>1</v>
      </c>
      <c r="N55" s="162">
        <f t="shared" si="38"/>
        <v>4.953</v>
      </c>
      <c r="O55" s="139"/>
      <c r="P55" s="139"/>
      <c r="Q55" s="178">
        <v>1700.0</v>
      </c>
      <c r="R55" s="190">
        <v>29.5</v>
      </c>
      <c r="S55" s="178">
        <f t="shared" si="9"/>
        <v>28.67</v>
      </c>
      <c r="T55" s="162">
        <f t="shared" si="10"/>
        <v>1</v>
      </c>
      <c r="U55" s="162">
        <f t="shared" si="11"/>
        <v>28.67</v>
      </c>
      <c r="V55" s="191">
        <f t="shared" si="12"/>
        <v>1682.226585</v>
      </c>
      <c r="W55" s="178">
        <f t="shared" ref="W55:X55" si="43">C55/100</f>
        <v>1.02</v>
      </c>
      <c r="X55" s="178">
        <f t="shared" si="43"/>
        <v>1.95</v>
      </c>
      <c r="Y55" s="178">
        <f t="shared" si="14"/>
        <v>28.67</v>
      </c>
      <c r="Z55" s="192">
        <f t="shared" si="15"/>
        <v>57.02463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26.0</v>
      </c>
      <c r="B56" s="193" t="s">
        <v>55</v>
      </c>
      <c r="C56" s="193">
        <v>100.0</v>
      </c>
      <c r="D56" s="193">
        <v>195.0</v>
      </c>
      <c r="E56" s="193">
        <v>2860.0</v>
      </c>
      <c r="F56" s="193">
        <f t="shared" si="5"/>
        <v>0</v>
      </c>
      <c r="G56" s="193">
        <f t="shared" si="6"/>
        <v>1645.215</v>
      </c>
      <c r="H56" s="194">
        <f t="shared" si="7"/>
        <v>1645.215</v>
      </c>
      <c r="I56" s="193">
        <v>1.0</v>
      </c>
      <c r="J56" s="195">
        <f t="shared" si="8"/>
        <v>1645.215</v>
      </c>
      <c r="K56" s="139"/>
      <c r="L56" s="178">
        <f t="shared" si="17"/>
        <v>4.953</v>
      </c>
      <c r="M56" s="162">
        <f t="shared" si="37"/>
        <v>1</v>
      </c>
      <c r="N56" s="162">
        <f t="shared" si="38"/>
        <v>4.953</v>
      </c>
      <c r="O56" s="139"/>
      <c r="P56" s="139"/>
      <c r="Q56" s="178">
        <v>1690.0</v>
      </c>
      <c r="R56" s="190">
        <v>29.5</v>
      </c>
      <c r="S56" s="178">
        <f t="shared" si="9"/>
        <v>28.6</v>
      </c>
      <c r="T56" s="162">
        <f t="shared" si="10"/>
        <v>1</v>
      </c>
      <c r="U56" s="162">
        <f t="shared" si="11"/>
        <v>28.6</v>
      </c>
      <c r="V56" s="191">
        <f t="shared" si="12"/>
        <v>1645.215</v>
      </c>
      <c r="W56" s="178">
        <f t="shared" ref="W56:X56" si="44">C56/100</f>
        <v>1</v>
      </c>
      <c r="X56" s="178">
        <f t="shared" si="44"/>
        <v>1.95</v>
      </c>
      <c r="Y56" s="178">
        <f t="shared" si="14"/>
        <v>28.6</v>
      </c>
      <c r="Z56" s="192">
        <f t="shared" si="15"/>
        <v>55.77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27.0</v>
      </c>
      <c r="B57" s="193" t="s">
        <v>55</v>
      </c>
      <c r="C57" s="193">
        <v>102.0</v>
      </c>
      <c r="D57" s="193">
        <v>195.0</v>
      </c>
      <c r="E57" s="193">
        <v>2862.0</v>
      </c>
      <c r="F57" s="193">
        <f t="shared" si="5"/>
        <v>0</v>
      </c>
      <c r="G57" s="193">
        <f t="shared" si="6"/>
        <v>1679.29281</v>
      </c>
      <c r="H57" s="194">
        <f t="shared" si="7"/>
        <v>1679.29281</v>
      </c>
      <c r="I57" s="193">
        <v>1.0</v>
      </c>
      <c r="J57" s="195">
        <f t="shared" si="8"/>
        <v>1679.29281</v>
      </c>
      <c r="K57" s="139"/>
      <c r="L57" s="197"/>
      <c r="M57" s="198">
        <f t="shared" si="37"/>
        <v>1</v>
      </c>
      <c r="N57" s="198"/>
      <c r="O57" s="139"/>
      <c r="P57" s="139"/>
      <c r="Q57" s="178">
        <v>1695.0</v>
      </c>
      <c r="R57" s="190">
        <v>29.5</v>
      </c>
      <c r="S57" s="178">
        <f t="shared" si="9"/>
        <v>28.62</v>
      </c>
      <c r="T57" s="162">
        <f t="shared" si="10"/>
        <v>1</v>
      </c>
      <c r="U57" s="162">
        <f t="shared" si="11"/>
        <v>28.62</v>
      </c>
      <c r="V57" s="191">
        <f t="shared" si="12"/>
        <v>1679.29281</v>
      </c>
      <c r="W57" s="178">
        <f t="shared" ref="W57:X57" si="45">C57/100</f>
        <v>1.02</v>
      </c>
      <c r="X57" s="178">
        <f t="shared" si="45"/>
        <v>1.95</v>
      </c>
      <c r="Y57" s="178">
        <f t="shared" si="14"/>
        <v>28.62</v>
      </c>
      <c r="Z57" s="192">
        <f t="shared" si="15"/>
        <v>56.92518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28.0</v>
      </c>
      <c r="B58" s="196" t="s">
        <v>55</v>
      </c>
      <c r="C58" s="193">
        <v>96.0</v>
      </c>
      <c r="D58" s="193">
        <v>195.0</v>
      </c>
      <c r="E58" s="193">
        <v>210.0</v>
      </c>
      <c r="F58" s="193">
        <f t="shared" si="5"/>
        <v>0</v>
      </c>
      <c r="G58" s="193">
        <f t="shared" si="6"/>
        <v>115.9704</v>
      </c>
      <c r="H58" s="194">
        <f t="shared" si="7"/>
        <v>115.9704</v>
      </c>
      <c r="I58" s="193">
        <v>1.0</v>
      </c>
      <c r="J58" s="195">
        <f t="shared" si="8"/>
        <v>115.9704</v>
      </c>
      <c r="K58" s="139"/>
      <c r="L58" s="197"/>
      <c r="M58" s="198">
        <f t="shared" si="37"/>
        <v>1</v>
      </c>
      <c r="N58" s="198"/>
      <c r="O58" s="139"/>
      <c r="P58" s="139"/>
      <c r="Q58" s="178">
        <v>122.0</v>
      </c>
      <c r="R58" s="190">
        <v>29.5</v>
      </c>
      <c r="S58" s="178">
        <f t="shared" si="9"/>
        <v>2.1</v>
      </c>
      <c r="T58" s="162">
        <f t="shared" si="10"/>
        <v>1</v>
      </c>
      <c r="U58" s="162">
        <f t="shared" si="11"/>
        <v>2.1</v>
      </c>
      <c r="V58" s="191">
        <f t="shared" si="12"/>
        <v>115.9704</v>
      </c>
      <c r="W58" s="178">
        <f t="shared" ref="W58:X58" si="46">C58/100</f>
        <v>0.96</v>
      </c>
      <c r="X58" s="178">
        <f t="shared" si="46"/>
        <v>1.95</v>
      </c>
      <c r="Y58" s="178">
        <f t="shared" si="14"/>
        <v>2.1</v>
      </c>
      <c r="Z58" s="192">
        <f t="shared" si="15"/>
        <v>3.9312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29.0</v>
      </c>
      <c r="B59" s="193" t="s">
        <v>55</v>
      </c>
      <c r="C59" s="193">
        <v>98.0</v>
      </c>
      <c r="D59" s="193">
        <v>195.0</v>
      </c>
      <c r="E59" s="193">
        <v>2702.0</v>
      </c>
      <c r="F59" s="193">
        <f t="shared" si="5"/>
        <v>0</v>
      </c>
      <c r="G59" s="193">
        <f t="shared" si="6"/>
        <v>1523.23899</v>
      </c>
      <c r="H59" s="194">
        <f t="shared" si="7"/>
        <v>1523.23899</v>
      </c>
      <c r="I59" s="193">
        <v>1.0</v>
      </c>
      <c r="J59" s="195">
        <f t="shared" si="8"/>
        <v>1523.23899</v>
      </c>
      <c r="K59" s="139"/>
      <c r="L59" s="197"/>
      <c r="M59" s="198">
        <f t="shared" si="37"/>
        <v>1</v>
      </c>
      <c r="N59" s="198"/>
      <c r="O59" s="139"/>
      <c r="P59" s="139"/>
      <c r="Q59" s="178">
        <v>1530.0</v>
      </c>
      <c r="R59" s="190">
        <v>29.5</v>
      </c>
      <c r="S59" s="178">
        <f t="shared" si="9"/>
        <v>27.02</v>
      </c>
      <c r="T59" s="162">
        <f t="shared" si="10"/>
        <v>1</v>
      </c>
      <c r="U59" s="162">
        <f t="shared" si="11"/>
        <v>27.02</v>
      </c>
      <c r="V59" s="191">
        <f t="shared" si="12"/>
        <v>1523.23899</v>
      </c>
      <c r="W59" s="178">
        <f t="shared" ref="W59:X59" si="47">C59/100</f>
        <v>0.98</v>
      </c>
      <c r="X59" s="178">
        <f t="shared" si="47"/>
        <v>1.95</v>
      </c>
      <c r="Y59" s="178">
        <f t="shared" si="14"/>
        <v>27.02</v>
      </c>
      <c r="Z59" s="192">
        <f t="shared" si="15"/>
        <v>51.63522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30.0</v>
      </c>
      <c r="B60" s="193" t="s">
        <v>55</v>
      </c>
      <c r="C60" s="193">
        <v>97.0</v>
      </c>
      <c r="D60" s="193">
        <v>195.0</v>
      </c>
      <c r="E60" s="193">
        <v>2858.0</v>
      </c>
      <c r="F60" s="193">
        <f t="shared" si="5"/>
        <v>0</v>
      </c>
      <c r="G60" s="193">
        <f t="shared" si="6"/>
        <v>1594.742565</v>
      </c>
      <c r="H60" s="194">
        <f t="shared" si="7"/>
        <v>1594.742565</v>
      </c>
      <c r="I60" s="193">
        <v>1.0</v>
      </c>
      <c r="J60" s="195">
        <f t="shared" si="8"/>
        <v>1594.742565</v>
      </c>
      <c r="K60" s="139"/>
      <c r="L60" s="197"/>
      <c r="M60" s="198">
        <f t="shared" si="37"/>
        <v>1</v>
      </c>
      <c r="N60" s="198"/>
      <c r="O60" s="139"/>
      <c r="P60" s="139"/>
      <c r="Q60" s="178">
        <v>1650.0</v>
      </c>
      <c r="R60" s="190">
        <v>29.5</v>
      </c>
      <c r="S60" s="178">
        <f t="shared" si="9"/>
        <v>28.58</v>
      </c>
      <c r="T60" s="162">
        <f t="shared" si="10"/>
        <v>1</v>
      </c>
      <c r="U60" s="162">
        <f t="shared" si="11"/>
        <v>28.58</v>
      </c>
      <c r="V60" s="191">
        <f t="shared" si="12"/>
        <v>1594.742565</v>
      </c>
      <c r="W60" s="178">
        <f t="shared" ref="W60:X60" si="48">C60/100</f>
        <v>0.97</v>
      </c>
      <c r="X60" s="178">
        <f t="shared" si="48"/>
        <v>1.95</v>
      </c>
      <c r="Y60" s="178">
        <f t="shared" si="14"/>
        <v>28.58</v>
      </c>
      <c r="Z60" s="192">
        <f t="shared" si="15"/>
        <v>54.05907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31.0</v>
      </c>
      <c r="B61" s="183" t="s">
        <v>96</v>
      </c>
      <c r="C61" s="184">
        <v>90.0</v>
      </c>
      <c r="D61" s="184">
        <v>184.0</v>
      </c>
      <c r="E61" s="184">
        <v>199.0</v>
      </c>
      <c r="F61" s="184">
        <f t="shared" si="5"/>
        <v>0.8</v>
      </c>
      <c r="G61" s="184">
        <f t="shared" si="6"/>
        <v>97.21548</v>
      </c>
      <c r="H61" s="185">
        <f t="shared" si="7"/>
        <v>77.772384</v>
      </c>
      <c r="I61" s="184">
        <v>1.0</v>
      </c>
      <c r="J61" s="186">
        <f t="shared" si="8"/>
        <v>77.772384</v>
      </c>
      <c r="K61" s="187"/>
      <c r="L61" s="278"/>
      <c r="M61" s="279">
        <f t="shared" si="37"/>
        <v>1</v>
      </c>
      <c r="N61" s="279"/>
      <c r="O61" s="187"/>
      <c r="P61" s="187"/>
      <c r="Q61" s="188">
        <v>94.0</v>
      </c>
      <c r="R61" s="190">
        <v>29.5</v>
      </c>
      <c r="S61" s="178">
        <f t="shared" si="9"/>
        <v>1.99</v>
      </c>
      <c r="T61" s="162">
        <f t="shared" si="10"/>
        <v>1</v>
      </c>
      <c r="U61" s="162">
        <f t="shared" si="11"/>
        <v>1.99</v>
      </c>
      <c r="V61" s="191">
        <f t="shared" si="12"/>
        <v>97.21548</v>
      </c>
      <c r="W61" s="178">
        <f t="shared" ref="W61:X61" si="49">C61/100</f>
        <v>0.9</v>
      </c>
      <c r="X61" s="178">
        <f t="shared" si="49"/>
        <v>1.84</v>
      </c>
      <c r="Y61" s="178">
        <f t="shared" si="14"/>
        <v>1.99</v>
      </c>
      <c r="Z61" s="192">
        <f t="shared" si="15"/>
        <v>3.29544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2">
        <v>32.0</v>
      </c>
      <c r="B62" s="193" t="s">
        <v>90</v>
      </c>
      <c r="C62" s="193">
        <v>101.0</v>
      </c>
      <c r="D62" s="193">
        <v>184.0</v>
      </c>
      <c r="E62" s="193">
        <v>178.0</v>
      </c>
      <c r="F62" s="193">
        <f t="shared" si="5"/>
        <v>0</v>
      </c>
      <c r="G62" s="193">
        <f t="shared" si="6"/>
        <v>97.584584</v>
      </c>
      <c r="H62" s="194">
        <f t="shared" si="7"/>
        <v>97.584584</v>
      </c>
      <c r="I62" s="193">
        <v>1.0</v>
      </c>
      <c r="J62" s="195">
        <f t="shared" si="8"/>
        <v>97.584584</v>
      </c>
      <c r="K62" s="139"/>
      <c r="L62" s="197"/>
      <c r="M62" s="198">
        <f t="shared" si="37"/>
        <v>1</v>
      </c>
      <c r="N62" s="198"/>
      <c r="O62" s="139"/>
      <c r="P62" s="139"/>
      <c r="Q62" s="178">
        <v>110.0</v>
      </c>
      <c r="R62" s="190">
        <v>29.5</v>
      </c>
      <c r="S62" s="178">
        <f t="shared" si="9"/>
        <v>1.78</v>
      </c>
      <c r="T62" s="162">
        <f t="shared" si="10"/>
        <v>1</v>
      </c>
      <c r="U62" s="162">
        <f t="shared" si="11"/>
        <v>1.78</v>
      </c>
      <c r="V62" s="191">
        <f t="shared" si="12"/>
        <v>97.584584</v>
      </c>
      <c r="W62" s="178">
        <f t="shared" ref="W62:X62" si="50">C62/100</f>
        <v>1.01</v>
      </c>
      <c r="X62" s="178">
        <f t="shared" si="50"/>
        <v>1.84</v>
      </c>
      <c r="Y62" s="178">
        <f t="shared" si="14"/>
        <v>1.78</v>
      </c>
      <c r="Z62" s="192">
        <f t="shared" si="15"/>
        <v>3.307952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2">
        <v>33.0</v>
      </c>
      <c r="B63" s="193" t="s">
        <v>90</v>
      </c>
      <c r="C63" s="193">
        <v>100.0</v>
      </c>
      <c r="D63" s="193">
        <v>184.0</v>
      </c>
      <c r="E63" s="193">
        <v>2873.0</v>
      </c>
      <c r="F63" s="193">
        <f t="shared" si="5"/>
        <v>0</v>
      </c>
      <c r="G63" s="193">
        <f t="shared" si="6"/>
        <v>1559.4644</v>
      </c>
      <c r="H63" s="194">
        <f t="shared" si="7"/>
        <v>1559.4644</v>
      </c>
      <c r="I63" s="193">
        <v>1.0</v>
      </c>
      <c r="J63" s="195">
        <f t="shared" si="8"/>
        <v>1559.4644</v>
      </c>
      <c r="K63" s="139"/>
      <c r="L63" s="197"/>
      <c r="M63" s="198">
        <f t="shared" si="37"/>
        <v>1</v>
      </c>
      <c r="N63" s="198"/>
      <c r="O63" s="139"/>
      <c r="P63" s="139"/>
      <c r="Q63" s="178">
        <v>1560.0</v>
      </c>
      <c r="R63" s="190">
        <v>29.5</v>
      </c>
      <c r="S63" s="178">
        <f t="shared" si="9"/>
        <v>28.73</v>
      </c>
      <c r="T63" s="162">
        <f t="shared" si="10"/>
        <v>1</v>
      </c>
      <c r="U63" s="162">
        <f t="shared" si="11"/>
        <v>28.73</v>
      </c>
      <c r="V63" s="191">
        <f t="shared" si="12"/>
        <v>1559.4644</v>
      </c>
      <c r="W63" s="178">
        <f t="shared" ref="W63:X63" si="51">C63/100</f>
        <v>1</v>
      </c>
      <c r="X63" s="178">
        <f t="shared" si="51"/>
        <v>1.84</v>
      </c>
      <c r="Y63" s="178">
        <f t="shared" si="14"/>
        <v>28.73</v>
      </c>
      <c r="Z63" s="192">
        <f t="shared" si="15"/>
        <v>52.8632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2">
        <v>34.0</v>
      </c>
      <c r="B64" s="193" t="s">
        <v>90</v>
      </c>
      <c r="C64" s="193">
        <v>101.0</v>
      </c>
      <c r="D64" s="193">
        <v>184.0</v>
      </c>
      <c r="E64" s="193">
        <v>2875.0</v>
      </c>
      <c r="F64" s="193">
        <f t="shared" si="5"/>
        <v>0</v>
      </c>
      <c r="G64" s="193">
        <f t="shared" si="6"/>
        <v>1576.1555</v>
      </c>
      <c r="H64" s="194">
        <f t="shared" si="7"/>
        <v>1576.1555</v>
      </c>
      <c r="I64" s="193">
        <v>1.0</v>
      </c>
      <c r="J64" s="195">
        <f t="shared" si="8"/>
        <v>1576.1555</v>
      </c>
      <c r="K64" s="139"/>
      <c r="L64" s="197"/>
      <c r="M64" s="198">
        <f t="shared" si="37"/>
        <v>1</v>
      </c>
      <c r="N64" s="198"/>
      <c r="O64" s="139"/>
      <c r="P64" s="139"/>
      <c r="Q64" s="178">
        <v>1575.0</v>
      </c>
      <c r="R64" s="190">
        <v>29.5</v>
      </c>
      <c r="S64" s="178">
        <f t="shared" si="9"/>
        <v>28.75</v>
      </c>
      <c r="T64" s="162">
        <f t="shared" si="10"/>
        <v>1</v>
      </c>
      <c r="U64" s="162">
        <f t="shared" si="11"/>
        <v>28.75</v>
      </c>
      <c r="V64" s="191">
        <f t="shared" si="12"/>
        <v>1576.1555</v>
      </c>
      <c r="W64" s="178">
        <f t="shared" ref="W64:X64" si="52">C64/100</f>
        <v>1.01</v>
      </c>
      <c r="X64" s="178">
        <f t="shared" si="52"/>
        <v>1.84</v>
      </c>
      <c r="Y64" s="178">
        <f t="shared" si="14"/>
        <v>28.75</v>
      </c>
      <c r="Z64" s="192">
        <f t="shared" si="15"/>
        <v>53.429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2">
        <v>35.0</v>
      </c>
      <c r="B65" s="193" t="s">
        <v>90</v>
      </c>
      <c r="C65" s="193">
        <v>100.0</v>
      </c>
      <c r="D65" s="193">
        <v>184.0</v>
      </c>
      <c r="E65" s="193">
        <v>2871.0</v>
      </c>
      <c r="F65" s="193">
        <f t="shared" si="5"/>
        <v>0</v>
      </c>
      <c r="G65" s="193">
        <f t="shared" si="6"/>
        <v>1558.3788</v>
      </c>
      <c r="H65" s="194">
        <f t="shared" si="7"/>
        <v>1558.3788</v>
      </c>
      <c r="I65" s="193">
        <v>1.0</v>
      </c>
      <c r="J65" s="195">
        <f t="shared" si="8"/>
        <v>1558.3788</v>
      </c>
      <c r="K65" s="139"/>
      <c r="L65" s="197"/>
      <c r="M65" s="198">
        <f t="shared" si="37"/>
        <v>1</v>
      </c>
      <c r="N65" s="198"/>
      <c r="O65" s="139"/>
      <c r="P65" s="139"/>
      <c r="Q65" s="178">
        <v>1560.0</v>
      </c>
      <c r="R65" s="190">
        <v>29.5</v>
      </c>
      <c r="S65" s="178">
        <f t="shared" si="9"/>
        <v>28.71</v>
      </c>
      <c r="T65" s="162">
        <f t="shared" si="10"/>
        <v>1</v>
      </c>
      <c r="U65" s="162">
        <f t="shared" si="11"/>
        <v>28.71</v>
      </c>
      <c r="V65" s="191">
        <f t="shared" si="12"/>
        <v>1558.3788</v>
      </c>
      <c r="W65" s="178">
        <f t="shared" ref="W65:X65" si="53">C65/100</f>
        <v>1</v>
      </c>
      <c r="X65" s="178">
        <f t="shared" si="53"/>
        <v>1.84</v>
      </c>
      <c r="Y65" s="178">
        <f t="shared" si="14"/>
        <v>28.71</v>
      </c>
      <c r="Z65" s="192">
        <f t="shared" si="15"/>
        <v>52.8264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2">
        <v>36.0</v>
      </c>
      <c r="B66" s="193" t="s">
        <v>90</v>
      </c>
      <c r="C66" s="193">
        <v>100.0</v>
      </c>
      <c r="D66" s="193">
        <v>184.0</v>
      </c>
      <c r="E66" s="193">
        <v>2876.0</v>
      </c>
      <c r="F66" s="193">
        <f t="shared" si="5"/>
        <v>0</v>
      </c>
      <c r="G66" s="193">
        <f t="shared" si="6"/>
        <v>1561.0928</v>
      </c>
      <c r="H66" s="194">
        <f t="shared" si="7"/>
        <v>1561.0928</v>
      </c>
      <c r="I66" s="193">
        <v>1.0</v>
      </c>
      <c r="J66" s="195">
        <f t="shared" si="8"/>
        <v>1561.0928</v>
      </c>
      <c r="K66" s="139"/>
      <c r="L66" s="197"/>
      <c r="M66" s="198">
        <f t="shared" si="37"/>
        <v>1</v>
      </c>
      <c r="N66" s="198"/>
      <c r="O66" s="139"/>
      <c r="P66" s="139"/>
      <c r="Q66" s="178">
        <v>1570.0</v>
      </c>
      <c r="R66" s="190">
        <v>29.5</v>
      </c>
      <c r="S66" s="178">
        <f t="shared" si="9"/>
        <v>28.76</v>
      </c>
      <c r="T66" s="162">
        <f t="shared" si="10"/>
        <v>1</v>
      </c>
      <c r="U66" s="162">
        <f t="shared" si="11"/>
        <v>28.76</v>
      </c>
      <c r="V66" s="191">
        <f t="shared" si="12"/>
        <v>1561.0928</v>
      </c>
      <c r="W66" s="178">
        <f t="shared" ref="W66:X66" si="54">C66/100</f>
        <v>1</v>
      </c>
      <c r="X66" s="178">
        <f t="shared" si="54"/>
        <v>1.84</v>
      </c>
      <c r="Y66" s="178">
        <f t="shared" si="14"/>
        <v>28.76</v>
      </c>
      <c r="Z66" s="192">
        <f t="shared" si="15"/>
        <v>52.9184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2">
        <v>37.0</v>
      </c>
      <c r="B67" s="193" t="s">
        <v>90</v>
      </c>
      <c r="C67" s="193">
        <v>100.0</v>
      </c>
      <c r="D67" s="193">
        <v>184.0</v>
      </c>
      <c r="E67" s="193">
        <v>2648.0</v>
      </c>
      <c r="F67" s="193">
        <f t="shared" si="5"/>
        <v>0</v>
      </c>
      <c r="G67" s="193">
        <f t="shared" si="6"/>
        <v>1437.3344</v>
      </c>
      <c r="H67" s="194">
        <f t="shared" si="7"/>
        <v>1437.3344</v>
      </c>
      <c r="I67" s="193">
        <v>1.0</v>
      </c>
      <c r="J67" s="195">
        <f t="shared" si="8"/>
        <v>1437.3344</v>
      </c>
      <c r="K67" s="139"/>
      <c r="L67" s="197"/>
      <c r="M67" s="198">
        <f t="shared" si="37"/>
        <v>1</v>
      </c>
      <c r="N67" s="198"/>
      <c r="O67" s="139"/>
      <c r="P67" s="139"/>
      <c r="Q67" s="178">
        <v>1425.0</v>
      </c>
      <c r="R67" s="190">
        <v>29.5</v>
      </c>
      <c r="S67" s="178">
        <f t="shared" si="9"/>
        <v>26.48</v>
      </c>
      <c r="T67" s="162">
        <f t="shared" si="10"/>
        <v>1</v>
      </c>
      <c r="U67" s="162">
        <f t="shared" si="11"/>
        <v>26.48</v>
      </c>
      <c r="V67" s="191">
        <f t="shared" si="12"/>
        <v>1437.3344</v>
      </c>
      <c r="W67" s="178">
        <f t="shared" ref="W67:X67" si="55">C67/100</f>
        <v>1</v>
      </c>
      <c r="X67" s="178">
        <f t="shared" si="55"/>
        <v>1.84</v>
      </c>
      <c r="Y67" s="178">
        <f t="shared" si="14"/>
        <v>26.48</v>
      </c>
      <c r="Z67" s="192">
        <f t="shared" si="15"/>
        <v>48.7232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2">
        <v>38.0</v>
      </c>
      <c r="B68" s="183" t="s">
        <v>67</v>
      </c>
      <c r="C68" s="184">
        <v>98.0</v>
      </c>
      <c r="D68" s="184">
        <v>191.0</v>
      </c>
      <c r="E68" s="184">
        <v>172.0</v>
      </c>
      <c r="F68" s="184">
        <f t="shared" si="5"/>
        <v>0.8</v>
      </c>
      <c r="G68" s="184">
        <f t="shared" si="6"/>
        <v>53.121684</v>
      </c>
      <c r="H68" s="185">
        <f t="shared" si="7"/>
        <v>42.4973472</v>
      </c>
      <c r="I68" s="184">
        <v>1.0</v>
      </c>
      <c r="J68" s="186">
        <f t="shared" si="8"/>
        <v>42.4973472</v>
      </c>
      <c r="K68" s="187"/>
      <c r="L68" s="278"/>
      <c r="M68" s="279">
        <f t="shared" si="37"/>
        <v>1</v>
      </c>
      <c r="N68" s="279"/>
      <c r="O68" s="187"/>
      <c r="P68" s="187"/>
      <c r="Q68" s="188">
        <v>55.0</v>
      </c>
      <c r="R68" s="190">
        <v>16.5</v>
      </c>
      <c r="S68" s="178">
        <f t="shared" si="9"/>
        <v>1.72</v>
      </c>
      <c r="T68" s="162">
        <f t="shared" si="10"/>
        <v>1</v>
      </c>
      <c r="U68" s="162">
        <f t="shared" si="11"/>
        <v>1.72</v>
      </c>
      <c r="V68" s="191">
        <f t="shared" si="12"/>
        <v>53.121684</v>
      </c>
      <c r="W68" s="178">
        <f t="shared" ref="W68:X68" si="56">C68/100</f>
        <v>0.98</v>
      </c>
      <c r="X68" s="178">
        <f t="shared" si="56"/>
        <v>1.91</v>
      </c>
      <c r="Y68" s="178">
        <f t="shared" si="14"/>
        <v>1.72</v>
      </c>
      <c r="Z68" s="192">
        <f t="shared" si="15"/>
        <v>3.219496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2">
        <v>39.0</v>
      </c>
      <c r="B69" s="193" t="s">
        <v>59</v>
      </c>
      <c r="C69" s="193">
        <v>107.0</v>
      </c>
      <c r="D69" s="193">
        <v>191.0</v>
      </c>
      <c r="E69" s="193">
        <v>209.0</v>
      </c>
      <c r="F69" s="193">
        <f t="shared" si="5"/>
        <v>0</v>
      </c>
      <c r="G69" s="193">
        <f t="shared" si="6"/>
        <v>70.4769945</v>
      </c>
      <c r="H69" s="194">
        <f t="shared" si="7"/>
        <v>70.4769945</v>
      </c>
      <c r="I69" s="193">
        <v>1.0</v>
      </c>
      <c r="J69" s="195">
        <f t="shared" si="8"/>
        <v>70.4769945</v>
      </c>
      <c r="K69" s="139"/>
      <c r="L69" s="197"/>
      <c r="M69" s="198">
        <f t="shared" si="37"/>
        <v>1</v>
      </c>
      <c r="N69" s="198"/>
      <c r="O69" s="139"/>
      <c r="P69" s="139"/>
      <c r="Q69" s="178">
        <v>69.0</v>
      </c>
      <c r="R69" s="190">
        <v>16.5</v>
      </c>
      <c r="S69" s="178">
        <f t="shared" si="9"/>
        <v>2.09</v>
      </c>
      <c r="T69" s="162">
        <f t="shared" si="10"/>
        <v>1</v>
      </c>
      <c r="U69" s="162">
        <f t="shared" si="11"/>
        <v>2.09</v>
      </c>
      <c r="V69" s="191">
        <f t="shared" si="12"/>
        <v>70.4769945</v>
      </c>
      <c r="W69" s="178">
        <f t="shared" ref="W69:X69" si="57">C69/100</f>
        <v>1.07</v>
      </c>
      <c r="X69" s="178">
        <f t="shared" si="57"/>
        <v>1.91</v>
      </c>
      <c r="Y69" s="178">
        <f t="shared" si="14"/>
        <v>2.09</v>
      </c>
      <c r="Z69" s="192">
        <f t="shared" si="15"/>
        <v>4.271333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2">
        <v>40.0</v>
      </c>
      <c r="B70" s="193" t="s">
        <v>59</v>
      </c>
      <c r="C70" s="193">
        <v>106.0</v>
      </c>
      <c r="D70" s="193">
        <v>191.0</v>
      </c>
      <c r="E70" s="193">
        <v>2790.0</v>
      </c>
      <c r="F70" s="193">
        <f t="shared" si="5"/>
        <v>0</v>
      </c>
      <c r="G70" s="193">
        <f t="shared" si="6"/>
        <v>932.02461</v>
      </c>
      <c r="H70" s="194">
        <f t="shared" si="7"/>
        <v>932.02461</v>
      </c>
      <c r="I70" s="193">
        <v>1.0</v>
      </c>
      <c r="J70" s="195">
        <f t="shared" si="8"/>
        <v>932.02461</v>
      </c>
      <c r="K70" s="139"/>
      <c r="L70" s="197"/>
      <c r="M70" s="198"/>
      <c r="N70" s="198"/>
      <c r="O70" s="139"/>
      <c r="P70" s="139"/>
      <c r="Q70" s="178">
        <v>920.0</v>
      </c>
      <c r="R70" s="190">
        <v>16.5</v>
      </c>
      <c r="S70" s="178">
        <f t="shared" si="9"/>
        <v>27.9</v>
      </c>
      <c r="T70" s="162">
        <f t="shared" si="10"/>
        <v>1</v>
      </c>
      <c r="U70" s="162">
        <f t="shared" si="11"/>
        <v>27.9</v>
      </c>
      <c r="V70" s="191">
        <f t="shared" si="12"/>
        <v>932.02461</v>
      </c>
      <c r="W70" s="178">
        <f t="shared" ref="W70:X70" si="58">C70/100</f>
        <v>1.06</v>
      </c>
      <c r="X70" s="178">
        <f t="shared" si="58"/>
        <v>1.91</v>
      </c>
      <c r="Y70" s="178">
        <f t="shared" si="14"/>
        <v>27.9</v>
      </c>
      <c r="Z70" s="192">
        <f t="shared" si="15"/>
        <v>56.48634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2">
        <v>41.0</v>
      </c>
      <c r="B71" s="193" t="s">
        <v>59</v>
      </c>
      <c r="C71" s="193">
        <v>107.0</v>
      </c>
      <c r="D71" s="193">
        <v>191.0</v>
      </c>
      <c r="E71" s="193">
        <v>2847.0</v>
      </c>
      <c r="F71" s="193">
        <f t="shared" si="5"/>
        <v>0</v>
      </c>
      <c r="G71" s="193">
        <f t="shared" si="6"/>
        <v>960.0382935</v>
      </c>
      <c r="H71" s="194">
        <f t="shared" si="7"/>
        <v>960.0382935</v>
      </c>
      <c r="I71" s="193">
        <v>1.0</v>
      </c>
      <c r="J71" s="195">
        <f t="shared" si="8"/>
        <v>960.0382935</v>
      </c>
      <c r="K71" s="139"/>
      <c r="L71" s="197"/>
      <c r="M71" s="198"/>
      <c r="N71" s="198"/>
      <c r="O71" s="139"/>
      <c r="P71" s="139"/>
      <c r="Q71" s="178">
        <v>955.0</v>
      </c>
      <c r="R71" s="190">
        <v>16.5</v>
      </c>
      <c r="S71" s="178">
        <f t="shared" si="9"/>
        <v>28.47</v>
      </c>
      <c r="T71" s="162">
        <f t="shared" si="10"/>
        <v>1</v>
      </c>
      <c r="U71" s="162">
        <f t="shared" si="11"/>
        <v>28.47</v>
      </c>
      <c r="V71" s="191">
        <f t="shared" si="12"/>
        <v>960.0382935</v>
      </c>
      <c r="W71" s="178">
        <f t="shared" ref="W71:X71" si="59">C71/100</f>
        <v>1.07</v>
      </c>
      <c r="X71" s="178">
        <f t="shared" si="59"/>
        <v>1.91</v>
      </c>
      <c r="Y71" s="178">
        <f t="shared" si="14"/>
        <v>28.47</v>
      </c>
      <c r="Z71" s="192">
        <f t="shared" si="15"/>
        <v>58.184139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2">
        <v>42.0</v>
      </c>
      <c r="B72" s="193" t="s">
        <v>59</v>
      </c>
      <c r="C72" s="193">
        <v>108.0</v>
      </c>
      <c r="D72" s="193">
        <v>191.0</v>
      </c>
      <c r="E72" s="193">
        <v>2847.0</v>
      </c>
      <c r="F72" s="193">
        <f t="shared" si="5"/>
        <v>0</v>
      </c>
      <c r="G72" s="193">
        <f t="shared" si="6"/>
        <v>969.010614</v>
      </c>
      <c r="H72" s="194">
        <f t="shared" si="7"/>
        <v>969.010614</v>
      </c>
      <c r="I72" s="193">
        <v>1.0</v>
      </c>
      <c r="J72" s="195">
        <f t="shared" si="8"/>
        <v>969.010614</v>
      </c>
      <c r="K72" s="139"/>
      <c r="L72" s="197"/>
      <c r="M72" s="198"/>
      <c r="N72" s="198"/>
      <c r="O72" s="139"/>
      <c r="P72" s="139"/>
      <c r="Q72" s="178">
        <v>980.0</v>
      </c>
      <c r="R72" s="190">
        <v>16.5</v>
      </c>
      <c r="S72" s="178">
        <f t="shared" si="9"/>
        <v>28.47</v>
      </c>
      <c r="T72" s="162">
        <f t="shared" si="10"/>
        <v>1</v>
      </c>
      <c r="U72" s="162">
        <f t="shared" si="11"/>
        <v>28.47</v>
      </c>
      <c r="V72" s="191">
        <f t="shared" si="12"/>
        <v>969.010614</v>
      </c>
      <c r="W72" s="178">
        <f t="shared" ref="W72:X72" si="60">C72/100</f>
        <v>1.08</v>
      </c>
      <c r="X72" s="178">
        <f t="shared" si="60"/>
        <v>1.91</v>
      </c>
      <c r="Y72" s="178">
        <f t="shared" si="14"/>
        <v>28.47</v>
      </c>
      <c r="Z72" s="192">
        <f t="shared" si="15"/>
        <v>58.727916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2">
        <v>43.0</v>
      </c>
      <c r="B73" s="193" t="s">
        <v>59</v>
      </c>
      <c r="C73" s="193">
        <v>107.0</v>
      </c>
      <c r="D73" s="193">
        <v>191.0</v>
      </c>
      <c r="E73" s="193">
        <v>2847.0</v>
      </c>
      <c r="F73" s="193">
        <f t="shared" si="5"/>
        <v>0</v>
      </c>
      <c r="G73" s="193">
        <f t="shared" si="6"/>
        <v>960.0382935</v>
      </c>
      <c r="H73" s="194">
        <f t="shared" si="7"/>
        <v>960.0382935</v>
      </c>
      <c r="I73" s="193">
        <v>1.0</v>
      </c>
      <c r="J73" s="195">
        <f t="shared" si="8"/>
        <v>960.0382935</v>
      </c>
      <c r="K73" s="139"/>
      <c r="L73" s="197"/>
      <c r="M73" s="198"/>
      <c r="N73" s="198"/>
      <c r="O73" s="139"/>
      <c r="P73" s="139"/>
      <c r="Q73" s="178">
        <v>950.0</v>
      </c>
      <c r="R73" s="190">
        <v>16.5</v>
      </c>
      <c r="S73" s="178">
        <f t="shared" si="9"/>
        <v>28.47</v>
      </c>
      <c r="T73" s="162">
        <f t="shared" si="10"/>
        <v>1</v>
      </c>
      <c r="U73" s="162">
        <f t="shared" si="11"/>
        <v>28.47</v>
      </c>
      <c r="V73" s="191">
        <f t="shared" si="12"/>
        <v>960.0382935</v>
      </c>
      <c r="W73" s="178">
        <f t="shared" ref="W73:X73" si="61">C73/100</f>
        <v>1.07</v>
      </c>
      <c r="X73" s="178">
        <f t="shared" si="61"/>
        <v>1.91</v>
      </c>
      <c r="Y73" s="178">
        <f t="shared" si="14"/>
        <v>28.47</v>
      </c>
      <c r="Z73" s="192">
        <f t="shared" si="15"/>
        <v>58.184139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2">
        <v>44.0</v>
      </c>
      <c r="B74" s="183" t="s">
        <v>97</v>
      </c>
      <c r="C74" s="184">
        <v>91.0</v>
      </c>
      <c r="D74" s="184">
        <v>216.0</v>
      </c>
      <c r="E74" s="184">
        <v>178.0</v>
      </c>
      <c r="F74" s="184">
        <f t="shared" si="5"/>
        <v>0.8</v>
      </c>
      <c r="G74" s="184">
        <f t="shared" si="6"/>
        <v>71.724744</v>
      </c>
      <c r="H74" s="185">
        <f t="shared" si="7"/>
        <v>57.3797952</v>
      </c>
      <c r="I74" s="184">
        <v>1.0</v>
      </c>
      <c r="J74" s="186">
        <f t="shared" si="8"/>
        <v>57.3797952</v>
      </c>
      <c r="K74" s="187"/>
      <c r="L74" s="278"/>
      <c r="M74" s="279"/>
      <c r="N74" s="279"/>
      <c r="O74" s="187"/>
      <c r="P74" s="187"/>
      <c r="Q74" s="188">
        <v>80.0</v>
      </c>
      <c r="R74" s="141">
        <v>20.5</v>
      </c>
      <c r="S74" s="178">
        <f t="shared" si="9"/>
        <v>1.78</v>
      </c>
      <c r="T74" s="162">
        <f t="shared" si="10"/>
        <v>1</v>
      </c>
      <c r="U74" s="162">
        <f t="shared" si="11"/>
        <v>1.78</v>
      </c>
      <c r="V74" s="191">
        <f t="shared" si="12"/>
        <v>71.724744</v>
      </c>
      <c r="W74" s="178">
        <f t="shared" ref="W74:X74" si="62">C74/100</f>
        <v>0.91</v>
      </c>
      <c r="X74" s="178">
        <f t="shared" si="62"/>
        <v>2.16</v>
      </c>
      <c r="Y74" s="178">
        <f t="shared" si="14"/>
        <v>1.78</v>
      </c>
      <c r="Z74" s="192">
        <f t="shared" si="15"/>
        <v>3.498768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2">
        <v>45.0</v>
      </c>
      <c r="B75" s="193" t="s">
        <v>91</v>
      </c>
      <c r="C75" s="193">
        <v>101.0</v>
      </c>
      <c r="D75" s="193">
        <v>216.0</v>
      </c>
      <c r="E75" s="193">
        <v>177.0</v>
      </c>
      <c r="F75" s="193">
        <f t="shared" si="5"/>
        <v>0</v>
      </c>
      <c r="G75" s="193">
        <f t="shared" si="6"/>
        <v>79.159356</v>
      </c>
      <c r="H75" s="194">
        <f t="shared" si="7"/>
        <v>79.159356</v>
      </c>
      <c r="I75" s="193">
        <v>1.0</v>
      </c>
      <c r="J75" s="195">
        <f t="shared" si="8"/>
        <v>79.159356</v>
      </c>
      <c r="K75" s="139"/>
      <c r="L75" s="197"/>
      <c r="M75" s="198"/>
      <c r="N75" s="198"/>
      <c r="O75" s="139"/>
      <c r="P75" s="139"/>
      <c r="Q75" s="178">
        <v>99.0</v>
      </c>
      <c r="R75" s="141">
        <v>20.5</v>
      </c>
      <c r="S75" s="178">
        <f t="shared" si="9"/>
        <v>1.77</v>
      </c>
      <c r="T75" s="162">
        <f t="shared" si="10"/>
        <v>1</v>
      </c>
      <c r="U75" s="162">
        <f t="shared" si="11"/>
        <v>1.77</v>
      </c>
      <c r="V75" s="191">
        <f t="shared" si="12"/>
        <v>79.159356</v>
      </c>
      <c r="W75" s="178">
        <f t="shared" ref="W75:X75" si="63">C75/100</f>
        <v>1.01</v>
      </c>
      <c r="X75" s="178">
        <f t="shared" si="63"/>
        <v>2.16</v>
      </c>
      <c r="Y75" s="178">
        <f t="shared" si="14"/>
        <v>1.77</v>
      </c>
      <c r="Z75" s="192">
        <f t="shared" si="15"/>
        <v>3.861432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2">
        <v>46.0</v>
      </c>
      <c r="B76" s="193" t="s">
        <v>91</v>
      </c>
      <c r="C76" s="193">
        <v>85.0</v>
      </c>
      <c r="D76" s="193">
        <v>216.0</v>
      </c>
      <c r="E76" s="193">
        <v>197.0</v>
      </c>
      <c r="F76" s="193">
        <f t="shared" si="5"/>
        <v>0</v>
      </c>
      <c r="G76" s="193">
        <f t="shared" si="6"/>
        <v>74.14686</v>
      </c>
      <c r="H76" s="194">
        <f t="shared" si="7"/>
        <v>74.14686</v>
      </c>
      <c r="I76" s="193">
        <v>1.0</v>
      </c>
      <c r="J76" s="195">
        <f t="shared" si="8"/>
        <v>74.14686</v>
      </c>
      <c r="K76" s="139"/>
      <c r="L76" s="197"/>
      <c r="M76" s="198"/>
      <c r="N76" s="198"/>
      <c r="O76" s="139"/>
      <c r="P76" s="139"/>
      <c r="Q76" s="178">
        <v>91.0</v>
      </c>
      <c r="R76" s="141">
        <v>20.5</v>
      </c>
      <c r="S76" s="178">
        <f t="shared" si="9"/>
        <v>1.97</v>
      </c>
      <c r="T76" s="162">
        <f t="shared" si="10"/>
        <v>1</v>
      </c>
      <c r="U76" s="162">
        <f t="shared" si="11"/>
        <v>1.97</v>
      </c>
      <c r="V76" s="191">
        <f t="shared" si="12"/>
        <v>74.14686</v>
      </c>
      <c r="W76" s="178">
        <f t="shared" ref="W76:X76" si="64">C76/100</f>
        <v>0.85</v>
      </c>
      <c r="X76" s="178">
        <f t="shared" si="64"/>
        <v>2.16</v>
      </c>
      <c r="Y76" s="178">
        <f t="shared" si="14"/>
        <v>1.97</v>
      </c>
      <c r="Z76" s="192">
        <f t="shared" si="15"/>
        <v>3.61692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2">
        <v>47.0</v>
      </c>
      <c r="B77" s="193" t="s">
        <v>91</v>
      </c>
      <c r="C77" s="193">
        <v>101.0</v>
      </c>
      <c r="D77" s="193">
        <v>216.0</v>
      </c>
      <c r="E77" s="193">
        <v>2664.0</v>
      </c>
      <c r="F77" s="193">
        <f t="shared" si="5"/>
        <v>0</v>
      </c>
      <c r="G77" s="193">
        <f t="shared" si="6"/>
        <v>1191.415392</v>
      </c>
      <c r="H77" s="194">
        <f t="shared" si="7"/>
        <v>1191.415392</v>
      </c>
      <c r="I77" s="193">
        <v>1.0</v>
      </c>
      <c r="J77" s="195">
        <f t="shared" si="8"/>
        <v>1191.415392</v>
      </c>
      <c r="K77" s="139"/>
      <c r="L77" s="197"/>
      <c r="M77" s="198"/>
      <c r="N77" s="198"/>
      <c r="O77" s="139"/>
      <c r="P77" s="139"/>
      <c r="Q77" s="178">
        <v>1195.0</v>
      </c>
      <c r="R77" s="141">
        <v>20.5</v>
      </c>
      <c r="S77" s="178">
        <f t="shared" si="9"/>
        <v>26.64</v>
      </c>
      <c r="T77" s="162">
        <f t="shared" si="10"/>
        <v>1</v>
      </c>
      <c r="U77" s="162">
        <f t="shared" si="11"/>
        <v>26.64</v>
      </c>
      <c r="V77" s="191">
        <f t="shared" si="12"/>
        <v>1191.415392</v>
      </c>
      <c r="W77" s="178">
        <f t="shared" ref="W77:X77" si="65">C77/100</f>
        <v>1.01</v>
      </c>
      <c r="X77" s="178">
        <f t="shared" si="65"/>
        <v>2.16</v>
      </c>
      <c r="Y77" s="178">
        <f t="shared" si="14"/>
        <v>26.64</v>
      </c>
      <c r="Z77" s="192">
        <f t="shared" si="15"/>
        <v>58.117824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2">
        <v>48.0</v>
      </c>
      <c r="B78" s="193" t="s">
        <v>91</v>
      </c>
      <c r="C78" s="193">
        <v>103.0</v>
      </c>
      <c r="D78" s="193">
        <v>216.0</v>
      </c>
      <c r="E78" s="193">
        <v>2858.0</v>
      </c>
      <c r="F78" s="193">
        <f t="shared" si="5"/>
        <v>0</v>
      </c>
      <c r="G78" s="193">
        <f t="shared" si="6"/>
        <v>1303.488072</v>
      </c>
      <c r="H78" s="194">
        <f t="shared" si="7"/>
        <v>1303.488072</v>
      </c>
      <c r="I78" s="193">
        <v>1.0</v>
      </c>
      <c r="J78" s="195">
        <f t="shared" si="8"/>
        <v>1303.488072</v>
      </c>
      <c r="K78" s="139"/>
      <c r="L78" s="197"/>
      <c r="M78" s="198"/>
      <c r="N78" s="198"/>
      <c r="O78" s="139"/>
      <c r="P78" s="139"/>
      <c r="Q78" s="178">
        <v>1310.0</v>
      </c>
      <c r="R78" s="141">
        <v>20.5</v>
      </c>
      <c r="S78" s="178">
        <f t="shared" si="9"/>
        <v>28.58</v>
      </c>
      <c r="T78" s="162">
        <f t="shared" si="10"/>
        <v>1</v>
      </c>
      <c r="U78" s="162">
        <f t="shared" si="11"/>
        <v>28.58</v>
      </c>
      <c r="V78" s="191">
        <f t="shared" si="12"/>
        <v>1303.488072</v>
      </c>
      <c r="W78" s="178">
        <f t="shared" ref="W78:X78" si="66">C78/100</f>
        <v>1.03</v>
      </c>
      <c r="X78" s="178">
        <f t="shared" si="66"/>
        <v>2.16</v>
      </c>
      <c r="Y78" s="178">
        <f t="shared" si="14"/>
        <v>28.58</v>
      </c>
      <c r="Z78" s="192">
        <f t="shared" si="15"/>
        <v>63.584784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2">
        <v>49.0</v>
      </c>
      <c r="B79" s="183" t="s">
        <v>98</v>
      </c>
      <c r="C79" s="193">
        <v>100.0</v>
      </c>
      <c r="D79" s="193">
        <v>202.0</v>
      </c>
      <c r="E79" s="193">
        <v>180.0</v>
      </c>
      <c r="F79" s="193">
        <f t="shared" si="5"/>
        <v>0.8</v>
      </c>
      <c r="G79" s="193">
        <f t="shared" si="6"/>
        <v>112.716</v>
      </c>
      <c r="H79" s="194">
        <f t="shared" si="7"/>
        <v>90.1728</v>
      </c>
      <c r="I79" s="193">
        <v>1.0</v>
      </c>
      <c r="J79" s="195">
        <f t="shared" si="8"/>
        <v>90.1728</v>
      </c>
      <c r="K79" s="139"/>
      <c r="L79" s="197"/>
      <c r="M79" s="198"/>
      <c r="N79" s="198"/>
      <c r="O79" s="139"/>
      <c r="P79" s="139"/>
      <c r="Q79" s="178">
        <v>109.0</v>
      </c>
      <c r="R79" s="141">
        <v>31.0</v>
      </c>
      <c r="S79" s="178">
        <f t="shared" si="9"/>
        <v>1.8</v>
      </c>
      <c r="T79" s="162">
        <f t="shared" si="10"/>
        <v>1</v>
      </c>
      <c r="U79" s="162">
        <f t="shared" si="11"/>
        <v>1.8</v>
      </c>
      <c r="V79" s="191">
        <f t="shared" si="12"/>
        <v>112.716</v>
      </c>
      <c r="W79" s="178">
        <f t="shared" ref="W79:X79" si="67">C79/100</f>
        <v>1</v>
      </c>
      <c r="X79" s="178">
        <f t="shared" si="67"/>
        <v>2.02</v>
      </c>
      <c r="Y79" s="178">
        <f t="shared" si="14"/>
        <v>1.8</v>
      </c>
      <c r="Z79" s="192">
        <f t="shared" si="15"/>
        <v>3.636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customHeight="1">
      <c r="A80" s="162">
        <v>50.0</v>
      </c>
      <c r="B80" s="193" t="s">
        <v>92</v>
      </c>
      <c r="C80" s="193">
        <v>96.0</v>
      </c>
      <c r="D80" s="193">
        <v>202.0</v>
      </c>
      <c r="E80" s="193">
        <v>2700.0</v>
      </c>
      <c r="F80" s="193">
        <f t="shared" si="5"/>
        <v>0</v>
      </c>
      <c r="G80" s="193">
        <f t="shared" si="6"/>
        <v>1623.1104</v>
      </c>
      <c r="H80" s="194">
        <f t="shared" si="7"/>
        <v>1623.1104</v>
      </c>
      <c r="I80" s="193">
        <v>1.0</v>
      </c>
      <c r="J80" s="195">
        <f t="shared" si="8"/>
        <v>1623.1104</v>
      </c>
      <c r="K80" s="139"/>
      <c r="L80" s="197"/>
      <c r="M80" s="198"/>
      <c r="N80" s="198"/>
      <c r="O80" s="139"/>
      <c r="P80" s="139"/>
      <c r="Q80" s="178">
        <v>1625.0</v>
      </c>
      <c r="R80" s="141">
        <v>31.0</v>
      </c>
      <c r="S80" s="178">
        <f t="shared" si="9"/>
        <v>27</v>
      </c>
      <c r="T80" s="162">
        <f t="shared" si="10"/>
        <v>1</v>
      </c>
      <c r="U80" s="162">
        <f t="shared" si="11"/>
        <v>27</v>
      </c>
      <c r="V80" s="191">
        <f t="shared" si="12"/>
        <v>1623.1104</v>
      </c>
      <c r="W80" s="178">
        <f t="shared" ref="W80:X80" si="68">C80/100</f>
        <v>0.96</v>
      </c>
      <c r="X80" s="178">
        <f t="shared" si="68"/>
        <v>2.02</v>
      </c>
      <c r="Y80" s="178">
        <f t="shared" si="14"/>
        <v>27</v>
      </c>
      <c r="Z80" s="192">
        <f t="shared" si="15"/>
        <v>52.3584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101.0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9">C81/100</f>
        <v>0</v>
      </c>
      <c r="X81" s="199">
        <f t="shared" si="69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102.0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0">C82/100</f>
        <v>0</v>
      </c>
      <c r="X82" s="199">
        <f t="shared" si="70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103.0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1">C83/100</f>
        <v>0</v>
      </c>
      <c r="X83" s="199">
        <f t="shared" si="71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104.0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2">C84/100</f>
        <v>0</v>
      </c>
      <c r="X84" s="199">
        <f t="shared" si="72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105.0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3">C85/100</f>
        <v>0</v>
      </c>
      <c r="X85" s="199">
        <f t="shared" si="73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106.0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4">C86/100</f>
        <v>0</v>
      </c>
      <c r="X86" s="199">
        <f t="shared" si="74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107.0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5">C87/100</f>
        <v>0</v>
      </c>
      <c r="X87" s="199">
        <f t="shared" si="75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108.0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6">C88/100</f>
        <v>0</v>
      </c>
      <c r="X88" s="199">
        <f t="shared" si="76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109.0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7">C89/100</f>
        <v>0</v>
      </c>
      <c r="X89" s="199">
        <f t="shared" si="77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110.0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8">C90/100</f>
        <v>0</v>
      </c>
      <c r="X90" s="199">
        <f t="shared" si="78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111.0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9">C91/100</f>
        <v>0</v>
      </c>
      <c r="X91" s="199">
        <f t="shared" si="79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112.0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0">C92/100</f>
        <v>0</v>
      </c>
      <c r="X92" s="199">
        <f t="shared" si="80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113.0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1">C93/100</f>
        <v>0</v>
      </c>
      <c r="X93" s="199">
        <f t="shared" si="81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114.0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2">C94/100</f>
        <v>0</v>
      </c>
      <c r="X94" s="199">
        <f t="shared" si="82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115.0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3">C95/100</f>
        <v>0</v>
      </c>
      <c r="X95" s="199">
        <f t="shared" si="83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116.0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4">C96/100</f>
        <v>0</v>
      </c>
      <c r="X96" s="199">
        <f t="shared" si="84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117.0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5">C97/100</f>
        <v>0</v>
      </c>
      <c r="X97" s="199">
        <f t="shared" si="85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118.0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6">C98/100</f>
        <v>0</v>
      </c>
      <c r="X98" s="199">
        <f t="shared" si="86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119.0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7">C99/100</f>
        <v>0</v>
      </c>
      <c r="X99" s="199">
        <f t="shared" si="87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120.0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8">C100/100</f>
        <v>0</v>
      </c>
      <c r="X100" s="199">
        <f t="shared" si="88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121.0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9">C101/100</f>
        <v>0</v>
      </c>
      <c r="X101" s="199">
        <f t="shared" si="89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122.0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0">C102/100</f>
        <v>0</v>
      </c>
      <c r="X102" s="199">
        <f t="shared" si="90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123.0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1">C103/100</f>
        <v>0</v>
      </c>
      <c r="X103" s="199">
        <f t="shared" si="91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124.0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2">C104/100</f>
        <v>0</v>
      </c>
      <c r="X104" s="199">
        <f t="shared" si="92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125.0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3">C105/100</f>
        <v>0</v>
      </c>
      <c r="X105" s="199">
        <f t="shared" si="93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126.0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4">C106/100</f>
        <v>0</v>
      </c>
      <c r="X106" s="199">
        <f t="shared" si="94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127.0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5">C107/100</f>
        <v>0</v>
      </c>
      <c r="X107" s="199">
        <f t="shared" si="95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128.0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6">C108/100</f>
        <v>0</v>
      </c>
      <c r="X108" s="199">
        <f t="shared" si="96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129.0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7">C109/100</f>
        <v>0</v>
      </c>
      <c r="X109" s="199">
        <f t="shared" si="97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130.0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8">C110/100</f>
        <v>0</v>
      </c>
      <c r="X110" s="199">
        <f t="shared" si="98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131.0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9">C111/100</f>
        <v>0</v>
      </c>
      <c r="X111" s="199">
        <f t="shared" si="99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132.0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0">C112/100</f>
        <v>0</v>
      </c>
      <c r="X112" s="199">
        <f t="shared" si="100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133.0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1">C113/100</f>
        <v>0</v>
      </c>
      <c r="X113" s="199">
        <f t="shared" si="101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134.0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2">C114/100</f>
        <v>0</v>
      </c>
      <c r="X114" s="199">
        <f t="shared" si="102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135.0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3">C115/100</f>
        <v>0</v>
      </c>
      <c r="X115" s="199">
        <f t="shared" si="103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136.0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4">C116/100</f>
        <v>0</v>
      </c>
      <c r="X116" s="199">
        <f t="shared" si="104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137.0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5">C117/100</f>
        <v>0</v>
      </c>
      <c r="X117" s="199">
        <f t="shared" si="105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138.0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6">C118/100</f>
        <v>0</v>
      </c>
      <c r="X118" s="199">
        <f t="shared" si="106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139.0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7">C119/100</f>
        <v>0</v>
      </c>
      <c r="X119" s="199">
        <f t="shared" si="107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140.0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8">C120/100</f>
        <v>0</v>
      </c>
      <c r="X120" s="199">
        <f t="shared" si="108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141.0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9">C121/100</f>
        <v>0</v>
      </c>
      <c r="X121" s="199">
        <f t="shared" si="109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142.0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0">C122/100</f>
        <v>0</v>
      </c>
      <c r="X122" s="199">
        <f t="shared" si="110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143.0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1">C123/100</f>
        <v>0</v>
      </c>
      <c r="X123" s="199">
        <f t="shared" si="111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144.0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2">C124/100</f>
        <v>0</v>
      </c>
      <c r="X124" s="199">
        <f t="shared" si="112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145.0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3">C125/100</f>
        <v>0</v>
      </c>
      <c r="X125" s="199">
        <f t="shared" si="113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146.0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4">C126/100</f>
        <v>0</v>
      </c>
      <c r="X126" s="199">
        <f t="shared" si="114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147.0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5">C127/100</f>
        <v>0</v>
      </c>
      <c r="X127" s="199">
        <f t="shared" si="115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148.0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6">C128/100</f>
        <v>0</v>
      </c>
      <c r="X128" s="199">
        <f t="shared" si="116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149.0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7">C129/100</f>
        <v>0</v>
      </c>
      <c r="X129" s="199">
        <f t="shared" si="117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150.0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8">C130/100</f>
        <v>0</v>
      </c>
      <c r="X130" s="199">
        <f t="shared" si="118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151.0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9">C131/100</f>
        <v>0</v>
      </c>
      <c r="X131" s="199">
        <f t="shared" si="119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152.0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0">C132/100</f>
        <v>0</v>
      </c>
      <c r="X132" s="199">
        <f t="shared" si="120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153.0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1">C133/100</f>
        <v>0</v>
      </c>
      <c r="X133" s="199">
        <f t="shared" si="121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154.0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2">C134/100</f>
        <v>0</v>
      </c>
      <c r="X134" s="199">
        <f t="shared" si="122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155.0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3">C135/100</f>
        <v>0</v>
      </c>
      <c r="X135" s="199">
        <f t="shared" si="123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156.0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4">C136/100</f>
        <v>0</v>
      </c>
      <c r="X136" s="199">
        <f t="shared" si="124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157.0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5">C137/100</f>
        <v>0</v>
      </c>
      <c r="X137" s="199">
        <f t="shared" si="125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158.0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6">C138/100</f>
        <v>0</v>
      </c>
      <c r="X138" s="199">
        <f t="shared" si="126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159.0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7">C139/100</f>
        <v>0</v>
      </c>
      <c r="X139" s="199">
        <f t="shared" si="127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160.0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8">C140/100</f>
        <v>0</v>
      </c>
      <c r="X140" s="199">
        <f t="shared" si="128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161.0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9">C141/100</f>
        <v>0</v>
      </c>
      <c r="X141" s="199">
        <f t="shared" si="129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162.0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0">C142/100</f>
        <v>0</v>
      </c>
      <c r="X142" s="199">
        <f t="shared" si="130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163.0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1">C143/100</f>
        <v>0</v>
      </c>
      <c r="X143" s="199">
        <f t="shared" si="131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164.0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2">C144/100</f>
        <v>0</v>
      </c>
      <c r="X144" s="199">
        <f t="shared" si="132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165.0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3">C145/100</f>
        <v>0</v>
      </c>
      <c r="X145" s="199">
        <f t="shared" si="133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166.0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4">C146/100</f>
        <v>0</v>
      </c>
      <c r="X146" s="199">
        <f t="shared" si="134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167.0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5">C147/100</f>
        <v>0</v>
      </c>
      <c r="X147" s="199">
        <f t="shared" si="135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168.0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6">C148/100</f>
        <v>0</v>
      </c>
      <c r="X148" s="199">
        <f t="shared" si="136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169.0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7">C149/100</f>
        <v>0</v>
      </c>
      <c r="X149" s="199">
        <f t="shared" si="137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170.0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8">C150/100</f>
        <v>0</v>
      </c>
      <c r="X150" s="199">
        <f t="shared" si="138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171.0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9">C151/100</f>
        <v>0</v>
      </c>
      <c r="X151" s="199">
        <f t="shared" si="139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172.0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0">C152/100</f>
        <v>0</v>
      </c>
      <c r="X152" s="199">
        <f t="shared" si="140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173.0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1">C153/100</f>
        <v>0</v>
      </c>
      <c r="X153" s="199">
        <f t="shared" si="141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174.0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2">C154/100</f>
        <v>0</v>
      </c>
      <c r="X154" s="199">
        <f t="shared" si="142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175.0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3">C155/100</f>
        <v>0</v>
      </c>
      <c r="X155" s="199">
        <f t="shared" si="143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176.0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4">C156/100</f>
        <v>0</v>
      </c>
      <c r="X156" s="199">
        <f t="shared" si="144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177.0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5">C157/100</f>
        <v>0</v>
      </c>
      <c r="X157" s="199">
        <f t="shared" si="145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178.0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6">C158/100</f>
        <v>0</v>
      </c>
      <c r="X158" s="199">
        <f t="shared" si="146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179.0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7">C159/100</f>
        <v>0</v>
      </c>
      <c r="X159" s="199">
        <f t="shared" si="147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180.0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8">C160/100</f>
        <v>0</v>
      </c>
      <c r="X160" s="199">
        <f t="shared" si="148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181.0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9">C161/100</f>
        <v>0</v>
      </c>
      <c r="X161" s="199">
        <f t="shared" si="149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182.0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0">C162/100</f>
        <v>0</v>
      </c>
      <c r="X162" s="199">
        <f t="shared" si="150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183.0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1">C163/100</f>
        <v>0</v>
      </c>
      <c r="X163" s="199">
        <f t="shared" si="151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184.0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2">C164/100</f>
        <v>0</v>
      </c>
      <c r="X164" s="199">
        <f t="shared" si="152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185.0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3">C165/100</f>
        <v>0</v>
      </c>
      <c r="X165" s="199">
        <f t="shared" si="153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186.0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4">C166/100</f>
        <v>0</v>
      </c>
      <c r="X166" s="199">
        <f t="shared" si="154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187.0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5">C167/100</f>
        <v>0</v>
      </c>
      <c r="X167" s="199">
        <f t="shared" si="155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188.0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6">C168/100</f>
        <v>0</v>
      </c>
      <c r="X168" s="199">
        <f t="shared" si="156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189.0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7">C169/100</f>
        <v>0</v>
      </c>
      <c r="X169" s="199">
        <f t="shared" si="157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190.0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8">C170/100</f>
        <v>0</v>
      </c>
      <c r="X170" s="199">
        <f t="shared" si="158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191.0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9">C171/100</f>
        <v>0</v>
      </c>
      <c r="X171" s="199">
        <f t="shared" si="159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192.0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0">C172/100</f>
        <v>0</v>
      </c>
      <c r="X172" s="199">
        <f t="shared" si="160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193.0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1">C173/100</f>
        <v>0</v>
      </c>
      <c r="X173" s="199">
        <f t="shared" si="161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194.0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2">C174/100</f>
        <v>0</v>
      </c>
      <c r="X174" s="199">
        <f t="shared" si="162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195.0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3">C175/100</f>
        <v>0</v>
      </c>
      <c r="X175" s="199">
        <f t="shared" si="163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196.0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4">C176/100</f>
        <v>0</v>
      </c>
      <c r="X176" s="199">
        <f t="shared" si="164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197.0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5">C177/100</f>
        <v>0</v>
      </c>
      <c r="X177" s="199">
        <f t="shared" si="165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198.0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6">C178/100</f>
        <v>0</v>
      </c>
      <c r="X178" s="199">
        <f t="shared" si="166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2">
        <v>199.0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7">C179/100</f>
        <v>0</v>
      </c>
      <c r="X179" s="199">
        <f t="shared" si="167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2">
        <v>200.0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8">C180/100</f>
        <v>0</v>
      </c>
      <c r="X180" s="199">
        <f t="shared" si="168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2">
        <v>201.0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9">C181/100</f>
        <v>0</v>
      </c>
      <c r="X181" s="199">
        <f t="shared" si="169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2">
        <v>202.0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0">C182/100</f>
        <v>0</v>
      </c>
      <c r="X182" s="199">
        <f t="shared" si="170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2">
        <v>203.0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1">C183/100</f>
        <v>0</v>
      </c>
      <c r="X183" s="199">
        <f t="shared" si="171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2">
        <v>204.0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2">C184/100</f>
        <v>0</v>
      </c>
      <c r="X184" s="199">
        <f t="shared" si="172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2">
        <v>205.0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3">C185/100</f>
        <v>0</v>
      </c>
      <c r="X185" s="199">
        <f t="shared" si="173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2">
        <v>206.0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4">C186/100</f>
        <v>0</v>
      </c>
      <c r="X186" s="199">
        <f t="shared" si="174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2">
        <v>207.0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5">C187/100</f>
        <v>0</v>
      </c>
      <c r="X187" s="199">
        <f t="shared" si="175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2">
        <v>208.0</v>
      </c>
      <c r="B188" s="193"/>
      <c r="C188" s="193"/>
      <c r="D188" s="193"/>
      <c r="E188" s="193"/>
      <c r="F188" s="193">
        <f t="shared" si="5"/>
        <v>0</v>
      </c>
      <c r="G188" s="193">
        <f t="shared" si="6"/>
        <v>0</v>
      </c>
      <c r="H188" s="194">
        <f t="shared" si="7"/>
        <v>0</v>
      </c>
      <c r="I188" s="193"/>
      <c r="J188" s="195">
        <f t="shared" si="8"/>
        <v>0</v>
      </c>
      <c r="K188" s="139"/>
      <c r="L188" s="197"/>
      <c r="M188" s="198"/>
      <c r="N188" s="198"/>
      <c r="O188" s="139"/>
      <c r="P188" s="139"/>
      <c r="Q188" s="195"/>
      <c r="R188" s="141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6">C188/100</f>
        <v>0</v>
      </c>
      <c r="X188" s="199">
        <f t="shared" si="176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2">
        <v>209.0</v>
      </c>
      <c r="B189" s="193"/>
      <c r="C189" s="193"/>
      <c r="D189" s="193"/>
      <c r="E189" s="193"/>
      <c r="F189" s="193">
        <f t="shared" si="5"/>
        <v>0</v>
      </c>
      <c r="G189" s="193">
        <f t="shared" si="6"/>
        <v>0</v>
      </c>
      <c r="H189" s="194">
        <f t="shared" si="7"/>
        <v>0</v>
      </c>
      <c r="I189" s="193"/>
      <c r="J189" s="195">
        <f t="shared" si="8"/>
        <v>0</v>
      </c>
      <c r="K189" s="139"/>
      <c r="L189" s="197"/>
      <c r="M189" s="198"/>
      <c r="N189" s="198"/>
      <c r="O189" s="139"/>
      <c r="P189" s="139"/>
      <c r="Q189" s="195"/>
      <c r="R189" s="141"/>
      <c r="S189" s="199">
        <f t="shared" si="9"/>
        <v>0</v>
      </c>
      <c r="T189" s="200" t="str">
        <f t="shared" si="10"/>
        <v/>
      </c>
      <c r="U189" s="200">
        <f t="shared" si="11"/>
        <v>0</v>
      </c>
      <c r="V189" s="203"/>
      <c r="W189" s="199">
        <f t="shared" ref="W189:X189" si="177">C189/100</f>
        <v>0</v>
      </c>
      <c r="X189" s="199">
        <f t="shared" si="177"/>
        <v>0</v>
      </c>
      <c r="Y189" s="199">
        <f t="shared" si="14"/>
        <v>0</v>
      </c>
      <c r="Z189" s="202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2">
        <v>210.0</v>
      </c>
      <c r="B190" s="193"/>
      <c r="C190" s="193"/>
      <c r="D190" s="193"/>
      <c r="E190" s="193"/>
      <c r="F190" s="193">
        <f t="shared" si="5"/>
        <v>0</v>
      </c>
      <c r="G190" s="193">
        <f t="shared" si="6"/>
        <v>0</v>
      </c>
      <c r="H190" s="194">
        <f t="shared" si="7"/>
        <v>0</v>
      </c>
      <c r="I190" s="193"/>
      <c r="J190" s="195">
        <f t="shared" si="8"/>
        <v>0</v>
      </c>
      <c r="K190" s="139"/>
      <c r="L190" s="197"/>
      <c r="M190" s="198"/>
      <c r="N190" s="198"/>
      <c r="O190" s="139"/>
      <c r="P190" s="139"/>
      <c r="Q190" s="195"/>
      <c r="R190" s="141"/>
      <c r="S190" s="199">
        <f t="shared" si="9"/>
        <v>0</v>
      </c>
      <c r="T190" s="200" t="str">
        <f t="shared" si="10"/>
        <v/>
      </c>
      <c r="U190" s="200">
        <f t="shared" si="11"/>
        <v>0</v>
      </c>
      <c r="V190" s="203"/>
      <c r="W190" s="199">
        <f t="shared" ref="W190:X190" si="178">C190/100</f>
        <v>0</v>
      </c>
      <c r="X190" s="199">
        <f t="shared" si="178"/>
        <v>0</v>
      </c>
      <c r="Y190" s="199">
        <f t="shared" si="14"/>
        <v>0</v>
      </c>
      <c r="Z190" s="202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2">
        <v>211.0</v>
      </c>
      <c r="B191" s="193"/>
      <c r="C191" s="193"/>
      <c r="D191" s="193"/>
      <c r="E191" s="193"/>
      <c r="F191" s="193">
        <f t="shared" si="5"/>
        <v>0</v>
      </c>
      <c r="G191" s="193">
        <f t="shared" si="6"/>
        <v>0</v>
      </c>
      <c r="H191" s="194">
        <f t="shared" si="7"/>
        <v>0</v>
      </c>
      <c r="I191" s="193"/>
      <c r="J191" s="195">
        <f t="shared" si="8"/>
        <v>0</v>
      </c>
      <c r="K191" s="139"/>
      <c r="L191" s="197"/>
      <c r="M191" s="198"/>
      <c r="N191" s="198"/>
      <c r="O191" s="139"/>
      <c r="P191" s="139"/>
      <c r="Q191" s="195"/>
      <c r="R191" s="141"/>
      <c r="S191" s="199">
        <f t="shared" si="9"/>
        <v>0</v>
      </c>
      <c r="T191" s="200" t="str">
        <f t="shared" si="10"/>
        <v/>
      </c>
      <c r="U191" s="200">
        <f t="shared" si="11"/>
        <v>0</v>
      </c>
      <c r="V191" s="203"/>
      <c r="W191" s="199">
        <f t="shared" ref="W191:X191" si="179">C191/100</f>
        <v>0</v>
      </c>
      <c r="X191" s="199">
        <f t="shared" si="179"/>
        <v>0</v>
      </c>
      <c r="Y191" s="199">
        <f t="shared" si="14"/>
        <v>0</v>
      </c>
      <c r="Z191" s="202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2">
        <v>212.0</v>
      </c>
      <c r="B192" s="193"/>
      <c r="C192" s="193"/>
      <c r="D192" s="193"/>
      <c r="E192" s="193"/>
      <c r="F192" s="193">
        <f t="shared" si="5"/>
        <v>0</v>
      </c>
      <c r="G192" s="193">
        <f t="shared" si="6"/>
        <v>0</v>
      </c>
      <c r="H192" s="194">
        <f t="shared" si="7"/>
        <v>0</v>
      </c>
      <c r="I192" s="193"/>
      <c r="J192" s="195">
        <f t="shared" si="8"/>
        <v>0</v>
      </c>
      <c r="K192" s="139"/>
      <c r="L192" s="197"/>
      <c r="M192" s="198"/>
      <c r="N192" s="198"/>
      <c r="O192" s="139"/>
      <c r="P192" s="139"/>
      <c r="Q192" s="195"/>
      <c r="R192" s="141"/>
      <c r="S192" s="199">
        <f t="shared" si="9"/>
        <v>0</v>
      </c>
      <c r="T192" s="200" t="str">
        <f t="shared" si="10"/>
        <v/>
      </c>
      <c r="U192" s="200">
        <f t="shared" si="11"/>
        <v>0</v>
      </c>
      <c r="V192" s="203"/>
      <c r="W192" s="199">
        <f t="shared" ref="W192:X192" si="180">C192/100</f>
        <v>0</v>
      </c>
      <c r="X192" s="199">
        <f t="shared" si="180"/>
        <v>0</v>
      </c>
      <c r="Y192" s="199">
        <f t="shared" si="14"/>
        <v>0</v>
      </c>
      <c r="Z192" s="202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2">
        <v>213.0</v>
      </c>
      <c r="B193" s="193"/>
      <c r="C193" s="193"/>
      <c r="D193" s="193"/>
      <c r="E193" s="193"/>
      <c r="F193" s="193">
        <f t="shared" si="5"/>
        <v>0</v>
      </c>
      <c r="G193" s="193">
        <f t="shared" si="6"/>
        <v>0</v>
      </c>
      <c r="H193" s="194">
        <f t="shared" si="7"/>
        <v>0</v>
      </c>
      <c r="I193" s="193"/>
      <c r="J193" s="195">
        <f t="shared" si="8"/>
        <v>0</v>
      </c>
      <c r="K193" s="139"/>
      <c r="L193" s="197"/>
      <c r="M193" s="198"/>
      <c r="N193" s="198"/>
      <c r="O193" s="139"/>
      <c r="P193" s="139"/>
      <c r="Q193" s="195"/>
      <c r="R193" s="141"/>
      <c r="S193" s="199">
        <f t="shared" si="9"/>
        <v>0</v>
      </c>
      <c r="T193" s="200" t="str">
        <f t="shared" si="10"/>
        <v/>
      </c>
      <c r="U193" s="200">
        <f t="shared" si="11"/>
        <v>0</v>
      </c>
      <c r="V193" s="203"/>
      <c r="W193" s="199">
        <f t="shared" ref="W193:X193" si="181">C193/100</f>
        <v>0</v>
      </c>
      <c r="X193" s="199">
        <f t="shared" si="181"/>
        <v>0</v>
      </c>
      <c r="Y193" s="199">
        <f t="shared" si="14"/>
        <v>0</v>
      </c>
      <c r="Z193" s="202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2">
        <v>214.0</v>
      </c>
      <c r="B194" s="193"/>
      <c r="C194" s="193"/>
      <c r="D194" s="193"/>
      <c r="E194" s="193"/>
      <c r="F194" s="193">
        <f t="shared" si="5"/>
        <v>0</v>
      </c>
      <c r="G194" s="193">
        <f t="shared" si="6"/>
        <v>0</v>
      </c>
      <c r="H194" s="194">
        <f t="shared" si="7"/>
        <v>0</v>
      </c>
      <c r="I194" s="193"/>
      <c r="J194" s="195">
        <f t="shared" si="8"/>
        <v>0</v>
      </c>
      <c r="K194" s="139"/>
      <c r="L194" s="197"/>
      <c r="M194" s="198"/>
      <c r="N194" s="198"/>
      <c r="O194" s="139"/>
      <c r="P194" s="139"/>
      <c r="Q194" s="195"/>
      <c r="R194" s="141"/>
      <c r="S194" s="199">
        <f t="shared" si="9"/>
        <v>0</v>
      </c>
      <c r="T194" s="200" t="str">
        <f t="shared" si="10"/>
        <v/>
      </c>
      <c r="U194" s="200">
        <f t="shared" si="11"/>
        <v>0</v>
      </c>
      <c r="V194" s="203"/>
      <c r="W194" s="199">
        <f t="shared" ref="W194:X194" si="182">C194/100</f>
        <v>0</v>
      </c>
      <c r="X194" s="199">
        <f t="shared" si="182"/>
        <v>0</v>
      </c>
      <c r="Y194" s="199">
        <f t="shared" si="14"/>
        <v>0</v>
      </c>
      <c r="Z194" s="202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2">
        <v>215.0</v>
      </c>
      <c r="B195" s="193"/>
      <c r="C195" s="193"/>
      <c r="D195" s="193"/>
      <c r="E195" s="193"/>
      <c r="F195" s="193">
        <f t="shared" si="5"/>
        <v>0</v>
      </c>
      <c r="G195" s="193">
        <f t="shared" si="6"/>
        <v>0</v>
      </c>
      <c r="H195" s="194">
        <f t="shared" si="7"/>
        <v>0</v>
      </c>
      <c r="I195" s="193"/>
      <c r="J195" s="195">
        <f t="shared" si="8"/>
        <v>0</v>
      </c>
      <c r="K195" s="139"/>
      <c r="L195" s="197"/>
      <c r="M195" s="198"/>
      <c r="N195" s="198"/>
      <c r="O195" s="139"/>
      <c r="P195" s="139"/>
      <c r="Q195" s="195"/>
      <c r="R195" s="141"/>
      <c r="S195" s="199">
        <f t="shared" si="9"/>
        <v>0</v>
      </c>
      <c r="T195" s="200" t="str">
        <f t="shared" si="10"/>
        <v/>
      </c>
      <c r="U195" s="200">
        <f t="shared" si="11"/>
        <v>0</v>
      </c>
      <c r="V195" s="203"/>
      <c r="W195" s="199">
        <f t="shared" ref="W195:X195" si="183">C195/100</f>
        <v>0</v>
      </c>
      <c r="X195" s="199">
        <f t="shared" si="183"/>
        <v>0</v>
      </c>
      <c r="Y195" s="199">
        <f t="shared" si="14"/>
        <v>0</v>
      </c>
      <c r="Z195" s="202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2">
        <v>216.0</v>
      </c>
      <c r="B196" s="193"/>
      <c r="C196" s="193"/>
      <c r="D196" s="193"/>
      <c r="E196" s="193"/>
      <c r="F196" s="193">
        <f t="shared" si="5"/>
        <v>0</v>
      </c>
      <c r="G196" s="193">
        <f t="shared" si="6"/>
        <v>0</v>
      </c>
      <c r="H196" s="194">
        <f t="shared" si="7"/>
        <v>0</v>
      </c>
      <c r="I196" s="193"/>
      <c r="J196" s="195">
        <f t="shared" si="8"/>
        <v>0</v>
      </c>
      <c r="K196" s="139"/>
      <c r="L196" s="197"/>
      <c r="M196" s="198"/>
      <c r="N196" s="198"/>
      <c r="O196" s="139"/>
      <c r="P196" s="139"/>
      <c r="Q196" s="195"/>
      <c r="R196" s="141"/>
      <c r="S196" s="199">
        <f t="shared" si="9"/>
        <v>0</v>
      </c>
      <c r="T196" s="200" t="str">
        <f t="shared" si="10"/>
        <v/>
      </c>
      <c r="U196" s="200">
        <f t="shared" si="11"/>
        <v>0</v>
      </c>
      <c r="V196" s="203"/>
      <c r="W196" s="199">
        <f t="shared" ref="W196:X196" si="184">C196/100</f>
        <v>0</v>
      </c>
      <c r="X196" s="199">
        <f t="shared" si="184"/>
        <v>0</v>
      </c>
      <c r="Y196" s="199">
        <f t="shared" si="14"/>
        <v>0</v>
      </c>
      <c r="Z196" s="202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62">
        <v>217.0</v>
      </c>
      <c r="B197" s="193"/>
      <c r="C197" s="193"/>
      <c r="D197" s="193"/>
      <c r="E197" s="193"/>
      <c r="F197" s="193">
        <f t="shared" si="5"/>
        <v>0</v>
      </c>
      <c r="G197" s="193">
        <f t="shared" si="6"/>
        <v>0</v>
      </c>
      <c r="H197" s="194">
        <f t="shared" si="7"/>
        <v>0</v>
      </c>
      <c r="I197" s="193"/>
      <c r="J197" s="195">
        <f t="shared" si="8"/>
        <v>0</v>
      </c>
      <c r="K197" s="139"/>
      <c r="L197" s="197"/>
      <c r="M197" s="198"/>
      <c r="N197" s="198"/>
      <c r="O197" s="139"/>
      <c r="P197" s="139"/>
      <c r="Q197" s="195"/>
      <c r="R197" s="141"/>
      <c r="S197" s="199">
        <f t="shared" si="9"/>
        <v>0</v>
      </c>
      <c r="T197" s="200" t="str">
        <f t="shared" si="10"/>
        <v/>
      </c>
      <c r="U197" s="200">
        <f t="shared" si="11"/>
        <v>0</v>
      </c>
      <c r="V197" s="203"/>
      <c r="W197" s="199">
        <f t="shared" ref="W197:X197" si="185">C197/100</f>
        <v>0</v>
      </c>
      <c r="X197" s="199">
        <f t="shared" si="185"/>
        <v>0</v>
      </c>
      <c r="Y197" s="199">
        <f t="shared" si="14"/>
        <v>0</v>
      </c>
      <c r="Z197" s="202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customHeight="1">
      <c r="A198" s="162"/>
      <c r="B198" s="178"/>
      <c r="C198" s="178"/>
      <c r="D198" s="178"/>
      <c r="E198" s="178"/>
      <c r="F198" s="178"/>
      <c r="G198" s="178"/>
      <c r="H198" s="181"/>
      <c r="I198" s="162"/>
      <c r="J198" s="204">
        <f>+Q251</f>
        <v>166.8</v>
      </c>
      <c r="K198" s="139"/>
      <c r="L198" s="139"/>
      <c r="M198" s="139"/>
      <c r="N198" s="139"/>
      <c r="O198" s="139"/>
      <c r="P198" s="139"/>
      <c r="Q198" s="139"/>
      <c r="R198" s="205"/>
      <c r="S198" s="199">
        <f t="shared" si="9"/>
        <v>0</v>
      </c>
      <c r="T198" s="200" t="str">
        <f t="shared" si="10"/>
        <v/>
      </c>
      <c r="U198" s="200">
        <f t="shared" si="11"/>
        <v>0</v>
      </c>
      <c r="V198" s="203"/>
      <c r="W198" s="199">
        <f t="shared" ref="W198:X198" si="186">C198/100</f>
        <v>0</v>
      </c>
      <c r="X198" s="199">
        <f t="shared" si="186"/>
        <v>0</v>
      </c>
      <c r="Y198" s="199">
        <f t="shared" si="14"/>
        <v>0</v>
      </c>
      <c r="Z198" s="202">
        <f t="shared" si="15"/>
        <v>0</v>
      </c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customHeight="1">
      <c r="A199" s="162"/>
      <c r="B199" s="206"/>
      <c r="C199" s="206"/>
      <c r="D199" s="206"/>
      <c r="E199" s="206"/>
      <c r="F199" s="206"/>
      <c r="G199" s="206"/>
      <c r="H199" s="207"/>
      <c r="I199" s="208">
        <f>SUM(I31:I197)</f>
        <v>50</v>
      </c>
      <c r="J199" s="209">
        <f>SUM(J31:J198)</f>
        <v>50468.73379</v>
      </c>
      <c r="K199" s="210"/>
      <c r="L199" s="210"/>
      <c r="M199" s="210"/>
      <c r="N199" s="210"/>
      <c r="O199" s="210"/>
      <c r="P199" s="210"/>
      <c r="Q199" s="210"/>
      <c r="R199" s="141"/>
      <c r="S199" s="210">
        <f>SUMIFS($T$31:$T$197,$S$31:$S$197,"&gt;=3")</f>
        <v>32</v>
      </c>
      <c r="T199" s="210">
        <f t="shared" ref="T199:U199" si="187">SUM(T31:T197)</f>
        <v>50</v>
      </c>
      <c r="U199" s="210">
        <f t="shared" si="187"/>
        <v>937.49</v>
      </c>
      <c r="V199" s="210"/>
      <c r="W199" s="210"/>
      <c r="X199" s="210"/>
      <c r="Y199" s="210"/>
      <c r="Z199" s="211">
        <f>SUM(Z31:Z198)</f>
        <v>1841.229046</v>
      </c>
      <c r="AA199" s="210"/>
      <c r="AB199" s="210"/>
      <c r="AC199" s="210"/>
      <c r="AD199" s="210"/>
      <c r="AE199" s="210"/>
      <c r="AF199" s="210"/>
      <c r="AG199" s="210"/>
      <c r="AH199" s="210"/>
      <c r="AI199" s="210"/>
      <c r="AJ199" s="210"/>
      <c r="AK199" s="210"/>
      <c r="AL199" s="210"/>
      <c r="AM199" s="210"/>
      <c r="AN199" s="210"/>
      <c r="AO199" s="210"/>
      <c r="AP199" s="210"/>
      <c r="AQ199" s="210"/>
      <c r="AR199" s="210"/>
      <c r="AS199" s="210"/>
      <c r="AT199" s="210"/>
    </row>
    <row r="200" ht="29.2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270"/>
      <c r="R200" s="141"/>
      <c r="S200" s="203"/>
      <c r="T200" s="139">
        <f>+T199-S199</f>
        <v>18</v>
      </c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05"/>
      <c r="S201" s="139"/>
      <c r="T201" s="139" t="s">
        <v>48</v>
      </c>
      <c r="U201" s="139" t="s">
        <v>68</v>
      </c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9.2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139" t="s">
        <v>31</v>
      </c>
      <c r="T202" s="212">
        <f>SUMIFS($J$31:$J$197,$S$31:$S$197,"&gt;=3")</f>
        <v>48790.08872</v>
      </c>
      <c r="U202" s="213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9.25" customHeight="1">
      <c r="A203" s="139" t="s">
        <v>32</v>
      </c>
      <c r="B203" s="139"/>
      <c r="C203" s="139"/>
      <c r="D203" s="139" t="s">
        <v>33</v>
      </c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141"/>
      <c r="S203" s="139" t="s">
        <v>34</v>
      </c>
      <c r="T203" s="266">
        <f>J199-T202</f>
        <v>1678.645073</v>
      </c>
      <c r="U203" s="213">
        <f>+SUMIFS($U$31:$U$197,$S$31:$S$197,"&gt;=3")</f>
        <v>903.89</v>
      </c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9.2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05"/>
      <c r="S204" s="139"/>
      <c r="T204" s="214">
        <f>+I199</f>
        <v>50</v>
      </c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39.0" customHeight="1">
      <c r="A205" s="178"/>
      <c r="B205" s="162" t="s">
        <v>12</v>
      </c>
      <c r="C205" s="179" t="s">
        <v>69</v>
      </c>
      <c r="D205" s="52"/>
      <c r="E205" s="53"/>
      <c r="F205" s="180"/>
      <c r="G205" s="180"/>
      <c r="H205" s="181" t="s">
        <v>14</v>
      </c>
      <c r="I205" s="162" t="s">
        <v>15</v>
      </c>
      <c r="J205" s="162" t="s">
        <v>16</v>
      </c>
      <c r="K205" s="139"/>
      <c r="L205" s="139"/>
      <c r="M205" s="139"/>
      <c r="N205" s="139"/>
      <c r="O205" s="139"/>
      <c r="P205" s="139"/>
      <c r="Q205" s="139"/>
      <c r="R205" s="141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5">
        <v>1.0</v>
      </c>
      <c r="B206" s="215" t="s">
        <v>94</v>
      </c>
      <c r="C206" s="215">
        <v>87.0</v>
      </c>
      <c r="D206" s="215">
        <v>218.0</v>
      </c>
      <c r="E206" s="215">
        <v>166.0</v>
      </c>
      <c r="F206" s="215">
        <f t="shared" ref="F206:F213" si="188">1-VALUE(IF(RIGHT(B206, 1)="%", RIGHT(B206, 3), 0))</f>
        <v>0.2</v>
      </c>
      <c r="G206" s="215">
        <f t="shared" ref="G206:G213" si="189">+Q206*C206/100*D206/100*E206/100</f>
        <v>0</v>
      </c>
      <c r="H206" s="216">
        <f t="shared" ref="H206:H213" si="190">IF(F206=0, G206, F206*G206)</f>
        <v>0</v>
      </c>
      <c r="I206" s="215">
        <v>1.0</v>
      </c>
      <c r="J206" s="217">
        <v>92.876502</v>
      </c>
      <c r="K206" s="139"/>
      <c r="L206" s="178">
        <f t="shared" ref="L206:L210" si="191">D206*25.4/1000</f>
        <v>5.5372</v>
      </c>
      <c r="M206" s="162">
        <f t="shared" ref="M206:M210" si="192">+I206</f>
        <v>1</v>
      </c>
      <c r="N206" s="162">
        <f t="shared" ref="N206:N210" si="193">M206*L206</f>
        <v>5.5372</v>
      </c>
      <c r="O206" s="139"/>
      <c r="P206" s="139"/>
      <c r="Q206" s="139"/>
      <c r="R206" s="141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5">
        <v>2.0</v>
      </c>
      <c r="B207" s="215" t="s">
        <v>63</v>
      </c>
      <c r="C207" s="215">
        <v>91.0</v>
      </c>
      <c r="D207" s="215">
        <v>202.0</v>
      </c>
      <c r="E207" s="215">
        <v>203.0</v>
      </c>
      <c r="F207" s="215">
        <f t="shared" si="188"/>
        <v>0.2</v>
      </c>
      <c r="G207" s="215">
        <f t="shared" si="189"/>
        <v>0</v>
      </c>
      <c r="H207" s="216">
        <f t="shared" si="190"/>
        <v>0</v>
      </c>
      <c r="I207" s="215">
        <v>1.0</v>
      </c>
      <c r="J207" s="217">
        <v>113.812153</v>
      </c>
      <c r="K207" s="139"/>
      <c r="L207" s="178">
        <f t="shared" si="191"/>
        <v>5.1308</v>
      </c>
      <c r="M207" s="162">
        <f t="shared" si="192"/>
        <v>1</v>
      </c>
      <c r="N207" s="162">
        <f t="shared" si="193"/>
        <v>5.1308</v>
      </c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5">
        <v>3.0</v>
      </c>
      <c r="B208" s="218" t="s">
        <v>95</v>
      </c>
      <c r="C208" s="218">
        <v>95.0</v>
      </c>
      <c r="D208" s="218">
        <v>202.0</v>
      </c>
      <c r="E208" s="218">
        <v>216.0</v>
      </c>
      <c r="F208" s="218">
        <f t="shared" si="188"/>
        <v>0.5</v>
      </c>
      <c r="G208" s="218">
        <f t="shared" si="189"/>
        <v>0</v>
      </c>
      <c r="H208" s="219">
        <f t="shared" si="190"/>
        <v>0</v>
      </c>
      <c r="I208" s="218">
        <v>1.0</v>
      </c>
      <c r="J208" s="195">
        <v>90.61913249999999</v>
      </c>
      <c r="K208" s="139"/>
      <c r="L208" s="178">
        <f t="shared" si="191"/>
        <v>5.1308</v>
      </c>
      <c r="M208" s="162">
        <f t="shared" si="192"/>
        <v>1</v>
      </c>
      <c r="N208" s="162">
        <f t="shared" si="193"/>
        <v>5.1308</v>
      </c>
      <c r="O208" s="139"/>
      <c r="P208" s="139"/>
      <c r="Q208" s="139"/>
      <c r="R208" s="139"/>
      <c r="S208" s="220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5">
        <v>4.0</v>
      </c>
      <c r="B209" s="218" t="s">
        <v>63</v>
      </c>
      <c r="C209" s="218">
        <v>89.0</v>
      </c>
      <c r="D209" s="218">
        <v>195.0</v>
      </c>
      <c r="E209" s="218">
        <v>177.0</v>
      </c>
      <c r="F209" s="218">
        <f t="shared" si="188"/>
        <v>0.2</v>
      </c>
      <c r="G209" s="218">
        <f t="shared" si="189"/>
        <v>0</v>
      </c>
      <c r="H209" s="219">
        <f t="shared" si="190"/>
        <v>0</v>
      </c>
      <c r="I209" s="218">
        <v>1.0</v>
      </c>
      <c r="J209" s="195">
        <v>97.21547999999999</v>
      </c>
      <c r="K209" s="139"/>
      <c r="L209" s="178">
        <f t="shared" si="191"/>
        <v>4.953</v>
      </c>
      <c r="M209" s="162">
        <f t="shared" si="192"/>
        <v>1</v>
      </c>
      <c r="N209" s="162">
        <f t="shared" si="193"/>
        <v>4.953</v>
      </c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5">
        <v>5.0</v>
      </c>
      <c r="B210" s="218" t="s">
        <v>96</v>
      </c>
      <c r="C210" s="218">
        <v>90.0</v>
      </c>
      <c r="D210" s="218">
        <v>184.0</v>
      </c>
      <c r="E210" s="218">
        <v>199.0</v>
      </c>
      <c r="F210" s="218">
        <f t="shared" si="188"/>
        <v>0.2</v>
      </c>
      <c r="G210" s="218">
        <f t="shared" si="189"/>
        <v>0</v>
      </c>
      <c r="H210" s="219">
        <f t="shared" si="190"/>
        <v>0</v>
      </c>
      <c r="I210" s="218">
        <v>1.0</v>
      </c>
      <c r="J210" s="195">
        <v>53.121684</v>
      </c>
      <c r="K210" s="139"/>
      <c r="L210" s="178">
        <f t="shared" si="191"/>
        <v>4.6736</v>
      </c>
      <c r="M210" s="162">
        <f t="shared" si="192"/>
        <v>1</v>
      </c>
      <c r="N210" s="162">
        <f t="shared" si="193"/>
        <v>4.6736</v>
      </c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5">
        <v>6.0</v>
      </c>
      <c r="B211" s="218" t="s">
        <v>67</v>
      </c>
      <c r="C211" s="218">
        <v>98.0</v>
      </c>
      <c r="D211" s="218">
        <v>191.0</v>
      </c>
      <c r="E211" s="218">
        <v>172.0</v>
      </c>
      <c r="F211" s="218">
        <f t="shared" si="188"/>
        <v>0.2</v>
      </c>
      <c r="G211" s="218">
        <f t="shared" si="189"/>
        <v>0</v>
      </c>
      <c r="H211" s="219">
        <f t="shared" si="190"/>
        <v>0</v>
      </c>
      <c r="I211" s="218">
        <v>1.0</v>
      </c>
      <c r="J211" s="195">
        <v>71.724744</v>
      </c>
      <c r="K211" s="139"/>
      <c r="L211" s="139"/>
      <c r="M211" s="221"/>
      <c r="N211" s="221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5">
        <v>7.0</v>
      </c>
      <c r="B212" s="280" t="s">
        <v>97</v>
      </c>
      <c r="C212" s="280">
        <v>91.0</v>
      </c>
      <c r="D212" s="280">
        <v>216.0</v>
      </c>
      <c r="E212" s="280">
        <v>178.0</v>
      </c>
      <c r="F212" s="280">
        <f t="shared" si="188"/>
        <v>0.2</v>
      </c>
      <c r="G212" s="280">
        <f t="shared" si="189"/>
        <v>0</v>
      </c>
      <c r="H212" s="281">
        <f t="shared" si="190"/>
        <v>0</v>
      </c>
      <c r="I212" s="280">
        <v>1.0</v>
      </c>
      <c r="J212" s="282">
        <v>124.3512</v>
      </c>
      <c r="K212" s="139"/>
      <c r="L212" s="139">
        <f>D212*25.4/1000</f>
        <v>5.4864</v>
      </c>
      <c r="M212" s="221"/>
      <c r="N212" s="221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customHeight="1">
      <c r="A213" s="283">
        <v>8.0</v>
      </c>
      <c r="B213" s="218" t="s">
        <v>98</v>
      </c>
      <c r="C213" s="218">
        <v>100.0</v>
      </c>
      <c r="D213" s="218">
        <v>202.0</v>
      </c>
      <c r="E213" s="218">
        <v>180.0</v>
      </c>
      <c r="F213" s="218">
        <f t="shared" si="188"/>
        <v>0.2</v>
      </c>
      <c r="G213" s="218">
        <f t="shared" si="189"/>
        <v>0</v>
      </c>
      <c r="H213" s="219">
        <f t="shared" si="190"/>
        <v>0</v>
      </c>
      <c r="I213" s="218">
        <v>1.0</v>
      </c>
      <c r="J213" s="195">
        <v>124.3512</v>
      </c>
      <c r="K213" s="139"/>
      <c r="L213" s="139"/>
      <c r="M213" s="221"/>
      <c r="N213" s="221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2"/>
      <c r="B214" s="139"/>
      <c r="C214" s="139"/>
      <c r="D214" s="139"/>
      <c r="E214" s="139"/>
      <c r="F214" s="139"/>
      <c r="G214" s="139"/>
      <c r="H214" s="140" t="s">
        <v>38</v>
      </c>
      <c r="I214" s="139"/>
      <c r="J214" s="284">
        <f>SUM(J206:J212)</f>
        <v>643.7208955</v>
      </c>
      <c r="K214" s="139"/>
      <c r="L214" s="139"/>
      <c r="M214" s="139"/>
      <c r="N214" s="139"/>
      <c r="O214" s="139"/>
      <c r="P214" s="139"/>
      <c r="Q214" s="139"/>
      <c r="R214" s="141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76"/>
      <c r="B215" s="144"/>
      <c r="C215" s="144"/>
      <c r="D215" s="144"/>
      <c r="E215" s="144"/>
      <c r="F215" s="144"/>
      <c r="G215" s="144"/>
      <c r="H215" s="145"/>
      <c r="I215" s="144"/>
      <c r="J215" s="177"/>
      <c r="K215" s="139"/>
      <c r="L215" s="139"/>
      <c r="M215" s="139"/>
      <c r="N215" s="139"/>
      <c r="O215" s="139"/>
      <c r="P215" s="139"/>
      <c r="Q215" s="139"/>
      <c r="R215" s="141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41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24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 t="s">
        <v>39</v>
      </c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4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224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42.0" customHeight="1">
      <c r="A220" s="178"/>
      <c r="B220" s="162" t="s">
        <v>12</v>
      </c>
      <c r="C220" s="179" t="s">
        <v>75</v>
      </c>
      <c r="D220" s="52"/>
      <c r="E220" s="53"/>
      <c r="F220" s="225"/>
      <c r="G220" s="225"/>
      <c r="H220" s="181" t="s">
        <v>14</v>
      </c>
      <c r="I220" s="226" t="s">
        <v>15</v>
      </c>
      <c r="J220" s="162" t="s">
        <v>16</v>
      </c>
      <c r="K220" s="139"/>
      <c r="L220" s="139"/>
      <c r="M220" s="139"/>
      <c r="N220" s="139"/>
      <c r="O220" s="139"/>
      <c r="P220" s="139"/>
      <c r="Q220" s="139"/>
      <c r="R220" s="224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2">
        <v>1.0</v>
      </c>
      <c r="B221" s="183" t="s">
        <v>57</v>
      </c>
      <c r="C221" s="200"/>
      <c r="D221" s="200"/>
      <c r="E221" s="200"/>
      <c r="F221" s="200"/>
      <c r="G221" s="200"/>
      <c r="H221" s="227">
        <v>22.0</v>
      </c>
      <c r="I221" s="200">
        <v>1.0</v>
      </c>
      <c r="J221" s="195">
        <f t="shared" ref="J221:J249" si="194">+I221*H221</f>
        <v>22</v>
      </c>
      <c r="K221" s="178"/>
      <c r="L221" s="178"/>
      <c r="M221" s="178"/>
      <c r="N221" s="178"/>
      <c r="O221" s="178"/>
      <c r="P221" s="178"/>
      <c r="Q221" s="228"/>
      <c r="R221" s="224"/>
      <c r="S221" s="224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2">
        <v>2.0</v>
      </c>
      <c r="B222" s="193" t="s">
        <v>57</v>
      </c>
      <c r="C222" s="200"/>
      <c r="D222" s="200"/>
      <c r="E222" s="200"/>
      <c r="F222" s="200"/>
      <c r="G222" s="200"/>
      <c r="H222" s="227">
        <v>26.0</v>
      </c>
      <c r="I222" s="200">
        <v>1.0</v>
      </c>
      <c r="J222" s="195">
        <f t="shared" si="194"/>
        <v>26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2">
        <v>3.0</v>
      </c>
      <c r="B223" s="183" t="s">
        <v>55</v>
      </c>
      <c r="C223" s="200"/>
      <c r="D223" s="200"/>
      <c r="E223" s="200"/>
      <c r="F223" s="200"/>
      <c r="G223" s="200"/>
      <c r="H223" s="227">
        <v>38.0</v>
      </c>
      <c r="I223" s="200">
        <v>1.0</v>
      </c>
      <c r="J223" s="195">
        <f t="shared" si="194"/>
        <v>38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2">
        <v>4.0</v>
      </c>
      <c r="B224" s="193" t="s">
        <v>57</v>
      </c>
      <c r="C224" s="200"/>
      <c r="D224" s="200"/>
      <c r="E224" s="200"/>
      <c r="F224" s="200"/>
      <c r="G224" s="200"/>
      <c r="H224" s="227">
        <v>34.0</v>
      </c>
      <c r="I224" s="200">
        <v>1.0</v>
      </c>
      <c r="J224" s="195">
        <f t="shared" si="194"/>
        <v>34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2">
        <v>5.0</v>
      </c>
      <c r="B225" s="183" t="s">
        <v>55</v>
      </c>
      <c r="C225" s="200"/>
      <c r="D225" s="200"/>
      <c r="E225" s="200"/>
      <c r="F225" s="200"/>
      <c r="G225" s="200"/>
      <c r="H225" s="227">
        <v>29.0</v>
      </c>
      <c r="I225" s="200">
        <v>1.0</v>
      </c>
      <c r="J225" s="195">
        <f t="shared" si="194"/>
        <v>29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2">
        <v>6.0</v>
      </c>
      <c r="B226" s="193" t="s">
        <v>55</v>
      </c>
      <c r="C226" s="200"/>
      <c r="D226" s="200"/>
      <c r="E226" s="200"/>
      <c r="F226" s="200"/>
      <c r="G226" s="200"/>
      <c r="H226" s="227">
        <v>25.0</v>
      </c>
      <c r="I226" s="200">
        <v>1.0</v>
      </c>
      <c r="J226" s="195">
        <f t="shared" si="194"/>
        <v>25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2">
        <v>7.0</v>
      </c>
      <c r="B227" s="183" t="s">
        <v>90</v>
      </c>
      <c r="C227" s="200"/>
      <c r="D227" s="200"/>
      <c r="E227" s="200"/>
      <c r="F227" s="200"/>
      <c r="G227" s="200"/>
      <c r="H227" s="227">
        <v>43.0</v>
      </c>
      <c r="I227" s="200">
        <v>1.0</v>
      </c>
      <c r="J227" s="195">
        <f t="shared" si="194"/>
        <v>43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2">
        <v>8.0</v>
      </c>
      <c r="B228" s="193" t="s">
        <v>90</v>
      </c>
      <c r="C228" s="200"/>
      <c r="D228" s="200"/>
      <c r="E228" s="200"/>
      <c r="F228" s="200"/>
      <c r="G228" s="200"/>
      <c r="H228" s="227">
        <v>30.0</v>
      </c>
      <c r="I228" s="200">
        <v>1.0</v>
      </c>
      <c r="J228" s="195">
        <f t="shared" si="194"/>
        <v>30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2">
        <v>9.0</v>
      </c>
      <c r="B229" s="183" t="s">
        <v>59</v>
      </c>
      <c r="C229" s="200"/>
      <c r="D229" s="200"/>
      <c r="E229" s="200"/>
      <c r="F229" s="200"/>
      <c r="G229" s="200"/>
      <c r="H229" s="227">
        <v>23.0</v>
      </c>
      <c r="I229" s="200">
        <v>1.0</v>
      </c>
      <c r="J229" s="195">
        <f t="shared" si="194"/>
        <v>23</v>
      </c>
      <c r="K229" s="178"/>
      <c r="L229" s="178"/>
      <c r="M229" s="178"/>
      <c r="N229" s="178"/>
      <c r="O229" s="178"/>
      <c r="P229" s="178"/>
      <c r="Q229" s="228"/>
      <c r="R229" s="224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2">
        <v>10.0</v>
      </c>
      <c r="B230" s="193" t="s">
        <v>59</v>
      </c>
      <c r="C230" s="200"/>
      <c r="D230" s="200"/>
      <c r="E230" s="200"/>
      <c r="F230" s="200"/>
      <c r="G230" s="200"/>
      <c r="H230" s="227">
        <v>18.0</v>
      </c>
      <c r="I230" s="200">
        <v>1.0</v>
      </c>
      <c r="J230" s="195">
        <f t="shared" si="194"/>
        <v>18</v>
      </c>
      <c r="K230" s="178"/>
      <c r="L230" s="178"/>
      <c r="M230" s="178"/>
      <c r="N230" s="178"/>
      <c r="O230" s="178"/>
      <c r="P230" s="178"/>
      <c r="Q230" s="228"/>
      <c r="R230" s="224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2">
        <v>11.0</v>
      </c>
      <c r="B231" s="183" t="s">
        <v>91</v>
      </c>
      <c r="C231" s="200"/>
      <c r="D231" s="200"/>
      <c r="E231" s="200"/>
      <c r="F231" s="200"/>
      <c r="G231" s="200"/>
      <c r="H231" s="227">
        <v>30.0</v>
      </c>
      <c r="I231" s="200">
        <v>1.0</v>
      </c>
      <c r="J231" s="195">
        <f t="shared" si="194"/>
        <v>30</v>
      </c>
      <c r="K231" s="178"/>
      <c r="L231" s="178"/>
      <c r="M231" s="178"/>
      <c r="N231" s="178"/>
      <c r="O231" s="178"/>
      <c r="P231" s="178"/>
      <c r="Q231" s="228"/>
      <c r="R231" s="224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2">
        <v>12.0</v>
      </c>
      <c r="B232" s="193" t="s">
        <v>91</v>
      </c>
      <c r="C232" s="200"/>
      <c r="D232" s="200"/>
      <c r="E232" s="200"/>
      <c r="F232" s="200"/>
      <c r="G232" s="200"/>
      <c r="H232" s="227">
        <v>28.0</v>
      </c>
      <c r="I232" s="200">
        <v>1.0</v>
      </c>
      <c r="J232" s="195">
        <f t="shared" si="194"/>
        <v>28</v>
      </c>
      <c r="K232" s="178"/>
      <c r="L232" s="178"/>
      <c r="M232" s="178"/>
      <c r="N232" s="178"/>
      <c r="O232" s="178"/>
      <c r="P232" s="178"/>
      <c r="Q232" s="228"/>
      <c r="R232" s="224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2">
        <v>13.0</v>
      </c>
      <c r="B233" s="183" t="s">
        <v>92</v>
      </c>
      <c r="C233" s="200"/>
      <c r="D233" s="200"/>
      <c r="E233" s="200"/>
      <c r="F233" s="200"/>
      <c r="G233" s="200"/>
      <c r="H233" s="227">
        <v>36.0</v>
      </c>
      <c r="I233" s="200">
        <v>1.0</v>
      </c>
      <c r="J233" s="195">
        <f t="shared" si="194"/>
        <v>36</v>
      </c>
      <c r="K233" s="178"/>
      <c r="L233" s="178"/>
      <c r="M233" s="178"/>
      <c r="N233" s="178"/>
      <c r="O233" s="178"/>
      <c r="P233" s="178"/>
      <c r="Q233" s="228"/>
      <c r="R233" s="224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2">
        <v>14.0</v>
      </c>
      <c r="B234" s="193" t="s">
        <v>92</v>
      </c>
      <c r="C234" s="200"/>
      <c r="D234" s="200"/>
      <c r="E234" s="200"/>
      <c r="F234" s="200"/>
      <c r="G234" s="200"/>
      <c r="H234" s="227">
        <v>35.0</v>
      </c>
      <c r="I234" s="200">
        <v>1.0</v>
      </c>
      <c r="J234" s="195">
        <f t="shared" si="194"/>
        <v>35</v>
      </c>
      <c r="K234" s="178"/>
      <c r="L234" s="178"/>
      <c r="M234" s="178"/>
      <c r="N234" s="178"/>
      <c r="O234" s="178"/>
      <c r="P234" s="178"/>
      <c r="Q234" s="228"/>
      <c r="R234" s="224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2">
        <v>21.0</v>
      </c>
      <c r="B235" s="229"/>
      <c r="C235" s="200"/>
      <c r="D235" s="200"/>
      <c r="E235" s="200"/>
      <c r="F235" s="200"/>
      <c r="G235" s="200"/>
      <c r="H235" s="227"/>
      <c r="I235" s="200"/>
      <c r="J235" s="195">
        <f t="shared" si="194"/>
        <v>0</v>
      </c>
      <c r="K235" s="178"/>
      <c r="L235" s="178"/>
      <c r="M235" s="178"/>
      <c r="N235" s="178"/>
      <c r="O235" s="178"/>
      <c r="P235" s="178"/>
      <c r="Q235" s="228"/>
      <c r="R235" s="224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2">
        <v>22.0</v>
      </c>
      <c r="B236" s="229"/>
      <c r="C236" s="200"/>
      <c r="D236" s="200"/>
      <c r="E236" s="200"/>
      <c r="F236" s="200"/>
      <c r="G236" s="200"/>
      <c r="H236" s="227"/>
      <c r="I236" s="200"/>
      <c r="J236" s="195">
        <f t="shared" si="194"/>
        <v>0</v>
      </c>
      <c r="K236" s="178"/>
      <c r="L236" s="178"/>
      <c r="M236" s="178"/>
      <c r="N236" s="178"/>
      <c r="O236" s="178"/>
      <c r="P236" s="178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2">
        <v>23.0</v>
      </c>
      <c r="B237" s="229"/>
      <c r="C237" s="200"/>
      <c r="D237" s="200"/>
      <c r="E237" s="200"/>
      <c r="F237" s="200"/>
      <c r="G237" s="200"/>
      <c r="H237" s="227"/>
      <c r="I237" s="200"/>
      <c r="J237" s="195">
        <f t="shared" si="194"/>
        <v>0</v>
      </c>
      <c r="K237" s="178"/>
      <c r="L237" s="178"/>
      <c r="M237" s="178"/>
      <c r="N237" s="178"/>
      <c r="O237" s="178"/>
      <c r="P237" s="178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2">
        <v>24.0</v>
      </c>
      <c r="B238" s="229"/>
      <c r="C238" s="200"/>
      <c r="D238" s="200"/>
      <c r="E238" s="200"/>
      <c r="F238" s="200"/>
      <c r="G238" s="200"/>
      <c r="H238" s="227"/>
      <c r="I238" s="200"/>
      <c r="J238" s="195">
        <f t="shared" si="194"/>
        <v>0</v>
      </c>
      <c r="K238" s="178"/>
      <c r="L238" s="178"/>
      <c r="M238" s="178"/>
      <c r="N238" s="178"/>
      <c r="O238" s="178"/>
      <c r="P238" s="178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2">
        <v>25.0</v>
      </c>
      <c r="B239" s="229"/>
      <c r="C239" s="200"/>
      <c r="D239" s="200"/>
      <c r="E239" s="200"/>
      <c r="F239" s="200"/>
      <c r="G239" s="200"/>
      <c r="H239" s="227"/>
      <c r="I239" s="200"/>
      <c r="J239" s="195">
        <f t="shared" si="194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2">
        <v>26.0</v>
      </c>
      <c r="B240" s="229"/>
      <c r="C240" s="200"/>
      <c r="D240" s="200"/>
      <c r="E240" s="200"/>
      <c r="F240" s="200"/>
      <c r="G240" s="200"/>
      <c r="H240" s="227"/>
      <c r="I240" s="200"/>
      <c r="J240" s="195">
        <f t="shared" si="194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2">
        <v>27.0</v>
      </c>
      <c r="B241" s="229"/>
      <c r="C241" s="200"/>
      <c r="D241" s="200"/>
      <c r="E241" s="200"/>
      <c r="F241" s="200"/>
      <c r="G241" s="200"/>
      <c r="H241" s="200"/>
      <c r="I241" s="200"/>
      <c r="J241" s="195">
        <f t="shared" si="194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2">
        <v>28.0</v>
      </c>
      <c r="B242" s="229"/>
      <c r="C242" s="200"/>
      <c r="D242" s="200"/>
      <c r="E242" s="200"/>
      <c r="F242" s="200"/>
      <c r="G242" s="200"/>
      <c r="H242" s="200"/>
      <c r="I242" s="200"/>
      <c r="J242" s="195">
        <f t="shared" si="194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2">
        <v>29.0</v>
      </c>
      <c r="B243" s="230"/>
      <c r="C243" s="200"/>
      <c r="D243" s="200"/>
      <c r="E243" s="200"/>
      <c r="F243" s="200"/>
      <c r="G243" s="200"/>
      <c r="H243" s="200"/>
      <c r="I243" s="200"/>
      <c r="J243" s="195">
        <f t="shared" si="194"/>
        <v>0</v>
      </c>
      <c r="K243" s="178"/>
      <c r="L243" s="178"/>
      <c r="M243" s="178"/>
      <c r="N243" s="178"/>
      <c r="O243" s="178"/>
      <c r="P243" s="178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2">
        <v>30.0</v>
      </c>
      <c r="B244" s="230"/>
      <c r="C244" s="200"/>
      <c r="D244" s="200"/>
      <c r="E244" s="200"/>
      <c r="F244" s="200"/>
      <c r="G244" s="200"/>
      <c r="H244" s="227"/>
      <c r="I244" s="200"/>
      <c r="J244" s="195">
        <f t="shared" si="194"/>
        <v>0</v>
      </c>
      <c r="K244" s="178"/>
      <c r="L244" s="178"/>
      <c r="M244" s="178"/>
      <c r="N244" s="178"/>
      <c r="O244" s="178"/>
      <c r="P244" s="178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2">
        <v>31.0</v>
      </c>
      <c r="B245" s="218"/>
      <c r="C245" s="200"/>
      <c r="D245" s="200"/>
      <c r="E245" s="200"/>
      <c r="F245" s="200"/>
      <c r="G245" s="200"/>
      <c r="H245" s="227"/>
      <c r="I245" s="200"/>
      <c r="J245" s="195">
        <f t="shared" si="194"/>
        <v>0</v>
      </c>
      <c r="K245" s="178"/>
      <c r="L245" s="178"/>
      <c r="M245" s="178"/>
      <c r="N245" s="178"/>
      <c r="O245" s="178"/>
      <c r="P245" s="178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2">
        <v>32.0</v>
      </c>
      <c r="B246" s="218"/>
      <c r="C246" s="162"/>
      <c r="D246" s="162"/>
      <c r="E246" s="162"/>
      <c r="F246" s="162"/>
      <c r="G246" s="162"/>
      <c r="H246" s="162"/>
      <c r="I246" s="162"/>
      <c r="J246" s="195">
        <f t="shared" si="194"/>
        <v>0</v>
      </c>
      <c r="K246" s="178"/>
      <c r="L246" s="178"/>
      <c r="M246" s="178"/>
      <c r="N246" s="178"/>
      <c r="O246" s="178"/>
      <c r="P246" s="178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2">
        <v>33.0</v>
      </c>
      <c r="B247" s="230"/>
      <c r="C247" s="162"/>
      <c r="D247" s="162"/>
      <c r="E247" s="162"/>
      <c r="F247" s="162"/>
      <c r="G247" s="162"/>
      <c r="H247" s="162"/>
      <c r="I247" s="162"/>
      <c r="J247" s="195">
        <f t="shared" si="194"/>
        <v>0</v>
      </c>
      <c r="K247" s="178"/>
      <c r="L247" s="178"/>
      <c r="M247" s="178"/>
      <c r="N247" s="178"/>
      <c r="O247" s="178"/>
      <c r="P247" s="178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2">
        <v>34.0</v>
      </c>
      <c r="B248" s="231"/>
      <c r="C248" s="162"/>
      <c r="D248" s="162"/>
      <c r="E248" s="162"/>
      <c r="F248" s="162"/>
      <c r="G248" s="162"/>
      <c r="H248" s="162"/>
      <c r="I248" s="162"/>
      <c r="J248" s="195">
        <f t="shared" si="194"/>
        <v>0</v>
      </c>
      <c r="K248" s="178"/>
      <c r="L248" s="178"/>
      <c r="M248" s="178"/>
      <c r="N248" s="178"/>
      <c r="O248" s="178"/>
      <c r="P248" s="178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2">
        <v>35.0</v>
      </c>
      <c r="B249" s="232"/>
      <c r="C249" s="162"/>
      <c r="D249" s="162"/>
      <c r="E249" s="162"/>
      <c r="F249" s="162"/>
      <c r="G249" s="162"/>
      <c r="H249" s="162"/>
      <c r="I249" s="162"/>
      <c r="J249" s="195">
        <f t="shared" si="194"/>
        <v>0</v>
      </c>
      <c r="K249" s="178"/>
      <c r="L249" s="178"/>
      <c r="M249" s="178"/>
      <c r="N249" s="178"/>
      <c r="O249" s="178"/>
      <c r="P249" s="178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75" customHeight="1">
      <c r="A250" s="139"/>
      <c r="B250" s="139"/>
      <c r="C250" s="139"/>
      <c r="D250" s="139"/>
      <c r="E250" s="139"/>
      <c r="F250" s="139"/>
      <c r="G250" s="139"/>
      <c r="H250" s="140" t="s">
        <v>38</v>
      </c>
      <c r="I250" s="139"/>
      <c r="J250" s="233">
        <f>SUM(J221:J249)</f>
        <v>417</v>
      </c>
      <c r="K250" s="234"/>
      <c r="L250" s="234"/>
      <c r="M250" s="234"/>
      <c r="N250" s="234"/>
      <c r="O250" s="234"/>
      <c r="P250" s="234"/>
      <c r="Q250" s="234"/>
      <c r="R250" s="139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44"/>
      <c r="B251" s="144"/>
      <c r="C251" s="144"/>
      <c r="D251" s="144"/>
      <c r="E251" s="144"/>
      <c r="F251" s="144"/>
      <c r="G251" s="144"/>
      <c r="H251" s="145"/>
      <c r="I251" s="175"/>
      <c r="J251" s="206">
        <f>+J250*60%</f>
        <v>250.2</v>
      </c>
      <c r="K251" s="206"/>
      <c r="L251" s="206"/>
      <c r="M251" s="206"/>
      <c r="N251" s="206"/>
      <c r="O251" s="206"/>
      <c r="P251" s="206"/>
      <c r="Q251" s="206">
        <f>+J250*40%</f>
        <v>166.8</v>
      </c>
      <c r="R251" s="139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39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224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9.5" customHeight="1">
      <c r="A254" s="235" t="s">
        <v>41</v>
      </c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224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57.0" customHeight="1">
      <c r="A255" s="236"/>
      <c r="B255" s="237" t="s">
        <v>42</v>
      </c>
      <c r="C255" s="237" t="s">
        <v>43</v>
      </c>
      <c r="D255" s="237" t="s">
        <v>44</v>
      </c>
      <c r="E255" s="237" t="s">
        <v>45</v>
      </c>
      <c r="F255" s="237"/>
      <c r="G255" s="237"/>
      <c r="H255" s="238" t="s">
        <v>46</v>
      </c>
      <c r="I255" s="239" t="s">
        <v>47</v>
      </c>
      <c r="J255" s="139"/>
      <c r="K255" s="139"/>
      <c r="L255" s="139"/>
      <c r="M255" s="139"/>
      <c r="N255" s="139"/>
      <c r="O255" s="139"/>
      <c r="P255" s="139"/>
      <c r="Q255" s="139"/>
      <c r="R255" s="141"/>
      <c r="S255" s="22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240" t="s">
        <v>48</v>
      </c>
      <c r="B256" s="241">
        <f>+E24</f>
        <v>54027.6746</v>
      </c>
      <c r="C256" s="242">
        <f>+J199</f>
        <v>50468.73379</v>
      </c>
      <c r="D256" s="242">
        <f>+J214</f>
        <v>643.7208955</v>
      </c>
      <c r="E256" s="243">
        <f>J251</f>
        <v>250.2</v>
      </c>
      <c r="F256" s="243"/>
      <c r="G256" s="243"/>
      <c r="H256" s="244">
        <f>+I24</f>
        <v>1541.777769</v>
      </c>
      <c r="I256" s="245">
        <f>+B256-C256-D256-E256-H256</f>
        <v>1123.242142</v>
      </c>
      <c r="J256" s="139"/>
      <c r="K256" s="139"/>
      <c r="L256" s="139"/>
      <c r="M256" s="139"/>
      <c r="N256" s="139"/>
      <c r="O256" s="139"/>
      <c r="P256" s="139"/>
      <c r="Q256" s="139"/>
      <c r="R256" s="141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9.5" customHeight="1">
      <c r="A257" s="246" t="s">
        <v>49</v>
      </c>
      <c r="B257" s="247"/>
      <c r="C257" s="248">
        <f>+C256/B256</f>
        <v>0.934127448</v>
      </c>
      <c r="D257" s="248">
        <f>+D256/B256</f>
        <v>0.01191465115</v>
      </c>
      <c r="E257" s="248">
        <f>+E256/B256</f>
        <v>0.004630960001</v>
      </c>
      <c r="F257" s="248"/>
      <c r="G257" s="248"/>
      <c r="H257" s="249">
        <f>+H256/B256</f>
        <v>0.02853681526</v>
      </c>
      <c r="I257" s="250">
        <f>+I256/B256</f>
        <v>0.02079012562</v>
      </c>
      <c r="J257" s="139"/>
      <c r="K257" s="139"/>
      <c r="L257" s="139"/>
      <c r="M257" s="139"/>
      <c r="N257" s="139"/>
      <c r="O257" s="139"/>
      <c r="P257" s="139"/>
      <c r="Q257" s="139"/>
      <c r="R257" s="141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9.5" customHeight="1">
      <c r="A258" s="165"/>
      <c r="B258" s="221"/>
      <c r="C258" s="251"/>
      <c r="D258" s="251"/>
      <c r="E258" s="251"/>
      <c r="F258" s="251"/>
      <c r="G258" s="251"/>
      <c r="H258" s="252"/>
      <c r="I258" s="253"/>
      <c r="J258" s="139"/>
      <c r="K258" s="139"/>
      <c r="L258" s="139"/>
      <c r="M258" s="139"/>
      <c r="N258" s="139"/>
      <c r="O258" s="139"/>
      <c r="P258" s="139"/>
      <c r="Q258" s="139"/>
      <c r="R258" s="141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254"/>
      <c r="B259" s="255"/>
      <c r="C259" s="255"/>
      <c r="D259" s="255" t="s">
        <v>50</v>
      </c>
      <c r="E259" s="255" t="s">
        <v>48</v>
      </c>
      <c r="F259" s="255"/>
      <c r="G259" s="255"/>
      <c r="H259" s="256">
        <f>+D256+E256+H256+I256</f>
        <v>3558.940806</v>
      </c>
      <c r="I259" s="257"/>
      <c r="J259" s="139"/>
      <c r="K259" s="139"/>
      <c r="L259" s="139"/>
      <c r="M259" s="139"/>
      <c r="N259" s="139"/>
      <c r="O259" s="139"/>
      <c r="P259" s="139"/>
      <c r="Q259" s="139"/>
      <c r="R259" s="141"/>
      <c r="S259" s="140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258"/>
      <c r="B260" s="139"/>
      <c r="C260" s="139"/>
      <c r="D260" s="139"/>
      <c r="E260" s="139" t="s">
        <v>49</v>
      </c>
      <c r="F260" s="139"/>
      <c r="G260" s="139"/>
      <c r="H260" s="252">
        <f>+H259/B256</f>
        <v>0.06587255203</v>
      </c>
      <c r="I260" s="259"/>
      <c r="J260" s="139"/>
      <c r="K260" s="139"/>
      <c r="L260" s="139"/>
      <c r="M260" s="139"/>
      <c r="N260" s="139"/>
      <c r="O260" s="139"/>
      <c r="P260" s="139"/>
      <c r="Q260" s="139"/>
      <c r="R260" s="141"/>
      <c r="S260" s="140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258"/>
      <c r="B261" s="139"/>
      <c r="C261" s="139" t="s">
        <v>51</v>
      </c>
      <c r="D261" s="139"/>
      <c r="E261" s="139"/>
      <c r="F261" s="139"/>
      <c r="G261" s="139"/>
      <c r="H261" s="140"/>
      <c r="I261" s="259"/>
      <c r="J261" s="139"/>
      <c r="K261" s="139"/>
      <c r="L261" s="139"/>
      <c r="M261" s="139"/>
      <c r="N261" s="139"/>
      <c r="O261" s="139"/>
      <c r="P261" s="139"/>
      <c r="Q261" s="139"/>
      <c r="R261" s="141"/>
      <c r="S261" s="140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58"/>
      <c r="B262" s="139"/>
      <c r="C262" s="139"/>
      <c r="D262" s="139" t="s">
        <v>52</v>
      </c>
      <c r="E262" s="139"/>
      <c r="F262" s="139"/>
      <c r="G262" s="139"/>
      <c r="H262" s="140">
        <f>+H261*(H259-H256)</f>
        <v>0</v>
      </c>
      <c r="I262" s="259"/>
      <c r="J262" s="139"/>
      <c r="K262" s="139"/>
      <c r="L262" s="139"/>
      <c r="M262" s="139"/>
      <c r="N262" s="139"/>
      <c r="O262" s="139"/>
      <c r="P262" s="139"/>
      <c r="Q262" s="139"/>
      <c r="R262" s="141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260"/>
      <c r="B263" s="261"/>
      <c r="C263" s="261"/>
      <c r="D263" s="261"/>
      <c r="E263" s="261"/>
      <c r="F263" s="261"/>
      <c r="G263" s="261"/>
      <c r="H263" s="262"/>
      <c r="I263" s="263"/>
      <c r="J263" s="139"/>
      <c r="K263" s="139"/>
      <c r="L263" s="139"/>
      <c r="M263" s="139"/>
      <c r="N263" s="139"/>
      <c r="O263" s="139"/>
      <c r="P263" s="139"/>
      <c r="Q263" s="139"/>
      <c r="R263" s="141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8.75" customHeight="1">
      <c r="A264" s="139"/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41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141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4:D24"/>
    <mergeCell ref="E25:H25"/>
    <mergeCell ref="C30:E30"/>
    <mergeCell ref="C205:E205"/>
    <mergeCell ref="C220:E22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8" width="20.29"/>
    <col customWidth="1" min="29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44534.0</v>
      </c>
      <c r="J4" s="139" t="str">
        <f>+B8&amp;"/"&amp;B9&amp;"/"&amp;B10&amp;"/"&amp;B11&amp;"/"&amp;B12&amp;"/"&amp;B13&amp;"/"&amp;B14&amp;"/"&amp;B15&amp;"/"&amp;B16</f>
        <v>D2250CCY/D1870CC/HRD2940//////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99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+I222</f>
        <v>0.09367498614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100</v>
      </c>
      <c r="C8" s="155">
        <v>22.5</v>
      </c>
      <c r="D8" s="156">
        <v>0.0845</v>
      </c>
      <c r="E8" s="157">
        <f>225.096*23.2</f>
        <v>5222.2272</v>
      </c>
      <c r="F8" s="157"/>
      <c r="G8" s="157"/>
      <c r="H8" s="158">
        <v>23.2</v>
      </c>
      <c r="I8" s="159">
        <f t="shared" ref="I8:I17" si="1">+D8*E8</f>
        <v>441.2781984</v>
      </c>
      <c r="J8" s="160">
        <f t="shared" ref="J8:J17" si="2">E8-I8</f>
        <v>4780.949002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81</v>
      </c>
      <c r="C9" s="155">
        <v>18.5</v>
      </c>
      <c r="D9" s="156">
        <v>0.0999</v>
      </c>
      <c r="E9" s="157">
        <f>202.93*46</f>
        <v>9334.78</v>
      </c>
      <c r="F9" s="157"/>
      <c r="G9" s="157"/>
      <c r="H9" s="158">
        <v>49.0</v>
      </c>
      <c r="I9" s="159">
        <f t="shared" si="1"/>
        <v>932.544522</v>
      </c>
      <c r="J9" s="160">
        <f t="shared" si="2"/>
        <v>8402.235478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252.8*44.8</f>
        <v>11325.44</v>
      </c>
      <c r="F10" s="157"/>
      <c r="G10" s="157"/>
      <c r="H10" s="158">
        <v>44.8</v>
      </c>
      <c r="I10" s="159">
        <f t="shared" si="1"/>
        <v>165.351424</v>
      </c>
      <c r="J10" s="160">
        <f t="shared" si="2"/>
        <v>11160.08858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11.0</v>
      </c>
      <c r="B11" s="162"/>
      <c r="C11" s="162"/>
      <c r="D11" s="163"/>
      <c r="E11" s="164"/>
      <c r="F11" s="164"/>
      <c r="G11" s="164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12.0</v>
      </c>
      <c r="B12" s="162"/>
      <c r="C12" s="162"/>
      <c r="D12" s="163"/>
      <c r="E12" s="164"/>
      <c r="F12" s="164"/>
      <c r="G12" s="164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13.0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14.0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15.0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16.0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17.0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65"/>
      <c r="B18" s="166"/>
      <c r="C18" s="167"/>
      <c r="D18" s="168"/>
      <c r="E18" s="169">
        <f>SUM(E8:E17)</f>
        <v>25882.4472</v>
      </c>
      <c r="F18" s="170"/>
      <c r="G18" s="170"/>
      <c r="H18" s="171"/>
      <c r="I18" s="172">
        <f t="shared" ref="I18:J18" si="3">SUM(I8:I17)</f>
        <v>1539.174144</v>
      </c>
      <c r="J18" s="173">
        <f t="shared" si="3"/>
        <v>24343.27306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74"/>
      <c r="B19" s="144"/>
      <c r="C19" s="144"/>
      <c r="D19" s="175"/>
      <c r="E19" s="176"/>
      <c r="F19" s="151"/>
      <c r="G19" s="151"/>
      <c r="H19" s="147"/>
      <c r="I19" s="177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8"/>
      <c r="B24" s="162" t="s">
        <v>12</v>
      </c>
      <c r="C24" s="179" t="s">
        <v>60</v>
      </c>
      <c r="D24" s="52"/>
      <c r="E24" s="53"/>
      <c r="F24" s="180"/>
      <c r="G24" s="180"/>
      <c r="H24" s="181" t="s">
        <v>14</v>
      </c>
      <c r="I24" s="162" t="s">
        <v>15</v>
      </c>
      <c r="J24" s="162" t="s">
        <v>16</v>
      </c>
      <c r="K24" s="139"/>
      <c r="L24" s="162" t="s">
        <v>17</v>
      </c>
      <c r="M24" s="162" t="s">
        <v>15</v>
      </c>
      <c r="N24" s="178" t="s">
        <v>18</v>
      </c>
      <c r="O24" s="139"/>
      <c r="P24" s="139"/>
      <c r="Q24" s="178" t="s">
        <v>61</v>
      </c>
      <c r="R24" s="182"/>
      <c r="S24" s="162" t="s">
        <v>17</v>
      </c>
      <c r="T24" s="162" t="s">
        <v>15</v>
      </c>
      <c r="U24" s="178" t="s">
        <v>18</v>
      </c>
      <c r="V24" s="139"/>
      <c r="W24" s="178" t="s">
        <v>19</v>
      </c>
      <c r="X24" s="178" t="s">
        <v>20</v>
      </c>
      <c r="Y24" s="178" t="s">
        <v>21</v>
      </c>
      <c r="Z24" s="178" t="s">
        <v>101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2">
        <v>1.0</v>
      </c>
      <c r="B25" s="183" t="s">
        <v>102</v>
      </c>
      <c r="C25" s="184">
        <v>88.0</v>
      </c>
      <c r="D25" s="184">
        <v>223.0</v>
      </c>
      <c r="E25" s="184">
        <v>185.0</v>
      </c>
      <c r="F25" s="184">
        <f t="shared" ref="F25:F166" si="5">VALUE(IF(RIGHT(B25, 1)="%", RIGHT(B25, 3), 0))</f>
        <v>0.8</v>
      </c>
      <c r="G25" s="184">
        <f t="shared" ref="G25:G166" si="6">+R25*C25/100*D25/100*E25/100</f>
        <v>81.6849</v>
      </c>
      <c r="H25" s="185">
        <f t="shared" ref="H25:H166" si="7">IF(F25=0, G25, F25*G25)</f>
        <v>65.34792</v>
      </c>
      <c r="I25" s="184">
        <v>1.0</v>
      </c>
      <c r="J25" s="186">
        <f t="shared" ref="J25:J166" si="8">+I25*H25</f>
        <v>65.34792</v>
      </c>
      <c r="K25" s="187"/>
      <c r="L25" s="188">
        <f>D25*25.4/1000</f>
        <v>5.6642</v>
      </c>
      <c r="M25" s="189">
        <f>+I25</f>
        <v>1</v>
      </c>
      <c r="N25" s="189">
        <f>M25*L25</f>
        <v>5.6642</v>
      </c>
      <c r="O25" s="187"/>
      <c r="P25" s="187"/>
      <c r="Q25" s="188">
        <v>91.0</v>
      </c>
      <c r="R25" s="190">
        <v>22.5</v>
      </c>
      <c r="S25" s="178">
        <f t="shared" ref="S25:S167" si="9">E25/100</f>
        <v>1.85</v>
      </c>
      <c r="T25" s="162">
        <f t="shared" ref="T25:T167" si="10">I25</f>
        <v>1</v>
      </c>
      <c r="U25" s="162">
        <f t="shared" ref="U25:U167" si="11">T25*S25</f>
        <v>1.85</v>
      </c>
      <c r="V25" s="191">
        <f t="shared" ref="V25:V49" si="12">R25*C25/100*D25/100*E25/100</f>
        <v>81.6849</v>
      </c>
      <c r="W25" s="178">
        <f t="shared" ref="W25:X25" si="4">C25/100</f>
        <v>0.88</v>
      </c>
      <c r="X25" s="178">
        <f t="shared" si="4"/>
        <v>2.23</v>
      </c>
      <c r="Y25" s="178">
        <f t="shared" ref="Y25:Y167" si="14">U25</f>
        <v>1.85</v>
      </c>
      <c r="Z25" s="192">
        <f t="shared" ref="Z25:Z167" si="15">W25*X25*Y25</f>
        <v>3.63044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2">
        <v>2.0</v>
      </c>
      <c r="B26" s="193" t="s">
        <v>100</v>
      </c>
      <c r="C26" s="193">
        <v>93.0</v>
      </c>
      <c r="D26" s="193">
        <v>223.0</v>
      </c>
      <c r="E26" s="193">
        <v>203.0</v>
      </c>
      <c r="F26" s="193">
        <f t="shared" si="5"/>
        <v>0</v>
      </c>
      <c r="G26" s="193">
        <f t="shared" si="6"/>
        <v>94.7253825</v>
      </c>
      <c r="H26" s="194">
        <f t="shared" si="7"/>
        <v>94.7253825</v>
      </c>
      <c r="I26" s="193">
        <v>1.0</v>
      </c>
      <c r="J26" s="195">
        <f t="shared" si="8"/>
        <v>94.7253825</v>
      </c>
      <c r="K26" s="139"/>
      <c r="L26" s="178"/>
      <c r="M26" s="162"/>
      <c r="N26" s="162"/>
      <c r="O26" s="139"/>
      <c r="P26" s="139"/>
      <c r="Q26" s="178">
        <v>96.0</v>
      </c>
      <c r="R26" s="190">
        <v>22.5</v>
      </c>
      <c r="S26" s="178">
        <f t="shared" si="9"/>
        <v>2.03</v>
      </c>
      <c r="T26" s="162">
        <f t="shared" si="10"/>
        <v>1</v>
      </c>
      <c r="U26" s="162">
        <f t="shared" si="11"/>
        <v>2.03</v>
      </c>
      <c r="V26" s="191">
        <f t="shared" si="12"/>
        <v>94.7253825</v>
      </c>
      <c r="W26" s="178">
        <f t="shared" ref="W26:X26" si="13">C26/100</f>
        <v>0.93</v>
      </c>
      <c r="X26" s="178">
        <f t="shared" si="13"/>
        <v>2.23</v>
      </c>
      <c r="Y26" s="178">
        <f t="shared" si="14"/>
        <v>2.03</v>
      </c>
      <c r="Z26" s="192">
        <f t="shared" si="15"/>
        <v>4.210017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3.0</v>
      </c>
      <c r="B27" s="193" t="s">
        <v>100</v>
      </c>
      <c r="C27" s="193">
        <v>94.0</v>
      </c>
      <c r="D27" s="193">
        <v>223.0</v>
      </c>
      <c r="E27" s="193">
        <v>200.0</v>
      </c>
      <c r="F27" s="193">
        <f t="shared" si="5"/>
        <v>0</v>
      </c>
      <c r="G27" s="193">
        <f t="shared" si="6"/>
        <v>94.329</v>
      </c>
      <c r="H27" s="194">
        <f t="shared" si="7"/>
        <v>94.329</v>
      </c>
      <c r="I27" s="193">
        <v>1.0</v>
      </c>
      <c r="J27" s="195">
        <f t="shared" si="8"/>
        <v>94.329</v>
      </c>
      <c r="K27" s="139"/>
      <c r="L27" s="178">
        <f t="shared" ref="L27:L49" si="17">D27*25.4/1000</f>
        <v>5.6642</v>
      </c>
      <c r="M27" s="162">
        <f t="shared" ref="M27:M49" si="18">+I27</f>
        <v>1</v>
      </c>
      <c r="N27" s="162">
        <f t="shared" ref="N27:N49" si="19">M27*L27</f>
        <v>5.6642</v>
      </c>
      <c r="O27" s="139"/>
      <c r="P27" s="139"/>
      <c r="Q27" s="178">
        <v>94.0</v>
      </c>
      <c r="R27" s="190">
        <v>22.5</v>
      </c>
      <c r="S27" s="178">
        <f t="shared" si="9"/>
        <v>2</v>
      </c>
      <c r="T27" s="162">
        <f t="shared" si="10"/>
        <v>1</v>
      </c>
      <c r="U27" s="162">
        <f t="shared" si="11"/>
        <v>2</v>
      </c>
      <c r="V27" s="191">
        <f t="shared" si="12"/>
        <v>94.329</v>
      </c>
      <c r="W27" s="178">
        <f t="shared" ref="W27:X27" si="16">C27/100</f>
        <v>0.94</v>
      </c>
      <c r="X27" s="178">
        <f t="shared" si="16"/>
        <v>2.23</v>
      </c>
      <c r="Y27" s="178">
        <f t="shared" si="14"/>
        <v>2</v>
      </c>
      <c r="Z27" s="192">
        <f t="shared" si="15"/>
        <v>4.1924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4.0</v>
      </c>
      <c r="B28" s="193" t="s">
        <v>100</v>
      </c>
      <c r="C28" s="193">
        <v>95.0</v>
      </c>
      <c r="D28" s="193">
        <v>223.0</v>
      </c>
      <c r="E28" s="193">
        <v>197.0</v>
      </c>
      <c r="F28" s="193">
        <f t="shared" si="5"/>
        <v>0</v>
      </c>
      <c r="G28" s="193">
        <f t="shared" si="6"/>
        <v>93.9025125</v>
      </c>
      <c r="H28" s="194">
        <f t="shared" si="7"/>
        <v>93.9025125</v>
      </c>
      <c r="I28" s="193">
        <v>1.0</v>
      </c>
      <c r="J28" s="195">
        <f t="shared" si="8"/>
        <v>93.9025125</v>
      </c>
      <c r="K28" s="139"/>
      <c r="L28" s="178">
        <f t="shared" si="17"/>
        <v>5.6642</v>
      </c>
      <c r="M28" s="162">
        <f t="shared" si="18"/>
        <v>1</v>
      </c>
      <c r="N28" s="162">
        <f t="shared" si="19"/>
        <v>5.6642</v>
      </c>
      <c r="O28" s="139"/>
      <c r="P28" s="139"/>
      <c r="Q28" s="178">
        <v>95.0</v>
      </c>
      <c r="R28" s="190">
        <v>22.5</v>
      </c>
      <c r="S28" s="178">
        <f t="shared" si="9"/>
        <v>1.97</v>
      </c>
      <c r="T28" s="162">
        <f t="shared" si="10"/>
        <v>1</v>
      </c>
      <c r="U28" s="162">
        <f t="shared" si="11"/>
        <v>1.97</v>
      </c>
      <c r="V28" s="191">
        <f t="shared" si="12"/>
        <v>93.9025125</v>
      </c>
      <c r="W28" s="178">
        <f t="shared" ref="W28:X28" si="20">C28/100</f>
        <v>0.95</v>
      </c>
      <c r="X28" s="178">
        <f t="shared" si="20"/>
        <v>2.23</v>
      </c>
      <c r="Y28" s="178">
        <f t="shared" si="14"/>
        <v>1.97</v>
      </c>
      <c r="Z28" s="192">
        <f t="shared" si="15"/>
        <v>4.173445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5.0</v>
      </c>
      <c r="B29" s="193" t="s">
        <v>100</v>
      </c>
      <c r="C29" s="193">
        <v>88.0</v>
      </c>
      <c r="D29" s="193">
        <v>223.0</v>
      </c>
      <c r="E29" s="193">
        <v>91.0</v>
      </c>
      <c r="F29" s="193">
        <f t="shared" si="5"/>
        <v>0</v>
      </c>
      <c r="G29" s="193">
        <f t="shared" si="6"/>
        <v>40.18014</v>
      </c>
      <c r="H29" s="194">
        <f t="shared" si="7"/>
        <v>40.18014</v>
      </c>
      <c r="I29" s="193">
        <v>1.0</v>
      </c>
      <c r="J29" s="195">
        <f t="shared" si="8"/>
        <v>40.18014</v>
      </c>
      <c r="K29" s="139"/>
      <c r="L29" s="178">
        <f t="shared" si="17"/>
        <v>5.6642</v>
      </c>
      <c r="M29" s="162">
        <f t="shared" si="18"/>
        <v>1</v>
      </c>
      <c r="N29" s="162">
        <f t="shared" si="19"/>
        <v>5.6642</v>
      </c>
      <c r="O29" s="139"/>
      <c r="P29" s="139"/>
      <c r="Q29" s="178">
        <v>43.0</v>
      </c>
      <c r="R29" s="190">
        <v>22.5</v>
      </c>
      <c r="S29" s="178">
        <f t="shared" si="9"/>
        <v>0.91</v>
      </c>
      <c r="T29" s="162">
        <f t="shared" si="10"/>
        <v>1</v>
      </c>
      <c r="U29" s="162">
        <f t="shared" si="11"/>
        <v>0.91</v>
      </c>
      <c r="V29" s="191">
        <f t="shared" si="12"/>
        <v>40.18014</v>
      </c>
      <c r="W29" s="178">
        <f t="shared" ref="W29:X29" si="21">C29/100</f>
        <v>0.88</v>
      </c>
      <c r="X29" s="178">
        <f t="shared" si="21"/>
        <v>2.23</v>
      </c>
      <c r="Y29" s="178">
        <f t="shared" si="14"/>
        <v>0.91</v>
      </c>
      <c r="Z29" s="192">
        <f t="shared" si="15"/>
        <v>1.785784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6.0</v>
      </c>
      <c r="B30" s="193" t="s">
        <v>100</v>
      </c>
      <c r="C30" s="193">
        <v>94.0</v>
      </c>
      <c r="D30" s="193">
        <v>223.0</v>
      </c>
      <c r="E30" s="193">
        <v>201.0</v>
      </c>
      <c r="F30" s="193">
        <f t="shared" si="5"/>
        <v>0</v>
      </c>
      <c r="G30" s="193">
        <f t="shared" si="6"/>
        <v>94.800645</v>
      </c>
      <c r="H30" s="194">
        <f t="shared" si="7"/>
        <v>94.800645</v>
      </c>
      <c r="I30" s="193">
        <v>1.0</v>
      </c>
      <c r="J30" s="195">
        <f t="shared" si="8"/>
        <v>94.800645</v>
      </c>
      <c r="K30" s="139"/>
      <c r="L30" s="178">
        <f t="shared" si="17"/>
        <v>5.6642</v>
      </c>
      <c r="M30" s="162">
        <f t="shared" si="18"/>
        <v>1</v>
      </c>
      <c r="N30" s="162">
        <f t="shared" si="19"/>
        <v>5.6642</v>
      </c>
      <c r="O30" s="139"/>
      <c r="P30" s="139"/>
      <c r="Q30" s="178">
        <v>96.0</v>
      </c>
      <c r="R30" s="190">
        <v>22.5</v>
      </c>
      <c r="S30" s="178">
        <f t="shared" si="9"/>
        <v>2.01</v>
      </c>
      <c r="T30" s="162">
        <f t="shared" si="10"/>
        <v>1</v>
      </c>
      <c r="U30" s="162">
        <f t="shared" si="11"/>
        <v>2.01</v>
      </c>
      <c r="V30" s="191">
        <f t="shared" si="12"/>
        <v>94.800645</v>
      </c>
      <c r="W30" s="178">
        <f t="shared" ref="W30:X30" si="22">C30/100</f>
        <v>0.94</v>
      </c>
      <c r="X30" s="178">
        <f t="shared" si="22"/>
        <v>2.23</v>
      </c>
      <c r="Y30" s="178">
        <f t="shared" si="14"/>
        <v>2.01</v>
      </c>
      <c r="Z30" s="192">
        <f t="shared" si="15"/>
        <v>4.213362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7.0</v>
      </c>
      <c r="B31" s="193" t="s">
        <v>100</v>
      </c>
      <c r="C31" s="193">
        <v>98.0</v>
      </c>
      <c r="D31" s="193">
        <v>223.0</v>
      </c>
      <c r="E31" s="193">
        <v>2878.0</v>
      </c>
      <c r="F31" s="193">
        <f t="shared" si="5"/>
        <v>0</v>
      </c>
      <c r="G31" s="193">
        <f t="shared" si="6"/>
        <v>1415.15577</v>
      </c>
      <c r="H31" s="194">
        <f t="shared" si="7"/>
        <v>1415.15577</v>
      </c>
      <c r="I31" s="193">
        <v>1.0</v>
      </c>
      <c r="J31" s="195">
        <f t="shared" si="8"/>
        <v>1415.15577</v>
      </c>
      <c r="K31" s="139"/>
      <c r="L31" s="178">
        <f t="shared" si="17"/>
        <v>5.6642</v>
      </c>
      <c r="M31" s="162">
        <f t="shared" si="18"/>
        <v>1</v>
      </c>
      <c r="N31" s="162">
        <f t="shared" si="19"/>
        <v>5.6642</v>
      </c>
      <c r="O31" s="139"/>
      <c r="P31" s="139"/>
      <c r="Q31" s="178">
        <v>1375.0</v>
      </c>
      <c r="R31" s="190">
        <v>22.5</v>
      </c>
      <c r="S31" s="178">
        <f t="shared" si="9"/>
        <v>28.78</v>
      </c>
      <c r="T31" s="162">
        <f t="shared" si="10"/>
        <v>1</v>
      </c>
      <c r="U31" s="162">
        <f t="shared" si="11"/>
        <v>28.78</v>
      </c>
      <c r="V31" s="191">
        <f t="shared" si="12"/>
        <v>1415.15577</v>
      </c>
      <c r="W31" s="178">
        <f t="shared" ref="W31:X31" si="23">C31/100</f>
        <v>0.98</v>
      </c>
      <c r="X31" s="178">
        <f t="shared" si="23"/>
        <v>2.23</v>
      </c>
      <c r="Y31" s="178">
        <f t="shared" si="14"/>
        <v>28.78</v>
      </c>
      <c r="Z31" s="192">
        <f t="shared" si="15"/>
        <v>62.895812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8.0</v>
      </c>
      <c r="B32" s="193" t="s">
        <v>100</v>
      </c>
      <c r="C32" s="193">
        <v>95.0</v>
      </c>
      <c r="D32" s="193">
        <v>223.0</v>
      </c>
      <c r="E32" s="193">
        <v>2866.0</v>
      </c>
      <c r="F32" s="193">
        <f t="shared" si="5"/>
        <v>0</v>
      </c>
      <c r="G32" s="193">
        <f t="shared" si="6"/>
        <v>1366.114725</v>
      </c>
      <c r="H32" s="194">
        <f t="shared" si="7"/>
        <v>1366.114725</v>
      </c>
      <c r="I32" s="193">
        <v>1.0</v>
      </c>
      <c r="J32" s="195">
        <f t="shared" si="8"/>
        <v>1366.114725</v>
      </c>
      <c r="K32" s="139"/>
      <c r="L32" s="178">
        <f t="shared" si="17"/>
        <v>5.6642</v>
      </c>
      <c r="M32" s="162">
        <f t="shared" si="18"/>
        <v>1</v>
      </c>
      <c r="N32" s="162">
        <f t="shared" si="19"/>
        <v>5.6642</v>
      </c>
      <c r="O32" s="139"/>
      <c r="P32" s="139"/>
      <c r="Q32" s="178">
        <v>1370.0</v>
      </c>
      <c r="R32" s="190">
        <v>22.5</v>
      </c>
      <c r="S32" s="178">
        <f t="shared" si="9"/>
        <v>28.66</v>
      </c>
      <c r="T32" s="162">
        <f t="shared" si="10"/>
        <v>1</v>
      </c>
      <c r="U32" s="162">
        <f t="shared" si="11"/>
        <v>28.66</v>
      </c>
      <c r="V32" s="191">
        <f t="shared" si="12"/>
        <v>1366.114725</v>
      </c>
      <c r="W32" s="178">
        <f t="shared" ref="W32:X32" si="24">C32/100</f>
        <v>0.95</v>
      </c>
      <c r="X32" s="178">
        <f t="shared" si="24"/>
        <v>2.23</v>
      </c>
      <c r="Y32" s="178">
        <f t="shared" si="14"/>
        <v>28.66</v>
      </c>
      <c r="Z32" s="192">
        <f t="shared" si="15"/>
        <v>60.71621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9.0</v>
      </c>
      <c r="B33" s="183" t="s">
        <v>103</v>
      </c>
      <c r="C33" s="184">
        <v>95.0</v>
      </c>
      <c r="D33" s="184">
        <v>199.0</v>
      </c>
      <c r="E33" s="184">
        <v>189.0</v>
      </c>
      <c r="F33" s="184">
        <f t="shared" si="5"/>
        <v>0.8</v>
      </c>
      <c r="G33" s="184">
        <f t="shared" si="6"/>
        <v>64.31481</v>
      </c>
      <c r="H33" s="185">
        <f t="shared" si="7"/>
        <v>51.451848</v>
      </c>
      <c r="I33" s="184">
        <v>1.0</v>
      </c>
      <c r="J33" s="186">
        <f t="shared" si="8"/>
        <v>51.451848</v>
      </c>
      <c r="K33" s="187"/>
      <c r="L33" s="188">
        <f t="shared" si="17"/>
        <v>5.0546</v>
      </c>
      <c r="M33" s="189">
        <f t="shared" si="18"/>
        <v>1</v>
      </c>
      <c r="N33" s="189">
        <f t="shared" si="19"/>
        <v>5.0546</v>
      </c>
      <c r="O33" s="187"/>
      <c r="P33" s="187"/>
      <c r="Q33" s="188">
        <v>74.0</v>
      </c>
      <c r="R33" s="190">
        <v>18.0</v>
      </c>
      <c r="S33" s="178">
        <f t="shared" si="9"/>
        <v>1.89</v>
      </c>
      <c r="T33" s="162">
        <f t="shared" si="10"/>
        <v>1</v>
      </c>
      <c r="U33" s="162">
        <f t="shared" si="11"/>
        <v>1.89</v>
      </c>
      <c r="V33" s="191">
        <f t="shared" si="12"/>
        <v>64.31481</v>
      </c>
      <c r="W33" s="178">
        <f t="shared" ref="W33:X33" si="25">C33/100</f>
        <v>0.95</v>
      </c>
      <c r="X33" s="178">
        <f t="shared" si="25"/>
        <v>1.99</v>
      </c>
      <c r="Y33" s="178">
        <f t="shared" si="14"/>
        <v>1.89</v>
      </c>
      <c r="Z33" s="192">
        <f t="shared" si="15"/>
        <v>3.573045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10.0</v>
      </c>
      <c r="B34" s="193" t="s">
        <v>81</v>
      </c>
      <c r="C34" s="193">
        <v>99.0</v>
      </c>
      <c r="D34" s="193">
        <v>199.0</v>
      </c>
      <c r="E34" s="193">
        <v>210.0</v>
      </c>
      <c r="F34" s="193">
        <f t="shared" si="5"/>
        <v>0</v>
      </c>
      <c r="G34" s="193">
        <f t="shared" si="6"/>
        <v>74.46978</v>
      </c>
      <c r="H34" s="194">
        <f t="shared" si="7"/>
        <v>74.46978</v>
      </c>
      <c r="I34" s="193">
        <v>1.0</v>
      </c>
      <c r="J34" s="195">
        <f t="shared" si="8"/>
        <v>74.46978</v>
      </c>
      <c r="K34" s="139"/>
      <c r="L34" s="178">
        <f t="shared" si="17"/>
        <v>5.0546</v>
      </c>
      <c r="M34" s="162">
        <f t="shared" si="18"/>
        <v>1</v>
      </c>
      <c r="N34" s="162">
        <f t="shared" si="19"/>
        <v>5.0546</v>
      </c>
      <c r="O34" s="139"/>
      <c r="P34" s="139"/>
      <c r="Q34" s="178">
        <v>76.0</v>
      </c>
      <c r="R34" s="190">
        <v>18.0</v>
      </c>
      <c r="S34" s="178">
        <f t="shared" si="9"/>
        <v>2.1</v>
      </c>
      <c r="T34" s="162">
        <f t="shared" si="10"/>
        <v>1</v>
      </c>
      <c r="U34" s="162">
        <f t="shared" si="11"/>
        <v>2.1</v>
      </c>
      <c r="V34" s="191">
        <f t="shared" si="12"/>
        <v>74.46978</v>
      </c>
      <c r="W34" s="178">
        <f t="shared" ref="W34:X34" si="26">C34/100</f>
        <v>0.99</v>
      </c>
      <c r="X34" s="178">
        <f t="shared" si="26"/>
        <v>1.99</v>
      </c>
      <c r="Y34" s="178">
        <f t="shared" si="14"/>
        <v>2.1</v>
      </c>
      <c r="Z34" s="192">
        <f t="shared" si="15"/>
        <v>4.13721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11.0</v>
      </c>
      <c r="B35" s="193" t="s">
        <v>81</v>
      </c>
      <c r="C35" s="193">
        <v>101.0</v>
      </c>
      <c r="D35" s="193">
        <v>199.0</v>
      </c>
      <c r="E35" s="193">
        <v>2875.0</v>
      </c>
      <c r="F35" s="193">
        <f t="shared" si="5"/>
        <v>0</v>
      </c>
      <c r="G35" s="193">
        <f t="shared" si="6"/>
        <v>1040.12325</v>
      </c>
      <c r="H35" s="194">
        <f t="shared" si="7"/>
        <v>1040.12325</v>
      </c>
      <c r="I35" s="193">
        <v>1.0</v>
      </c>
      <c r="J35" s="195">
        <f t="shared" si="8"/>
        <v>1040.12325</v>
      </c>
      <c r="K35" s="139"/>
      <c r="L35" s="178">
        <f t="shared" si="17"/>
        <v>5.0546</v>
      </c>
      <c r="M35" s="162">
        <f t="shared" si="18"/>
        <v>1</v>
      </c>
      <c r="N35" s="162">
        <f t="shared" si="19"/>
        <v>5.0546</v>
      </c>
      <c r="O35" s="139"/>
      <c r="P35" s="139"/>
      <c r="Q35" s="178">
        <v>1080.0</v>
      </c>
      <c r="R35" s="190">
        <v>18.0</v>
      </c>
      <c r="S35" s="178">
        <f t="shared" si="9"/>
        <v>28.75</v>
      </c>
      <c r="T35" s="162">
        <f t="shared" si="10"/>
        <v>1</v>
      </c>
      <c r="U35" s="162">
        <f t="shared" si="11"/>
        <v>28.75</v>
      </c>
      <c r="V35" s="191">
        <f t="shared" si="12"/>
        <v>1040.12325</v>
      </c>
      <c r="W35" s="178">
        <f t="shared" ref="W35:X35" si="27">C35/100</f>
        <v>1.01</v>
      </c>
      <c r="X35" s="178">
        <f t="shared" si="27"/>
        <v>1.99</v>
      </c>
      <c r="Y35" s="178">
        <f t="shared" si="14"/>
        <v>28.75</v>
      </c>
      <c r="Z35" s="192">
        <f t="shared" si="15"/>
        <v>57.784625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12.0</v>
      </c>
      <c r="B36" s="193" t="s">
        <v>81</v>
      </c>
      <c r="C36" s="193">
        <v>106.0</v>
      </c>
      <c r="D36" s="193">
        <v>199.0</v>
      </c>
      <c r="E36" s="193">
        <v>2866.0</v>
      </c>
      <c r="F36" s="193">
        <f t="shared" si="5"/>
        <v>0</v>
      </c>
      <c r="G36" s="193">
        <f t="shared" si="6"/>
        <v>1088.197272</v>
      </c>
      <c r="H36" s="194">
        <f t="shared" si="7"/>
        <v>1088.197272</v>
      </c>
      <c r="I36" s="193">
        <v>1.0</v>
      </c>
      <c r="J36" s="195">
        <f t="shared" si="8"/>
        <v>1088.197272</v>
      </c>
      <c r="K36" s="139"/>
      <c r="L36" s="178">
        <f t="shared" si="17"/>
        <v>5.0546</v>
      </c>
      <c r="M36" s="162">
        <f t="shared" si="18"/>
        <v>1</v>
      </c>
      <c r="N36" s="162">
        <f t="shared" si="19"/>
        <v>5.0546</v>
      </c>
      <c r="O36" s="139"/>
      <c r="P36" s="139"/>
      <c r="Q36" s="178">
        <v>1110.0</v>
      </c>
      <c r="R36" s="190">
        <v>18.0</v>
      </c>
      <c r="S36" s="178">
        <f t="shared" si="9"/>
        <v>28.66</v>
      </c>
      <c r="T36" s="162">
        <f t="shared" si="10"/>
        <v>1</v>
      </c>
      <c r="U36" s="162">
        <f t="shared" si="11"/>
        <v>28.66</v>
      </c>
      <c r="V36" s="191">
        <f t="shared" si="12"/>
        <v>1088.197272</v>
      </c>
      <c r="W36" s="178">
        <f t="shared" ref="W36:X36" si="28">C36/100</f>
        <v>1.06</v>
      </c>
      <c r="X36" s="178">
        <f t="shared" si="28"/>
        <v>1.99</v>
      </c>
      <c r="Y36" s="178">
        <f t="shared" si="14"/>
        <v>28.66</v>
      </c>
      <c r="Z36" s="192">
        <f t="shared" si="15"/>
        <v>60.455404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13.0</v>
      </c>
      <c r="B37" s="193" t="s">
        <v>81</v>
      </c>
      <c r="C37" s="193">
        <v>104.0</v>
      </c>
      <c r="D37" s="193">
        <v>199.0</v>
      </c>
      <c r="E37" s="193">
        <v>2877.0</v>
      </c>
      <c r="F37" s="193">
        <f t="shared" si="5"/>
        <v>0</v>
      </c>
      <c r="G37" s="193">
        <f t="shared" si="6"/>
        <v>1071.763056</v>
      </c>
      <c r="H37" s="194">
        <f t="shared" si="7"/>
        <v>1071.763056</v>
      </c>
      <c r="I37" s="193">
        <v>1.0</v>
      </c>
      <c r="J37" s="195">
        <f t="shared" si="8"/>
        <v>1071.763056</v>
      </c>
      <c r="K37" s="139"/>
      <c r="L37" s="178">
        <f t="shared" si="17"/>
        <v>5.0546</v>
      </c>
      <c r="M37" s="162">
        <f t="shared" si="18"/>
        <v>1</v>
      </c>
      <c r="N37" s="162">
        <f t="shared" si="19"/>
        <v>5.0546</v>
      </c>
      <c r="O37" s="139"/>
      <c r="P37" s="139"/>
      <c r="Q37" s="178">
        <v>1055.0</v>
      </c>
      <c r="R37" s="190">
        <v>18.0</v>
      </c>
      <c r="S37" s="178">
        <f t="shared" si="9"/>
        <v>28.77</v>
      </c>
      <c r="T37" s="162">
        <f t="shared" si="10"/>
        <v>1</v>
      </c>
      <c r="U37" s="162">
        <f t="shared" si="11"/>
        <v>28.77</v>
      </c>
      <c r="V37" s="191">
        <f t="shared" si="12"/>
        <v>1071.763056</v>
      </c>
      <c r="W37" s="178">
        <f t="shared" ref="W37:X37" si="29">C37/100</f>
        <v>1.04</v>
      </c>
      <c r="X37" s="178">
        <f t="shared" si="29"/>
        <v>1.99</v>
      </c>
      <c r="Y37" s="178">
        <f t="shared" si="14"/>
        <v>28.77</v>
      </c>
      <c r="Z37" s="192">
        <f t="shared" si="15"/>
        <v>59.542392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14.0</v>
      </c>
      <c r="B38" s="193" t="s">
        <v>81</v>
      </c>
      <c r="C38" s="193">
        <v>103.0</v>
      </c>
      <c r="D38" s="193">
        <v>199.0</v>
      </c>
      <c r="E38" s="193">
        <v>2873.0</v>
      </c>
      <c r="F38" s="193">
        <f t="shared" si="5"/>
        <v>0</v>
      </c>
      <c r="G38" s="193">
        <f t="shared" si="6"/>
        <v>1059.981858</v>
      </c>
      <c r="H38" s="194">
        <f t="shared" si="7"/>
        <v>1059.981858</v>
      </c>
      <c r="I38" s="193">
        <v>1.0</v>
      </c>
      <c r="J38" s="195">
        <f t="shared" si="8"/>
        <v>1059.981858</v>
      </c>
      <c r="K38" s="139"/>
      <c r="L38" s="178">
        <f t="shared" si="17"/>
        <v>5.0546</v>
      </c>
      <c r="M38" s="162">
        <f t="shared" si="18"/>
        <v>1</v>
      </c>
      <c r="N38" s="162">
        <f t="shared" si="19"/>
        <v>5.0546</v>
      </c>
      <c r="O38" s="139"/>
      <c r="P38" s="139"/>
      <c r="Q38" s="178">
        <v>1075.0</v>
      </c>
      <c r="R38" s="190">
        <v>18.0</v>
      </c>
      <c r="S38" s="178">
        <f t="shared" si="9"/>
        <v>28.73</v>
      </c>
      <c r="T38" s="162">
        <f t="shared" si="10"/>
        <v>1</v>
      </c>
      <c r="U38" s="162">
        <f t="shared" si="11"/>
        <v>28.73</v>
      </c>
      <c r="V38" s="191">
        <f t="shared" si="12"/>
        <v>1059.981858</v>
      </c>
      <c r="W38" s="178">
        <f t="shared" ref="W38:X38" si="30">C38/100</f>
        <v>1.03</v>
      </c>
      <c r="X38" s="178">
        <f t="shared" si="30"/>
        <v>1.99</v>
      </c>
      <c r="Y38" s="178">
        <f t="shared" si="14"/>
        <v>28.73</v>
      </c>
      <c r="Z38" s="192">
        <f t="shared" si="15"/>
        <v>58.887881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15.0</v>
      </c>
      <c r="B39" s="193" t="s">
        <v>81</v>
      </c>
      <c r="C39" s="193">
        <v>102.0</v>
      </c>
      <c r="D39" s="193">
        <v>199.0</v>
      </c>
      <c r="E39" s="193">
        <v>2869.0</v>
      </c>
      <c r="F39" s="193">
        <f t="shared" si="5"/>
        <v>0</v>
      </c>
      <c r="G39" s="193">
        <f t="shared" si="6"/>
        <v>1048.229316</v>
      </c>
      <c r="H39" s="194">
        <f t="shared" si="7"/>
        <v>1048.229316</v>
      </c>
      <c r="I39" s="193">
        <v>1.0</v>
      </c>
      <c r="J39" s="195">
        <f t="shared" si="8"/>
        <v>1048.229316</v>
      </c>
      <c r="K39" s="139"/>
      <c r="L39" s="178">
        <f t="shared" si="17"/>
        <v>5.0546</v>
      </c>
      <c r="M39" s="162">
        <f t="shared" si="18"/>
        <v>1</v>
      </c>
      <c r="N39" s="162">
        <f t="shared" si="19"/>
        <v>5.0546</v>
      </c>
      <c r="O39" s="139"/>
      <c r="P39" s="139"/>
      <c r="Q39" s="178">
        <v>1055.0</v>
      </c>
      <c r="R39" s="190">
        <v>18.0</v>
      </c>
      <c r="S39" s="178">
        <f t="shared" si="9"/>
        <v>28.69</v>
      </c>
      <c r="T39" s="162">
        <f t="shared" si="10"/>
        <v>1</v>
      </c>
      <c r="U39" s="162">
        <f t="shared" si="11"/>
        <v>28.69</v>
      </c>
      <c r="V39" s="191">
        <f t="shared" si="12"/>
        <v>1048.229316</v>
      </c>
      <c r="W39" s="178">
        <f t="shared" ref="W39:X39" si="31">C39/100</f>
        <v>1.02</v>
      </c>
      <c r="X39" s="178">
        <f t="shared" si="31"/>
        <v>1.99</v>
      </c>
      <c r="Y39" s="178">
        <f t="shared" si="14"/>
        <v>28.69</v>
      </c>
      <c r="Z39" s="192">
        <f t="shared" si="15"/>
        <v>58.234962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16.0</v>
      </c>
      <c r="B40" s="193" t="s">
        <v>81</v>
      </c>
      <c r="C40" s="193">
        <v>103.0</v>
      </c>
      <c r="D40" s="193">
        <v>199.0</v>
      </c>
      <c r="E40" s="193">
        <v>2867.0</v>
      </c>
      <c r="F40" s="193">
        <f t="shared" si="5"/>
        <v>0</v>
      </c>
      <c r="G40" s="193">
        <f t="shared" si="6"/>
        <v>1057.768182</v>
      </c>
      <c r="H40" s="194">
        <f t="shared" si="7"/>
        <v>1057.768182</v>
      </c>
      <c r="I40" s="193">
        <v>1.0</v>
      </c>
      <c r="J40" s="195">
        <f t="shared" si="8"/>
        <v>1057.768182</v>
      </c>
      <c r="K40" s="139"/>
      <c r="L40" s="178">
        <f t="shared" si="17"/>
        <v>5.0546</v>
      </c>
      <c r="M40" s="162">
        <f t="shared" si="18"/>
        <v>1</v>
      </c>
      <c r="N40" s="162">
        <f t="shared" si="19"/>
        <v>5.0546</v>
      </c>
      <c r="O40" s="139"/>
      <c r="P40" s="139"/>
      <c r="Q40" s="178">
        <v>1055.0</v>
      </c>
      <c r="R40" s="190">
        <v>18.0</v>
      </c>
      <c r="S40" s="178">
        <f t="shared" si="9"/>
        <v>28.67</v>
      </c>
      <c r="T40" s="162">
        <f t="shared" si="10"/>
        <v>1</v>
      </c>
      <c r="U40" s="162">
        <f t="shared" si="11"/>
        <v>28.67</v>
      </c>
      <c r="V40" s="191">
        <f t="shared" si="12"/>
        <v>1057.768182</v>
      </c>
      <c r="W40" s="178">
        <f t="shared" ref="W40:X40" si="32">C40/100</f>
        <v>1.03</v>
      </c>
      <c r="X40" s="178">
        <f t="shared" si="32"/>
        <v>1.99</v>
      </c>
      <c r="Y40" s="178">
        <f t="shared" si="14"/>
        <v>28.67</v>
      </c>
      <c r="Z40" s="192">
        <f t="shared" si="15"/>
        <v>58.764899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17.0</v>
      </c>
      <c r="B41" s="193" t="s">
        <v>81</v>
      </c>
      <c r="C41" s="193">
        <v>105.0</v>
      </c>
      <c r="D41" s="193">
        <v>199.0</v>
      </c>
      <c r="E41" s="193">
        <v>2875.0</v>
      </c>
      <c r="F41" s="193">
        <f t="shared" si="5"/>
        <v>0</v>
      </c>
      <c r="G41" s="193">
        <f t="shared" si="6"/>
        <v>1081.31625</v>
      </c>
      <c r="H41" s="194">
        <f t="shared" si="7"/>
        <v>1081.31625</v>
      </c>
      <c r="I41" s="193">
        <v>1.0</v>
      </c>
      <c r="J41" s="195">
        <f t="shared" si="8"/>
        <v>1081.31625</v>
      </c>
      <c r="K41" s="139"/>
      <c r="L41" s="178">
        <f t="shared" si="17"/>
        <v>5.0546</v>
      </c>
      <c r="M41" s="162">
        <f t="shared" si="18"/>
        <v>1</v>
      </c>
      <c r="N41" s="162">
        <f t="shared" si="19"/>
        <v>5.0546</v>
      </c>
      <c r="O41" s="139"/>
      <c r="P41" s="139"/>
      <c r="Q41" s="178">
        <v>1075.0</v>
      </c>
      <c r="R41" s="190">
        <v>18.0</v>
      </c>
      <c r="S41" s="178">
        <f t="shared" si="9"/>
        <v>28.75</v>
      </c>
      <c r="T41" s="162">
        <f t="shared" si="10"/>
        <v>1</v>
      </c>
      <c r="U41" s="162">
        <f t="shared" si="11"/>
        <v>28.75</v>
      </c>
      <c r="V41" s="191">
        <f t="shared" si="12"/>
        <v>1081.31625</v>
      </c>
      <c r="W41" s="178">
        <f t="shared" ref="W41:X41" si="33">C41/100</f>
        <v>1.05</v>
      </c>
      <c r="X41" s="178">
        <f t="shared" si="33"/>
        <v>1.99</v>
      </c>
      <c r="Y41" s="178">
        <f t="shared" si="14"/>
        <v>28.75</v>
      </c>
      <c r="Z41" s="192">
        <f t="shared" si="15"/>
        <v>60.073125</v>
      </c>
      <c r="AA41" s="139"/>
      <c r="AB41" s="26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18.0</v>
      </c>
      <c r="B42" s="183" t="s">
        <v>63</v>
      </c>
      <c r="C42" s="184">
        <v>94.0</v>
      </c>
      <c r="D42" s="184">
        <v>202.0</v>
      </c>
      <c r="E42" s="184">
        <v>193.0</v>
      </c>
      <c r="F42" s="184">
        <f t="shared" si="5"/>
        <v>0.8</v>
      </c>
      <c r="G42" s="184">
        <f t="shared" si="6"/>
        <v>109.94052</v>
      </c>
      <c r="H42" s="185">
        <f t="shared" si="7"/>
        <v>87.952416</v>
      </c>
      <c r="I42" s="184">
        <v>1.0</v>
      </c>
      <c r="J42" s="186">
        <f t="shared" si="8"/>
        <v>87.952416</v>
      </c>
      <c r="K42" s="187"/>
      <c r="L42" s="188">
        <f t="shared" si="17"/>
        <v>5.1308</v>
      </c>
      <c r="M42" s="189">
        <f t="shared" si="18"/>
        <v>1</v>
      </c>
      <c r="N42" s="189">
        <f t="shared" si="19"/>
        <v>5.1308</v>
      </c>
      <c r="O42" s="187"/>
      <c r="P42" s="187"/>
      <c r="Q42" s="188">
        <v>106.0</v>
      </c>
      <c r="R42" s="190">
        <v>30.0</v>
      </c>
      <c r="S42" s="178">
        <f t="shared" si="9"/>
        <v>1.93</v>
      </c>
      <c r="T42" s="162">
        <f t="shared" si="10"/>
        <v>1</v>
      </c>
      <c r="U42" s="162">
        <f t="shared" si="11"/>
        <v>1.93</v>
      </c>
      <c r="V42" s="191">
        <f t="shared" si="12"/>
        <v>109.94052</v>
      </c>
      <c r="W42" s="178">
        <f t="shared" ref="W42:X42" si="34">C42/100</f>
        <v>0.94</v>
      </c>
      <c r="X42" s="178">
        <f t="shared" si="34"/>
        <v>2.02</v>
      </c>
      <c r="Y42" s="178">
        <f t="shared" si="14"/>
        <v>1.93</v>
      </c>
      <c r="Z42" s="192">
        <f t="shared" si="15"/>
        <v>3.664684</v>
      </c>
      <c r="AA42" s="139"/>
      <c r="AB42" s="26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19.0</v>
      </c>
      <c r="B43" s="193" t="s">
        <v>55</v>
      </c>
      <c r="C43" s="193">
        <v>101.0</v>
      </c>
      <c r="D43" s="193">
        <v>202.0</v>
      </c>
      <c r="E43" s="193">
        <v>203.0</v>
      </c>
      <c r="F43" s="193">
        <f t="shared" si="5"/>
        <v>0</v>
      </c>
      <c r="G43" s="193">
        <f t="shared" si="6"/>
        <v>124.24818</v>
      </c>
      <c r="H43" s="194">
        <f t="shared" si="7"/>
        <v>124.24818</v>
      </c>
      <c r="I43" s="193">
        <v>1.0</v>
      </c>
      <c r="J43" s="195">
        <f t="shared" si="8"/>
        <v>124.24818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127.0</v>
      </c>
      <c r="R43" s="190">
        <v>30.0</v>
      </c>
      <c r="S43" s="178">
        <f t="shared" si="9"/>
        <v>2.03</v>
      </c>
      <c r="T43" s="162">
        <f t="shared" si="10"/>
        <v>1</v>
      </c>
      <c r="U43" s="162">
        <f t="shared" si="11"/>
        <v>2.03</v>
      </c>
      <c r="V43" s="191">
        <f t="shared" si="12"/>
        <v>124.24818</v>
      </c>
      <c r="W43" s="178">
        <f t="shared" ref="W43:X43" si="35">C43/100</f>
        <v>1.01</v>
      </c>
      <c r="X43" s="178">
        <f t="shared" si="35"/>
        <v>2.02</v>
      </c>
      <c r="Y43" s="178">
        <f t="shared" si="14"/>
        <v>2.03</v>
      </c>
      <c r="Z43" s="192">
        <f t="shared" si="15"/>
        <v>4.141606</v>
      </c>
      <c r="AA43" s="139"/>
      <c r="AB43" s="26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20.0</v>
      </c>
      <c r="B44" s="193" t="s">
        <v>55</v>
      </c>
      <c r="C44" s="193">
        <v>102.0</v>
      </c>
      <c r="D44" s="193">
        <v>202.0</v>
      </c>
      <c r="E44" s="193">
        <v>2880.0</v>
      </c>
      <c r="F44" s="193">
        <f t="shared" si="5"/>
        <v>0</v>
      </c>
      <c r="G44" s="193">
        <f t="shared" si="6"/>
        <v>1780.1856</v>
      </c>
      <c r="H44" s="194">
        <f t="shared" si="7"/>
        <v>1780.1856</v>
      </c>
      <c r="I44" s="193">
        <v>1.0</v>
      </c>
      <c r="J44" s="195">
        <f t="shared" si="8"/>
        <v>1780.1856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1765.0</v>
      </c>
      <c r="R44" s="190">
        <v>30.0</v>
      </c>
      <c r="S44" s="178">
        <f t="shared" si="9"/>
        <v>28.8</v>
      </c>
      <c r="T44" s="162">
        <f t="shared" si="10"/>
        <v>1</v>
      </c>
      <c r="U44" s="162">
        <f t="shared" si="11"/>
        <v>28.8</v>
      </c>
      <c r="V44" s="191">
        <f t="shared" si="12"/>
        <v>1780.1856</v>
      </c>
      <c r="W44" s="178">
        <f t="shared" ref="W44:X44" si="36">C44/100</f>
        <v>1.02</v>
      </c>
      <c r="X44" s="178">
        <f t="shared" si="36"/>
        <v>2.02</v>
      </c>
      <c r="Y44" s="178">
        <f t="shared" si="14"/>
        <v>28.8</v>
      </c>
      <c r="Z44" s="192">
        <f t="shared" si="15"/>
        <v>59.33952</v>
      </c>
      <c r="AA44" s="139"/>
      <c r="AB44" s="271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21.0</v>
      </c>
      <c r="B45" s="193" t="s">
        <v>55</v>
      </c>
      <c r="C45" s="193">
        <v>102.0</v>
      </c>
      <c r="D45" s="193">
        <v>202.0</v>
      </c>
      <c r="E45" s="193">
        <v>2878.0</v>
      </c>
      <c r="F45" s="193">
        <f t="shared" si="5"/>
        <v>0</v>
      </c>
      <c r="G45" s="193">
        <f t="shared" si="6"/>
        <v>1778.94936</v>
      </c>
      <c r="H45" s="194">
        <f t="shared" si="7"/>
        <v>1778.94936</v>
      </c>
      <c r="I45" s="193">
        <v>1.0</v>
      </c>
      <c r="J45" s="195">
        <f t="shared" si="8"/>
        <v>1778.94936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1730.0</v>
      </c>
      <c r="R45" s="190">
        <v>30.0</v>
      </c>
      <c r="S45" s="178">
        <f t="shared" si="9"/>
        <v>28.78</v>
      </c>
      <c r="T45" s="162">
        <f t="shared" si="10"/>
        <v>1</v>
      </c>
      <c r="U45" s="162">
        <f t="shared" si="11"/>
        <v>28.78</v>
      </c>
      <c r="V45" s="191">
        <f t="shared" si="12"/>
        <v>1778.94936</v>
      </c>
      <c r="W45" s="178">
        <f t="shared" ref="W45:X45" si="37">C45/100</f>
        <v>1.02</v>
      </c>
      <c r="X45" s="178">
        <f t="shared" si="37"/>
        <v>2.02</v>
      </c>
      <c r="Y45" s="178">
        <f t="shared" si="14"/>
        <v>28.78</v>
      </c>
      <c r="Z45" s="192">
        <f t="shared" si="15"/>
        <v>59.298312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22.0</v>
      </c>
      <c r="B46" s="193" t="s">
        <v>55</v>
      </c>
      <c r="C46" s="193">
        <v>101.0</v>
      </c>
      <c r="D46" s="193">
        <v>202.0</v>
      </c>
      <c r="E46" s="193">
        <v>2868.0</v>
      </c>
      <c r="F46" s="193">
        <f t="shared" si="5"/>
        <v>0</v>
      </c>
      <c r="G46" s="193">
        <f t="shared" si="6"/>
        <v>1755.38808</v>
      </c>
      <c r="H46" s="194">
        <f t="shared" si="7"/>
        <v>1755.38808</v>
      </c>
      <c r="I46" s="193">
        <v>1.0</v>
      </c>
      <c r="J46" s="195">
        <f t="shared" si="8"/>
        <v>1755.38808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1770.0</v>
      </c>
      <c r="R46" s="190">
        <v>30.0</v>
      </c>
      <c r="S46" s="178">
        <f t="shared" si="9"/>
        <v>28.68</v>
      </c>
      <c r="T46" s="162">
        <f t="shared" si="10"/>
        <v>1</v>
      </c>
      <c r="U46" s="162">
        <f t="shared" si="11"/>
        <v>28.68</v>
      </c>
      <c r="V46" s="191">
        <f t="shared" si="12"/>
        <v>1755.38808</v>
      </c>
      <c r="W46" s="178">
        <f t="shared" ref="W46:X46" si="38">C46/100</f>
        <v>1.01</v>
      </c>
      <c r="X46" s="178">
        <f t="shared" si="38"/>
        <v>2.02</v>
      </c>
      <c r="Y46" s="178">
        <f t="shared" si="14"/>
        <v>28.68</v>
      </c>
      <c r="Z46" s="192">
        <f t="shared" si="15"/>
        <v>58.512936</v>
      </c>
      <c r="AA46" s="139"/>
      <c r="AB46" s="26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23.0</v>
      </c>
      <c r="B47" s="193" t="s">
        <v>55</v>
      </c>
      <c r="C47" s="193">
        <v>101.0</v>
      </c>
      <c r="D47" s="193">
        <v>202.0</v>
      </c>
      <c r="E47" s="193">
        <v>2872.0</v>
      </c>
      <c r="F47" s="193">
        <f t="shared" si="5"/>
        <v>0</v>
      </c>
      <c r="G47" s="193">
        <f t="shared" si="6"/>
        <v>1757.83632</v>
      </c>
      <c r="H47" s="194">
        <f t="shared" si="7"/>
        <v>1757.83632</v>
      </c>
      <c r="I47" s="193">
        <v>1.0</v>
      </c>
      <c r="J47" s="195">
        <f t="shared" si="8"/>
        <v>1757.83632</v>
      </c>
      <c r="K47" s="139"/>
      <c r="L47" s="178">
        <f t="shared" si="17"/>
        <v>5.1308</v>
      </c>
      <c r="M47" s="162">
        <f t="shared" si="18"/>
        <v>1</v>
      </c>
      <c r="N47" s="162">
        <f t="shared" si="19"/>
        <v>5.1308</v>
      </c>
      <c r="O47" s="139"/>
      <c r="P47" s="139"/>
      <c r="Q47" s="178">
        <v>1770.0</v>
      </c>
      <c r="R47" s="190">
        <v>30.0</v>
      </c>
      <c r="S47" s="178">
        <f t="shared" si="9"/>
        <v>28.72</v>
      </c>
      <c r="T47" s="162">
        <f t="shared" si="10"/>
        <v>1</v>
      </c>
      <c r="U47" s="162">
        <f t="shared" si="11"/>
        <v>28.72</v>
      </c>
      <c r="V47" s="191">
        <f t="shared" si="12"/>
        <v>1757.83632</v>
      </c>
      <c r="W47" s="178">
        <f t="shared" ref="W47:X47" si="39">C47/100</f>
        <v>1.01</v>
      </c>
      <c r="X47" s="178">
        <f t="shared" si="39"/>
        <v>2.02</v>
      </c>
      <c r="Y47" s="178">
        <f t="shared" si="14"/>
        <v>28.72</v>
      </c>
      <c r="Z47" s="192">
        <f t="shared" si="15"/>
        <v>58.594544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24.0</v>
      </c>
      <c r="B48" s="193" t="s">
        <v>55</v>
      </c>
      <c r="C48" s="193">
        <v>101.0</v>
      </c>
      <c r="D48" s="193">
        <v>202.0</v>
      </c>
      <c r="E48" s="193">
        <v>2868.0</v>
      </c>
      <c r="F48" s="193">
        <f t="shared" si="5"/>
        <v>0</v>
      </c>
      <c r="G48" s="193">
        <f t="shared" si="6"/>
        <v>1755.38808</v>
      </c>
      <c r="H48" s="194">
        <f t="shared" si="7"/>
        <v>1755.38808</v>
      </c>
      <c r="I48" s="193">
        <v>1.0</v>
      </c>
      <c r="J48" s="195">
        <f t="shared" si="8"/>
        <v>1755.38808</v>
      </c>
      <c r="K48" s="139"/>
      <c r="L48" s="178">
        <f t="shared" si="17"/>
        <v>5.1308</v>
      </c>
      <c r="M48" s="162">
        <f t="shared" si="18"/>
        <v>1</v>
      </c>
      <c r="N48" s="162">
        <f t="shared" si="19"/>
        <v>5.1308</v>
      </c>
      <c r="O48" s="139"/>
      <c r="P48" s="139"/>
      <c r="Q48" s="178">
        <v>1760.0</v>
      </c>
      <c r="R48" s="190">
        <v>30.0</v>
      </c>
      <c r="S48" s="178">
        <f t="shared" si="9"/>
        <v>28.68</v>
      </c>
      <c r="T48" s="162">
        <f t="shared" si="10"/>
        <v>1</v>
      </c>
      <c r="U48" s="162">
        <f t="shared" si="11"/>
        <v>28.68</v>
      </c>
      <c r="V48" s="191">
        <f t="shared" si="12"/>
        <v>1755.38808</v>
      </c>
      <c r="W48" s="178">
        <f t="shared" ref="W48:X48" si="40">C48/100</f>
        <v>1.01</v>
      </c>
      <c r="X48" s="178">
        <f t="shared" si="40"/>
        <v>2.02</v>
      </c>
      <c r="Y48" s="178">
        <f t="shared" si="14"/>
        <v>28.68</v>
      </c>
      <c r="Z48" s="192">
        <f t="shared" si="15"/>
        <v>58.512936</v>
      </c>
      <c r="AA48" s="139"/>
      <c r="AB48" s="26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25.0</v>
      </c>
      <c r="B49" s="193" t="s">
        <v>55</v>
      </c>
      <c r="C49" s="193">
        <v>100.0</v>
      </c>
      <c r="D49" s="193">
        <v>202.0</v>
      </c>
      <c r="E49" s="193">
        <v>2665.0</v>
      </c>
      <c r="F49" s="193">
        <f t="shared" si="5"/>
        <v>0</v>
      </c>
      <c r="G49" s="193">
        <f t="shared" si="6"/>
        <v>1614.99</v>
      </c>
      <c r="H49" s="194">
        <f t="shared" si="7"/>
        <v>1614.99</v>
      </c>
      <c r="I49" s="193">
        <v>1.0</v>
      </c>
      <c r="J49" s="195">
        <f t="shared" si="8"/>
        <v>1614.99</v>
      </c>
      <c r="K49" s="139"/>
      <c r="L49" s="178">
        <f t="shared" si="17"/>
        <v>5.1308</v>
      </c>
      <c r="M49" s="162">
        <f t="shared" si="18"/>
        <v>1</v>
      </c>
      <c r="N49" s="162">
        <f t="shared" si="19"/>
        <v>5.1308</v>
      </c>
      <c r="O49" s="139"/>
      <c r="P49" s="139"/>
      <c r="Q49" s="178">
        <v>1635.0</v>
      </c>
      <c r="R49" s="190">
        <v>30.0</v>
      </c>
      <c r="S49" s="178">
        <f t="shared" si="9"/>
        <v>26.65</v>
      </c>
      <c r="T49" s="162">
        <f t="shared" si="10"/>
        <v>1</v>
      </c>
      <c r="U49" s="162">
        <f t="shared" si="11"/>
        <v>26.65</v>
      </c>
      <c r="V49" s="191">
        <f t="shared" si="12"/>
        <v>1614.99</v>
      </c>
      <c r="W49" s="178">
        <f t="shared" ref="W49:X49" si="41">C49/100</f>
        <v>1</v>
      </c>
      <c r="X49" s="178">
        <f t="shared" si="41"/>
        <v>2.02</v>
      </c>
      <c r="Y49" s="178">
        <f t="shared" si="14"/>
        <v>26.65</v>
      </c>
      <c r="Z49" s="192">
        <f t="shared" si="15"/>
        <v>53.833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2">
        <v>101.0</v>
      </c>
      <c r="B50" s="193"/>
      <c r="C50" s="193"/>
      <c r="D50" s="193"/>
      <c r="E50" s="193"/>
      <c r="F50" s="193">
        <f t="shared" si="5"/>
        <v>0</v>
      </c>
      <c r="G50" s="193">
        <f t="shared" si="6"/>
        <v>0</v>
      </c>
      <c r="H50" s="194">
        <f t="shared" si="7"/>
        <v>0</v>
      </c>
      <c r="I50" s="193"/>
      <c r="J50" s="195">
        <f t="shared" si="8"/>
        <v>0</v>
      </c>
      <c r="K50" s="139"/>
      <c r="L50" s="197"/>
      <c r="M50" s="198"/>
      <c r="N50" s="198"/>
      <c r="O50" s="139"/>
      <c r="P50" s="139"/>
      <c r="Q50" s="195"/>
      <c r="R50" s="141"/>
      <c r="S50" s="199">
        <f t="shared" si="9"/>
        <v>0</v>
      </c>
      <c r="T50" s="200" t="str">
        <f t="shared" si="10"/>
        <v/>
      </c>
      <c r="U50" s="200">
        <f t="shared" si="11"/>
        <v>0</v>
      </c>
      <c r="V50" s="203"/>
      <c r="W50" s="199">
        <f t="shared" ref="W50:X50" si="42">C50/100</f>
        <v>0</v>
      </c>
      <c r="X50" s="199">
        <f t="shared" si="42"/>
        <v>0</v>
      </c>
      <c r="Y50" s="199">
        <f t="shared" si="14"/>
        <v>0</v>
      </c>
      <c r="Z50" s="202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2">
        <v>102.0</v>
      </c>
      <c r="B51" s="193"/>
      <c r="C51" s="193"/>
      <c r="D51" s="193"/>
      <c r="E51" s="193"/>
      <c r="F51" s="193">
        <f t="shared" si="5"/>
        <v>0</v>
      </c>
      <c r="G51" s="193">
        <f t="shared" si="6"/>
        <v>0</v>
      </c>
      <c r="H51" s="194">
        <f t="shared" si="7"/>
        <v>0</v>
      </c>
      <c r="I51" s="193"/>
      <c r="J51" s="195">
        <f t="shared" si="8"/>
        <v>0</v>
      </c>
      <c r="K51" s="139"/>
      <c r="L51" s="197"/>
      <c r="M51" s="198"/>
      <c r="N51" s="198"/>
      <c r="O51" s="139"/>
      <c r="P51" s="139"/>
      <c r="Q51" s="195"/>
      <c r="R51" s="141"/>
      <c r="S51" s="199">
        <f t="shared" si="9"/>
        <v>0</v>
      </c>
      <c r="T51" s="200" t="str">
        <f t="shared" si="10"/>
        <v/>
      </c>
      <c r="U51" s="200">
        <f t="shared" si="11"/>
        <v>0</v>
      </c>
      <c r="V51" s="203"/>
      <c r="W51" s="199">
        <f t="shared" ref="W51:X51" si="43">C51/100</f>
        <v>0</v>
      </c>
      <c r="X51" s="199">
        <f t="shared" si="43"/>
        <v>0</v>
      </c>
      <c r="Y51" s="199">
        <f t="shared" si="14"/>
        <v>0</v>
      </c>
      <c r="Z51" s="202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2">
        <v>103.0</v>
      </c>
      <c r="B52" s="193"/>
      <c r="C52" s="193"/>
      <c r="D52" s="193"/>
      <c r="E52" s="193"/>
      <c r="F52" s="193">
        <f t="shared" si="5"/>
        <v>0</v>
      </c>
      <c r="G52" s="193">
        <f t="shared" si="6"/>
        <v>0</v>
      </c>
      <c r="H52" s="194">
        <f t="shared" si="7"/>
        <v>0</v>
      </c>
      <c r="I52" s="193"/>
      <c r="J52" s="195">
        <f t="shared" si="8"/>
        <v>0</v>
      </c>
      <c r="K52" s="139"/>
      <c r="L52" s="197"/>
      <c r="M52" s="198"/>
      <c r="N52" s="198"/>
      <c r="O52" s="139"/>
      <c r="P52" s="139"/>
      <c r="Q52" s="195"/>
      <c r="R52" s="141"/>
      <c r="S52" s="199">
        <f t="shared" si="9"/>
        <v>0</v>
      </c>
      <c r="T52" s="200" t="str">
        <f t="shared" si="10"/>
        <v/>
      </c>
      <c r="U52" s="200">
        <f t="shared" si="11"/>
        <v>0</v>
      </c>
      <c r="V52" s="203"/>
      <c r="W52" s="199">
        <f t="shared" ref="W52:X52" si="44">C52/100</f>
        <v>0</v>
      </c>
      <c r="X52" s="199">
        <f t="shared" si="44"/>
        <v>0</v>
      </c>
      <c r="Y52" s="199">
        <f t="shared" si="14"/>
        <v>0</v>
      </c>
      <c r="Z52" s="202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2">
        <v>104.0</v>
      </c>
      <c r="B53" s="193"/>
      <c r="C53" s="193"/>
      <c r="D53" s="193"/>
      <c r="E53" s="193"/>
      <c r="F53" s="193">
        <f t="shared" si="5"/>
        <v>0</v>
      </c>
      <c r="G53" s="193">
        <f t="shared" si="6"/>
        <v>0</v>
      </c>
      <c r="H53" s="194">
        <f t="shared" si="7"/>
        <v>0</v>
      </c>
      <c r="I53" s="193"/>
      <c r="J53" s="195">
        <f t="shared" si="8"/>
        <v>0</v>
      </c>
      <c r="K53" s="139"/>
      <c r="L53" s="197"/>
      <c r="M53" s="198"/>
      <c r="N53" s="198"/>
      <c r="O53" s="139"/>
      <c r="P53" s="139"/>
      <c r="Q53" s="195"/>
      <c r="R53" s="141"/>
      <c r="S53" s="199">
        <f t="shared" si="9"/>
        <v>0</v>
      </c>
      <c r="T53" s="200" t="str">
        <f t="shared" si="10"/>
        <v/>
      </c>
      <c r="U53" s="200">
        <f t="shared" si="11"/>
        <v>0</v>
      </c>
      <c r="V53" s="203"/>
      <c r="W53" s="199">
        <f t="shared" ref="W53:X53" si="45">C53/100</f>
        <v>0</v>
      </c>
      <c r="X53" s="199">
        <f t="shared" si="45"/>
        <v>0</v>
      </c>
      <c r="Y53" s="199">
        <f t="shared" si="14"/>
        <v>0</v>
      </c>
      <c r="Z53" s="202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2">
        <v>105.0</v>
      </c>
      <c r="B54" s="193"/>
      <c r="C54" s="193"/>
      <c r="D54" s="193"/>
      <c r="E54" s="193"/>
      <c r="F54" s="193">
        <f t="shared" si="5"/>
        <v>0</v>
      </c>
      <c r="G54" s="193">
        <f t="shared" si="6"/>
        <v>0</v>
      </c>
      <c r="H54" s="194">
        <f t="shared" si="7"/>
        <v>0</v>
      </c>
      <c r="I54" s="193"/>
      <c r="J54" s="195">
        <f t="shared" si="8"/>
        <v>0</v>
      </c>
      <c r="K54" s="139"/>
      <c r="L54" s="197"/>
      <c r="M54" s="198"/>
      <c r="N54" s="198"/>
      <c r="O54" s="139"/>
      <c r="P54" s="139"/>
      <c r="Q54" s="195"/>
      <c r="R54" s="141"/>
      <c r="S54" s="199">
        <f t="shared" si="9"/>
        <v>0</v>
      </c>
      <c r="T54" s="200" t="str">
        <f t="shared" si="10"/>
        <v/>
      </c>
      <c r="U54" s="200">
        <f t="shared" si="11"/>
        <v>0</v>
      </c>
      <c r="V54" s="203"/>
      <c r="W54" s="199">
        <f t="shared" ref="W54:X54" si="46">C54/100</f>
        <v>0</v>
      </c>
      <c r="X54" s="199">
        <f t="shared" si="46"/>
        <v>0</v>
      </c>
      <c r="Y54" s="199">
        <f t="shared" si="14"/>
        <v>0</v>
      </c>
      <c r="Z54" s="202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2">
        <v>106.0</v>
      </c>
      <c r="B55" s="193"/>
      <c r="C55" s="193"/>
      <c r="D55" s="193"/>
      <c r="E55" s="193"/>
      <c r="F55" s="193">
        <f t="shared" si="5"/>
        <v>0</v>
      </c>
      <c r="G55" s="193">
        <f t="shared" si="6"/>
        <v>0</v>
      </c>
      <c r="H55" s="194">
        <f t="shared" si="7"/>
        <v>0</v>
      </c>
      <c r="I55" s="193"/>
      <c r="J55" s="195">
        <f t="shared" si="8"/>
        <v>0</v>
      </c>
      <c r="K55" s="139"/>
      <c r="L55" s="197"/>
      <c r="M55" s="198"/>
      <c r="N55" s="198"/>
      <c r="O55" s="139"/>
      <c r="P55" s="139"/>
      <c r="Q55" s="195"/>
      <c r="R55" s="141"/>
      <c r="S55" s="199">
        <f t="shared" si="9"/>
        <v>0</v>
      </c>
      <c r="T55" s="200" t="str">
        <f t="shared" si="10"/>
        <v/>
      </c>
      <c r="U55" s="200">
        <f t="shared" si="11"/>
        <v>0</v>
      </c>
      <c r="V55" s="203"/>
      <c r="W55" s="199">
        <f t="shared" ref="W55:X55" si="47">C55/100</f>
        <v>0</v>
      </c>
      <c r="X55" s="199">
        <f t="shared" si="47"/>
        <v>0</v>
      </c>
      <c r="Y55" s="199">
        <f t="shared" si="14"/>
        <v>0</v>
      </c>
      <c r="Z55" s="202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2">
        <v>107.0</v>
      </c>
      <c r="B56" s="193"/>
      <c r="C56" s="193"/>
      <c r="D56" s="193"/>
      <c r="E56" s="193"/>
      <c r="F56" s="193">
        <f t="shared" si="5"/>
        <v>0</v>
      </c>
      <c r="G56" s="193">
        <f t="shared" si="6"/>
        <v>0</v>
      </c>
      <c r="H56" s="194">
        <f t="shared" si="7"/>
        <v>0</v>
      </c>
      <c r="I56" s="193"/>
      <c r="J56" s="195">
        <f t="shared" si="8"/>
        <v>0</v>
      </c>
      <c r="K56" s="139"/>
      <c r="L56" s="197"/>
      <c r="M56" s="198"/>
      <c r="N56" s="198"/>
      <c r="O56" s="139"/>
      <c r="P56" s="139"/>
      <c r="Q56" s="195"/>
      <c r="R56" s="141"/>
      <c r="S56" s="199">
        <f t="shared" si="9"/>
        <v>0</v>
      </c>
      <c r="T56" s="200" t="str">
        <f t="shared" si="10"/>
        <v/>
      </c>
      <c r="U56" s="200">
        <f t="shared" si="11"/>
        <v>0</v>
      </c>
      <c r="V56" s="203"/>
      <c r="W56" s="199">
        <f t="shared" ref="W56:X56" si="48">C56/100</f>
        <v>0</v>
      </c>
      <c r="X56" s="199">
        <f t="shared" si="48"/>
        <v>0</v>
      </c>
      <c r="Y56" s="199">
        <f t="shared" si="14"/>
        <v>0</v>
      </c>
      <c r="Z56" s="202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2">
        <v>108.0</v>
      </c>
      <c r="B57" s="193"/>
      <c r="C57" s="193"/>
      <c r="D57" s="193"/>
      <c r="E57" s="193"/>
      <c r="F57" s="193">
        <f t="shared" si="5"/>
        <v>0</v>
      </c>
      <c r="G57" s="193">
        <f t="shared" si="6"/>
        <v>0</v>
      </c>
      <c r="H57" s="194">
        <f t="shared" si="7"/>
        <v>0</v>
      </c>
      <c r="I57" s="193"/>
      <c r="J57" s="195">
        <f t="shared" si="8"/>
        <v>0</v>
      </c>
      <c r="K57" s="139"/>
      <c r="L57" s="197"/>
      <c r="M57" s="198"/>
      <c r="N57" s="198"/>
      <c r="O57" s="139"/>
      <c r="P57" s="139"/>
      <c r="Q57" s="195"/>
      <c r="R57" s="141"/>
      <c r="S57" s="199">
        <f t="shared" si="9"/>
        <v>0</v>
      </c>
      <c r="T57" s="200" t="str">
        <f t="shared" si="10"/>
        <v/>
      </c>
      <c r="U57" s="200">
        <f t="shared" si="11"/>
        <v>0</v>
      </c>
      <c r="V57" s="203"/>
      <c r="W57" s="199">
        <f t="shared" ref="W57:X57" si="49">C57/100</f>
        <v>0</v>
      </c>
      <c r="X57" s="199">
        <f t="shared" si="49"/>
        <v>0</v>
      </c>
      <c r="Y57" s="199">
        <f t="shared" si="14"/>
        <v>0</v>
      </c>
      <c r="Z57" s="202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2">
        <v>109.0</v>
      </c>
      <c r="B58" s="193"/>
      <c r="C58" s="193"/>
      <c r="D58" s="193"/>
      <c r="E58" s="193"/>
      <c r="F58" s="193">
        <f t="shared" si="5"/>
        <v>0</v>
      </c>
      <c r="G58" s="193">
        <f t="shared" si="6"/>
        <v>0</v>
      </c>
      <c r="H58" s="194">
        <f t="shared" si="7"/>
        <v>0</v>
      </c>
      <c r="I58" s="193"/>
      <c r="J58" s="195">
        <f t="shared" si="8"/>
        <v>0</v>
      </c>
      <c r="K58" s="139"/>
      <c r="L58" s="197"/>
      <c r="M58" s="198"/>
      <c r="N58" s="198"/>
      <c r="O58" s="139"/>
      <c r="P58" s="139"/>
      <c r="Q58" s="195"/>
      <c r="R58" s="141"/>
      <c r="S58" s="199">
        <f t="shared" si="9"/>
        <v>0</v>
      </c>
      <c r="T58" s="200" t="str">
        <f t="shared" si="10"/>
        <v/>
      </c>
      <c r="U58" s="200">
        <f t="shared" si="11"/>
        <v>0</v>
      </c>
      <c r="V58" s="203"/>
      <c r="W58" s="199">
        <f t="shared" ref="W58:X58" si="50">C58/100</f>
        <v>0</v>
      </c>
      <c r="X58" s="199">
        <f t="shared" si="50"/>
        <v>0</v>
      </c>
      <c r="Y58" s="199">
        <f t="shared" si="14"/>
        <v>0</v>
      </c>
      <c r="Z58" s="202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2">
        <v>110.0</v>
      </c>
      <c r="B59" s="193"/>
      <c r="C59" s="193"/>
      <c r="D59" s="193"/>
      <c r="E59" s="193"/>
      <c r="F59" s="193">
        <f t="shared" si="5"/>
        <v>0</v>
      </c>
      <c r="G59" s="193">
        <f t="shared" si="6"/>
        <v>0</v>
      </c>
      <c r="H59" s="194">
        <f t="shared" si="7"/>
        <v>0</v>
      </c>
      <c r="I59" s="193"/>
      <c r="J59" s="195">
        <f t="shared" si="8"/>
        <v>0</v>
      </c>
      <c r="K59" s="139"/>
      <c r="L59" s="197"/>
      <c r="M59" s="198"/>
      <c r="N59" s="198"/>
      <c r="O59" s="139"/>
      <c r="P59" s="139"/>
      <c r="Q59" s="195"/>
      <c r="R59" s="141"/>
      <c r="S59" s="199">
        <f t="shared" si="9"/>
        <v>0</v>
      </c>
      <c r="T59" s="200" t="str">
        <f t="shared" si="10"/>
        <v/>
      </c>
      <c r="U59" s="200">
        <f t="shared" si="11"/>
        <v>0</v>
      </c>
      <c r="V59" s="203"/>
      <c r="W59" s="199">
        <f t="shared" ref="W59:X59" si="51">C59/100</f>
        <v>0</v>
      </c>
      <c r="X59" s="199">
        <f t="shared" si="51"/>
        <v>0</v>
      </c>
      <c r="Y59" s="199">
        <f t="shared" si="14"/>
        <v>0</v>
      </c>
      <c r="Z59" s="202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111.0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2">C60/100</f>
        <v>0</v>
      </c>
      <c r="X60" s="199">
        <f t="shared" si="52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112.0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3">C61/100</f>
        <v>0</v>
      </c>
      <c r="X61" s="199">
        <f t="shared" si="53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113.0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4">C62/100</f>
        <v>0</v>
      </c>
      <c r="X62" s="199">
        <f t="shared" si="54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114.0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5">C63/100</f>
        <v>0</v>
      </c>
      <c r="X63" s="199">
        <f t="shared" si="55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115.0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6">C64/100</f>
        <v>0</v>
      </c>
      <c r="X64" s="199">
        <f t="shared" si="56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116.0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7">C65/100</f>
        <v>0</v>
      </c>
      <c r="X65" s="199">
        <f t="shared" si="57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117.0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8">C66/100</f>
        <v>0</v>
      </c>
      <c r="X66" s="199">
        <f t="shared" si="58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118.0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9">C67/100</f>
        <v>0</v>
      </c>
      <c r="X67" s="199">
        <f t="shared" si="59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119.0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60">C68/100</f>
        <v>0</v>
      </c>
      <c r="X68" s="199">
        <f t="shared" si="60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120.0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61">C69/100</f>
        <v>0</v>
      </c>
      <c r="X69" s="199">
        <f t="shared" si="61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121.0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2">C70/100</f>
        <v>0</v>
      </c>
      <c r="X70" s="199">
        <f t="shared" si="62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122.0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3">C71/100</f>
        <v>0</v>
      </c>
      <c r="X71" s="199">
        <f t="shared" si="63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123.0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4">C72/100</f>
        <v>0</v>
      </c>
      <c r="X72" s="199">
        <f t="shared" si="64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124.0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5">C73/100</f>
        <v>0</v>
      </c>
      <c r="X73" s="199">
        <f t="shared" si="65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125.0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6">C74/100</f>
        <v>0</v>
      </c>
      <c r="X74" s="199">
        <f t="shared" si="66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126.0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7">C75/100</f>
        <v>0</v>
      </c>
      <c r="X75" s="199">
        <f t="shared" si="67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127.0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8">C76/100</f>
        <v>0</v>
      </c>
      <c r="X76" s="199">
        <f t="shared" si="68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128.0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9">C77/100</f>
        <v>0</v>
      </c>
      <c r="X77" s="199">
        <f t="shared" si="69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129.0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70">C78/100</f>
        <v>0</v>
      </c>
      <c r="X78" s="199">
        <f t="shared" si="70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130.0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71">C79/100</f>
        <v>0</v>
      </c>
      <c r="X79" s="199">
        <f t="shared" si="71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131.0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2">C80/100</f>
        <v>0</v>
      </c>
      <c r="X80" s="199">
        <f t="shared" si="72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132.0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3">C81/100</f>
        <v>0</v>
      </c>
      <c r="X81" s="199">
        <f t="shared" si="73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133.0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4">C82/100</f>
        <v>0</v>
      </c>
      <c r="X82" s="199">
        <f t="shared" si="74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134.0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5">C83/100</f>
        <v>0</v>
      </c>
      <c r="X83" s="199">
        <f t="shared" si="75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135.0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6">C84/100</f>
        <v>0</v>
      </c>
      <c r="X84" s="199">
        <f t="shared" si="76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136.0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7">C85/100</f>
        <v>0</v>
      </c>
      <c r="X85" s="199">
        <f t="shared" si="77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137.0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8">C86/100</f>
        <v>0</v>
      </c>
      <c r="X86" s="199">
        <f t="shared" si="78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138.0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9">C87/100</f>
        <v>0</v>
      </c>
      <c r="X87" s="199">
        <f t="shared" si="79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139.0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80">C88/100</f>
        <v>0</v>
      </c>
      <c r="X88" s="199">
        <f t="shared" si="80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140.0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81">C89/100</f>
        <v>0</v>
      </c>
      <c r="X89" s="199">
        <f t="shared" si="81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141.0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2">C90/100</f>
        <v>0</v>
      </c>
      <c r="X90" s="199">
        <f t="shared" si="82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142.0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3">C91/100</f>
        <v>0</v>
      </c>
      <c r="X91" s="199">
        <f t="shared" si="83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143.0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4">C92/100</f>
        <v>0</v>
      </c>
      <c r="X92" s="199">
        <f t="shared" si="84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144.0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5">C93/100</f>
        <v>0</v>
      </c>
      <c r="X93" s="199">
        <f t="shared" si="85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145.0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6">C94/100</f>
        <v>0</v>
      </c>
      <c r="X94" s="199">
        <f t="shared" si="86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146.0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7">C95/100</f>
        <v>0</v>
      </c>
      <c r="X95" s="199">
        <f t="shared" si="87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147.0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8">C96/100</f>
        <v>0</v>
      </c>
      <c r="X96" s="199">
        <f t="shared" si="88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148.0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9">C97/100</f>
        <v>0</v>
      </c>
      <c r="X97" s="199">
        <f t="shared" si="89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149.0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90">C98/100</f>
        <v>0</v>
      </c>
      <c r="X98" s="199">
        <f t="shared" si="90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150.0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91">C99/100</f>
        <v>0</v>
      </c>
      <c r="X99" s="199">
        <f t="shared" si="91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151.0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2">C100/100</f>
        <v>0</v>
      </c>
      <c r="X100" s="199">
        <f t="shared" si="92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152.0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3">C101/100</f>
        <v>0</v>
      </c>
      <c r="X101" s="199">
        <f t="shared" si="93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153.0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4">C102/100</f>
        <v>0</v>
      </c>
      <c r="X102" s="199">
        <f t="shared" si="94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154.0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5">C103/100</f>
        <v>0</v>
      </c>
      <c r="X103" s="199">
        <f t="shared" si="95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155.0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6">C104/100</f>
        <v>0</v>
      </c>
      <c r="X104" s="199">
        <f t="shared" si="96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156.0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7">C105/100</f>
        <v>0</v>
      </c>
      <c r="X105" s="199">
        <f t="shared" si="97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157.0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8">C106/100</f>
        <v>0</v>
      </c>
      <c r="X106" s="199">
        <f t="shared" si="98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158.0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9">C107/100</f>
        <v>0</v>
      </c>
      <c r="X107" s="199">
        <f t="shared" si="99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159.0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100">C108/100</f>
        <v>0</v>
      </c>
      <c r="X108" s="199">
        <f t="shared" si="100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160.0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101">C109/100</f>
        <v>0</v>
      </c>
      <c r="X109" s="199">
        <f t="shared" si="101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161.0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2">C110/100</f>
        <v>0</v>
      </c>
      <c r="X110" s="199">
        <f t="shared" si="102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162.0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3">C111/100</f>
        <v>0</v>
      </c>
      <c r="X111" s="199">
        <f t="shared" si="103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163.0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4">C112/100</f>
        <v>0</v>
      </c>
      <c r="X112" s="199">
        <f t="shared" si="104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164.0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5">C113/100</f>
        <v>0</v>
      </c>
      <c r="X113" s="199">
        <f t="shared" si="105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165.0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6">C114/100</f>
        <v>0</v>
      </c>
      <c r="X114" s="199">
        <f t="shared" si="106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166.0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7">C115/100</f>
        <v>0</v>
      </c>
      <c r="X115" s="199">
        <f t="shared" si="107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167.0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8">C116/100</f>
        <v>0</v>
      </c>
      <c r="X116" s="199">
        <f t="shared" si="108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168.0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9">C117/100</f>
        <v>0</v>
      </c>
      <c r="X117" s="199">
        <f t="shared" si="109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169.0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10">C118/100</f>
        <v>0</v>
      </c>
      <c r="X118" s="199">
        <f t="shared" si="110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170.0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11">C119/100</f>
        <v>0</v>
      </c>
      <c r="X119" s="199">
        <f t="shared" si="111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171.0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2">C120/100</f>
        <v>0</v>
      </c>
      <c r="X120" s="199">
        <f t="shared" si="112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172.0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3">C121/100</f>
        <v>0</v>
      </c>
      <c r="X121" s="199">
        <f t="shared" si="113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173.0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4">C122/100</f>
        <v>0</v>
      </c>
      <c r="X122" s="199">
        <f t="shared" si="114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174.0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5">C123/100</f>
        <v>0</v>
      </c>
      <c r="X123" s="199">
        <f t="shared" si="115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175.0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6">C124/100</f>
        <v>0</v>
      </c>
      <c r="X124" s="199">
        <f t="shared" si="116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176.0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7">C125/100</f>
        <v>0</v>
      </c>
      <c r="X125" s="199">
        <f t="shared" si="117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177.0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8">C126/100</f>
        <v>0</v>
      </c>
      <c r="X126" s="199">
        <f t="shared" si="118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178.0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9">C127/100</f>
        <v>0</v>
      </c>
      <c r="X127" s="199">
        <f t="shared" si="119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179.0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20">C128/100</f>
        <v>0</v>
      </c>
      <c r="X128" s="199">
        <f t="shared" si="120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180.0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21">C129/100</f>
        <v>0</v>
      </c>
      <c r="X129" s="199">
        <f t="shared" si="121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181.0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2">C130/100</f>
        <v>0</v>
      </c>
      <c r="X130" s="199">
        <f t="shared" si="122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182.0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3">C131/100</f>
        <v>0</v>
      </c>
      <c r="X131" s="199">
        <f t="shared" si="123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183.0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4">C132/100</f>
        <v>0</v>
      </c>
      <c r="X132" s="199">
        <f t="shared" si="124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184.0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5">C133/100</f>
        <v>0</v>
      </c>
      <c r="X133" s="199">
        <f t="shared" si="125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185.0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6">C134/100</f>
        <v>0</v>
      </c>
      <c r="X134" s="199">
        <f t="shared" si="126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186.0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7">C135/100</f>
        <v>0</v>
      </c>
      <c r="X135" s="199">
        <f t="shared" si="127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187.0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8">C136/100</f>
        <v>0</v>
      </c>
      <c r="X136" s="199">
        <f t="shared" si="128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188.0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9">C137/100</f>
        <v>0</v>
      </c>
      <c r="X137" s="199">
        <f t="shared" si="129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189.0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30">C138/100</f>
        <v>0</v>
      </c>
      <c r="X138" s="199">
        <f t="shared" si="130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190.0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31">C139/100</f>
        <v>0</v>
      </c>
      <c r="X139" s="199">
        <f t="shared" si="131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191.0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2">C140/100</f>
        <v>0</v>
      </c>
      <c r="X140" s="199">
        <f t="shared" si="132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192.0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3">C141/100</f>
        <v>0</v>
      </c>
      <c r="X141" s="199">
        <f t="shared" si="133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193.0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4">C142/100</f>
        <v>0</v>
      </c>
      <c r="X142" s="199">
        <f t="shared" si="134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194.0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5">C143/100</f>
        <v>0</v>
      </c>
      <c r="X143" s="199">
        <f t="shared" si="135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195.0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6">C144/100</f>
        <v>0</v>
      </c>
      <c r="X144" s="199">
        <f t="shared" si="136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196.0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7">C145/100</f>
        <v>0</v>
      </c>
      <c r="X145" s="199">
        <f t="shared" si="137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197.0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8">C146/100</f>
        <v>0</v>
      </c>
      <c r="X146" s="199">
        <f t="shared" si="138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198.0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9">C147/100</f>
        <v>0</v>
      </c>
      <c r="X147" s="199">
        <f t="shared" si="139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199.0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40">C148/100</f>
        <v>0</v>
      </c>
      <c r="X148" s="199">
        <f t="shared" si="140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200.0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41">C149/100</f>
        <v>0</v>
      </c>
      <c r="X149" s="199">
        <f t="shared" si="141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201.0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2">C150/100</f>
        <v>0</v>
      </c>
      <c r="X150" s="199">
        <f t="shared" si="142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202.0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3">C151/100</f>
        <v>0</v>
      </c>
      <c r="X151" s="199">
        <f t="shared" si="143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203.0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4">C152/100</f>
        <v>0</v>
      </c>
      <c r="X152" s="199">
        <f t="shared" si="144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204.0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5">C153/100</f>
        <v>0</v>
      </c>
      <c r="X153" s="199">
        <f t="shared" si="145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205.0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6">C154/100</f>
        <v>0</v>
      </c>
      <c r="X154" s="199">
        <f t="shared" si="146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206.0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7">C155/100</f>
        <v>0</v>
      </c>
      <c r="X155" s="199">
        <f t="shared" si="147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207.0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8">C156/100</f>
        <v>0</v>
      </c>
      <c r="X156" s="199">
        <f t="shared" si="148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208.0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9">C157/100</f>
        <v>0</v>
      </c>
      <c r="X157" s="199">
        <f t="shared" si="149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209.0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50">C158/100</f>
        <v>0</v>
      </c>
      <c r="X158" s="199">
        <f t="shared" si="150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210.0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51">C159/100</f>
        <v>0</v>
      </c>
      <c r="X159" s="199">
        <f t="shared" si="151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211.0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2">C160/100</f>
        <v>0</v>
      </c>
      <c r="X160" s="199">
        <f t="shared" si="152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212.0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3">C161/100</f>
        <v>0</v>
      </c>
      <c r="X161" s="199">
        <f t="shared" si="153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213.0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4">C162/100</f>
        <v>0</v>
      </c>
      <c r="X162" s="199">
        <f t="shared" si="154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214.0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5">C163/100</f>
        <v>0</v>
      </c>
      <c r="X163" s="199">
        <f t="shared" si="155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215.0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6">C164/100</f>
        <v>0</v>
      </c>
      <c r="X164" s="199">
        <f t="shared" si="156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216.0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7">C165/100</f>
        <v>0</v>
      </c>
      <c r="X165" s="199">
        <f t="shared" si="157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217.0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8">C166/100</f>
        <v>0</v>
      </c>
      <c r="X166" s="199">
        <f t="shared" si="158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customHeight="1">
      <c r="A167" s="162"/>
      <c r="B167" s="178"/>
      <c r="C167" s="178"/>
      <c r="D167" s="178"/>
      <c r="E167" s="178"/>
      <c r="F167" s="178"/>
      <c r="G167" s="178"/>
      <c r="H167" s="181"/>
      <c r="I167" s="162"/>
      <c r="J167" s="204">
        <f>+Q216</f>
        <v>68</v>
      </c>
      <c r="K167" s="139"/>
      <c r="L167" s="139"/>
      <c r="M167" s="139"/>
      <c r="N167" s="139"/>
      <c r="O167" s="139"/>
      <c r="P167" s="139"/>
      <c r="Q167" s="139"/>
      <c r="R167" s="205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9">C167/100</f>
        <v>0</v>
      </c>
      <c r="X167" s="199">
        <f t="shared" si="159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customHeight="1">
      <c r="A168" s="162"/>
      <c r="B168" s="206"/>
      <c r="C168" s="206"/>
      <c r="D168" s="206"/>
      <c r="E168" s="206"/>
      <c r="F168" s="206"/>
      <c r="G168" s="206"/>
      <c r="H168" s="207"/>
      <c r="I168" s="208">
        <f>SUM(I25:I166)</f>
        <v>25</v>
      </c>
      <c r="J168" s="209">
        <f>SUM(J25:J167)</f>
        <v>21560.79494</v>
      </c>
      <c r="K168" s="210"/>
      <c r="L168" s="210"/>
      <c r="M168" s="210"/>
      <c r="N168" s="210"/>
      <c r="O168" s="210"/>
      <c r="P168" s="210"/>
      <c r="Q168" s="210"/>
      <c r="R168" s="141"/>
      <c r="S168" s="210">
        <f>SUMIFS($T$25:$T$166,$S$25:$S$166,"&gt;=3")</f>
        <v>15</v>
      </c>
      <c r="T168" s="210">
        <f t="shared" ref="T168:U168" si="160">SUM(T25:T166)</f>
        <v>25</v>
      </c>
      <c r="U168" s="210">
        <f t="shared" si="160"/>
        <v>447.49</v>
      </c>
      <c r="V168" s="210"/>
      <c r="W168" s="210"/>
      <c r="X168" s="210"/>
      <c r="Y168" s="210"/>
      <c r="Z168" s="211">
        <f>SUM(Z25:Z167)</f>
        <v>923.168551</v>
      </c>
      <c r="AA168" s="210"/>
      <c r="AB168" s="210"/>
      <c r="AC168" s="210"/>
      <c r="AD168" s="210"/>
      <c r="AE168" s="210"/>
      <c r="AF168" s="210"/>
      <c r="AG168" s="210"/>
      <c r="AH168" s="210"/>
      <c r="AI168" s="210"/>
      <c r="AJ168" s="210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</row>
    <row r="169" ht="29.25" customHeight="1">
      <c r="A169" s="139"/>
      <c r="B169" s="139"/>
      <c r="C169" s="139"/>
      <c r="D169" s="139"/>
      <c r="E169" s="139"/>
      <c r="F169" s="139"/>
      <c r="G169" s="139"/>
      <c r="H169" s="140"/>
      <c r="I169" s="139"/>
      <c r="J169" s="139"/>
      <c r="K169" s="139"/>
      <c r="L169" s="139"/>
      <c r="M169" s="139"/>
      <c r="N169" s="139"/>
      <c r="O169" s="139"/>
      <c r="P169" s="139"/>
      <c r="Q169" s="139"/>
      <c r="R169" s="141"/>
      <c r="S169" s="203"/>
      <c r="T169" s="139">
        <f>+T168-S168</f>
        <v>10</v>
      </c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9.25" customHeight="1">
      <c r="A170" s="139"/>
      <c r="B170" s="139"/>
      <c r="C170" s="139"/>
      <c r="D170" s="139"/>
      <c r="E170" s="139"/>
      <c r="F170" s="139"/>
      <c r="G170" s="139"/>
      <c r="H170" s="140"/>
      <c r="I170" s="139"/>
      <c r="J170" s="139"/>
      <c r="K170" s="139"/>
      <c r="L170" s="139"/>
      <c r="M170" s="139"/>
      <c r="N170" s="139"/>
      <c r="O170" s="139"/>
      <c r="P170" s="139"/>
      <c r="Q170" s="139"/>
      <c r="R170" s="205"/>
      <c r="S170" s="139"/>
      <c r="T170" s="139" t="s">
        <v>48</v>
      </c>
      <c r="U170" s="139" t="s">
        <v>68</v>
      </c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9.25" customHeight="1">
      <c r="A171" s="139"/>
      <c r="B171" s="139"/>
      <c r="C171" s="139"/>
      <c r="D171" s="139"/>
      <c r="E171" s="139"/>
      <c r="F171" s="139"/>
      <c r="G171" s="139"/>
      <c r="H171" s="140"/>
      <c r="I171" s="139"/>
      <c r="J171" s="139"/>
      <c r="K171" s="139"/>
      <c r="L171" s="139"/>
      <c r="M171" s="139"/>
      <c r="N171" s="139"/>
      <c r="O171" s="139"/>
      <c r="P171" s="139"/>
      <c r="Q171" s="139"/>
      <c r="R171" s="141"/>
      <c r="S171" s="139" t="s">
        <v>31</v>
      </c>
      <c r="T171" s="212">
        <f>SUMIFS($J$25:$J$166,$S$25:$S$166,"&gt;=3")</f>
        <v>20671.38712</v>
      </c>
      <c r="U171" s="213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9.25" customHeight="1">
      <c r="A172" s="139" t="s">
        <v>32</v>
      </c>
      <c r="B172" s="139"/>
      <c r="C172" s="139"/>
      <c r="D172" s="139" t="s">
        <v>33</v>
      </c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139" t="s">
        <v>34</v>
      </c>
      <c r="T172" s="266">
        <f>J168-T171</f>
        <v>889.407824</v>
      </c>
      <c r="U172" s="213">
        <f>+SUMIFS($U$25:$U$166,$S$25:$S$166,"&gt;=3")</f>
        <v>428.77</v>
      </c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9.2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05"/>
      <c r="S173" s="139"/>
      <c r="T173" s="214">
        <f>+I168</f>
        <v>25</v>
      </c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39.0" customHeight="1">
      <c r="A174" s="178"/>
      <c r="B174" s="162" t="s">
        <v>12</v>
      </c>
      <c r="C174" s="179" t="s">
        <v>69</v>
      </c>
      <c r="D174" s="52"/>
      <c r="E174" s="53"/>
      <c r="F174" s="180"/>
      <c r="G174" s="180"/>
      <c r="H174" s="181" t="s">
        <v>14</v>
      </c>
      <c r="I174" s="162" t="s">
        <v>15</v>
      </c>
      <c r="J174" s="162" t="s">
        <v>16</v>
      </c>
      <c r="K174" s="139"/>
      <c r="L174" s="139"/>
      <c r="M174" s="139"/>
      <c r="N174" s="139"/>
      <c r="O174" s="139"/>
      <c r="P174" s="139"/>
      <c r="Q174" s="139"/>
      <c r="R174" s="141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customHeight="1">
      <c r="A175" s="155">
        <v>1.0</v>
      </c>
      <c r="B175" s="215" t="s">
        <v>102</v>
      </c>
      <c r="C175" s="215">
        <v>88.0</v>
      </c>
      <c r="D175" s="215">
        <v>223.0</v>
      </c>
      <c r="E175" s="215">
        <v>185.0</v>
      </c>
      <c r="F175" s="215">
        <f t="shared" ref="F175:F186" si="161">1-VALUE(IF(RIGHT(B175, 1)="%", RIGHT(B175, 3), 0))</f>
        <v>0.2</v>
      </c>
      <c r="G175" s="215">
        <f t="shared" ref="G175:G186" si="162">+Q175*C175/100*D175/100*E175/100</f>
        <v>0</v>
      </c>
      <c r="H175" s="216">
        <f t="shared" ref="H175:H186" si="163">IF(F175=0, G175, F175*G175)</f>
        <v>0</v>
      </c>
      <c r="I175" s="215">
        <v>1.0</v>
      </c>
      <c r="J175" s="217">
        <v>81.68490000000001</v>
      </c>
      <c r="K175" s="139"/>
      <c r="L175" s="178">
        <f t="shared" ref="L175:L181" si="164">D175*25.4/1000</f>
        <v>5.6642</v>
      </c>
      <c r="M175" s="162">
        <f t="shared" ref="M175:M177" si="165">+I175</f>
        <v>1</v>
      </c>
      <c r="N175" s="162">
        <f t="shared" ref="N175:N177" si="166">M175*L175</f>
        <v>5.6642</v>
      </c>
      <c r="O175" s="139"/>
      <c r="P175" s="139"/>
      <c r="Q175" s="139"/>
      <c r="R175" s="141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customHeight="1">
      <c r="A176" s="155">
        <v>2.0</v>
      </c>
      <c r="B176" s="215" t="s">
        <v>103</v>
      </c>
      <c r="C176" s="215">
        <v>95.0</v>
      </c>
      <c r="D176" s="215">
        <v>199.0</v>
      </c>
      <c r="E176" s="215">
        <v>189.0</v>
      </c>
      <c r="F176" s="215">
        <f t="shared" si="161"/>
        <v>0.2</v>
      </c>
      <c r="G176" s="215">
        <f t="shared" si="162"/>
        <v>0</v>
      </c>
      <c r="H176" s="216">
        <f t="shared" si="163"/>
        <v>0</v>
      </c>
      <c r="I176" s="215">
        <v>1.0</v>
      </c>
      <c r="J176" s="217">
        <v>64.31481000000001</v>
      </c>
      <c r="K176" s="139"/>
      <c r="L176" s="178">
        <f t="shared" si="164"/>
        <v>5.0546</v>
      </c>
      <c r="M176" s="162">
        <f t="shared" si="165"/>
        <v>1</v>
      </c>
      <c r="N176" s="162">
        <f t="shared" si="166"/>
        <v>5.0546</v>
      </c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customHeight="1">
      <c r="A177" s="155">
        <v>3.0</v>
      </c>
      <c r="B177" s="218" t="s">
        <v>63</v>
      </c>
      <c r="C177" s="218">
        <v>94.0</v>
      </c>
      <c r="D177" s="218">
        <v>202.0</v>
      </c>
      <c r="E177" s="218">
        <v>193.0</v>
      </c>
      <c r="F177" s="218">
        <f t="shared" si="161"/>
        <v>0.2</v>
      </c>
      <c r="G177" s="218">
        <f t="shared" si="162"/>
        <v>0</v>
      </c>
      <c r="H177" s="219">
        <f t="shared" si="163"/>
        <v>0</v>
      </c>
      <c r="I177" s="218">
        <v>1.0</v>
      </c>
      <c r="J177" s="195">
        <v>109.94051999999999</v>
      </c>
      <c r="K177" s="139"/>
      <c r="L177" s="178">
        <f t="shared" si="164"/>
        <v>5.1308</v>
      </c>
      <c r="M177" s="162">
        <f t="shared" si="165"/>
        <v>1</v>
      </c>
      <c r="N177" s="162">
        <f t="shared" si="166"/>
        <v>5.1308</v>
      </c>
      <c r="O177" s="139"/>
      <c r="P177" s="139"/>
      <c r="Q177" s="139"/>
      <c r="R177" s="139"/>
      <c r="S177" s="220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55">
        <v>6.0</v>
      </c>
      <c r="B178" s="218"/>
      <c r="C178" s="218"/>
      <c r="D178" s="218"/>
      <c r="E178" s="218"/>
      <c r="F178" s="218">
        <f t="shared" si="161"/>
        <v>1</v>
      </c>
      <c r="G178" s="218">
        <f t="shared" si="162"/>
        <v>0</v>
      </c>
      <c r="H178" s="219">
        <f t="shared" si="163"/>
        <v>0</v>
      </c>
      <c r="I178" s="218"/>
      <c r="J178" s="195">
        <f t="shared" ref="J178:J186" si="167">+I178*H178</f>
        <v>0</v>
      </c>
      <c r="K178" s="139"/>
      <c r="L178" s="139">
        <f t="shared" si="164"/>
        <v>0</v>
      </c>
      <c r="M178" s="221"/>
      <c r="N178" s="221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55">
        <v>7.0</v>
      </c>
      <c r="B179" s="218"/>
      <c r="C179" s="218"/>
      <c r="D179" s="218"/>
      <c r="E179" s="218"/>
      <c r="F179" s="218">
        <f t="shared" si="161"/>
        <v>1</v>
      </c>
      <c r="G179" s="218">
        <f t="shared" si="162"/>
        <v>0</v>
      </c>
      <c r="H179" s="219">
        <f t="shared" si="163"/>
        <v>0</v>
      </c>
      <c r="I179" s="218"/>
      <c r="J179" s="195">
        <f t="shared" si="167"/>
        <v>0</v>
      </c>
      <c r="K179" s="139"/>
      <c r="L179" s="139">
        <f t="shared" si="164"/>
        <v>0</v>
      </c>
      <c r="M179" s="221"/>
      <c r="N179" s="221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55">
        <v>8.0</v>
      </c>
      <c r="B180" s="218"/>
      <c r="C180" s="218"/>
      <c r="D180" s="218"/>
      <c r="E180" s="218"/>
      <c r="F180" s="218">
        <f t="shared" si="161"/>
        <v>1</v>
      </c>
      <c r="G180" s="218">
        <f t="shared" si="162"/>
        <v>0</v>
      </c>
      <c r="H180" s="219">
        <f t="shared" si="163"/>
        <v>0</v>
      </c>
      <c r="I180" s="218"/>
      <c r="J180" s="195">
        <f t="shared" si="167"/>
        <v>0</v>
      </c>
      <c r="K180" s="139"/>
      <c r="L180" s="139">
        <f t="shared" si="164"/>
        <v>0</v>
      </c>
      <c r="M180" s="221"/>
      <c r="N180" s="221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5">
        <v>9.0</v>
      </c>
      <c r="B181" s="218"/>
      <c r="C181" s="218"/>
      <c r="D181" s="218"/>
      <c r="E181" s="218"/>
      <c r="F181" s="218">
        <f t="shared" si="161"/>
        <v>1</v>
      </c>
      <c r="G181" s="218">
        <f t="shared" si="162"/>
        <v>0</v>
      </c>
      <c r="H181" s="219">
        <f t="shared" si="163"/>
        <v>0</v>
      </c>
      <c r="I181" s="218"/>
      <c r="J181" s="195">
        <f t="shared" si="167"/>
        <v>0</v>
      </c>
      <c r="K181" s="139"/>
      <c r="L181" s="139">
        <f t="shared" si="164"/>
        <v>0</v>
      </c>
      <c r="M181" s="221"/>
      <c r="N181" s="221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55">
        <v>10.0</v>
      </c>
      <c r="B182" s="193"/>
      <c r="C182" s="193"/>
      <c r="D182" s="193"/>
      <c r="E182" s="193"/>
      <c r="F182" s="193">
        <f t="shared" si="161"/>
        <v>1</v>
      </c>
      <c r="G182" s="193">
        <f t="shared" si="162"/>
        <v>0</v>
      </c>
      <c r="H182" s="194">
        <f t="shared" si="163"/>
        <v>0</v>
      </c>
      <c r="I182" s="193"/>
      <c r="J182" s="195">
        <f t="shared" si="167"/>
        <v>0</v>
      </c>
      <c r="K182" s="139"/>
      <c r="L182" s="139"/>
      <c r="M182" s="221"/>
      <c r="N182" s="221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55">
        <v>11.0</v>
      </c>
      <c r="B183" s="193"/>
      <c r="C183" s="193"/>
      <c r="D183" s="193"/>
      <c r="E183" s="193"/>
      <c r="F183" s="193">
        <f t="shared" si="161"/>
        <v>1</v>
      </c>
      <c r="G183" s="193">
        <f t="shared" si="162"/>
        <v>0</v>
      </c>
      <c r="H183" s="194">
        <f t="shared" si="163"/>
        <v>0</v>
      </c>
      <c r="I183" s="193"/>
      <c r="J183" s="195">
        <f t="shared" si="167"/>
        <v>0</v>
      </c>
      <c r="K183" s="139"/>
      <c r="L183" s="139"/>
      <c r="M183" s="221"/>
      <c r="N183" s="221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55">
        <v>12.0</v>
      </c>
      <c r="B184" s="193"/>
      <c r="C184" s="193"/>
      <c r="D184" s="193"/>
      <c r="E184" s="193"/>
      <c r="F184" s="193">
        <f t="shared" si="161"/>
        <v>1</v>
      </c>
      <c r="G184" s="193">
        <f t="shared" si="162"/>
        <v>0</v>
      </c>
      <c r="H184" s="194">
        <f t="shared" si="163"/>
        <v>0</v>
      </c>
      <c r="I184" s="193"/>
      <c r="J184" s="195">
        <f t="shared" si="167"/>
        <v>0</v>
      </c>
      <c r="K184" s="139"/>
      <c r="L184" s="139"/>
      <c r="M184" s="221"/>
      <c r="N184" s="221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55">
        <v>13.0</v>
      </c>
      <c r="B185" s="193"/>
      <c r="C185" s="193"/>
      <c r="D185" s="193"/>
      <c r="E185" s="193"/>
      <c r="F185" s="193">
        <f t="shared" si="161"/>
        <v>1</v>
      </c>
      <c r="G185" s="193">
        <f t="shared" si="162"/>
        <v>0</v>
      </c>
      <c r="H185" s="194">
        <f t="shared" si="163"/>
        <v>0</v>
      </c>
      <c r="I185" s="193"/>
      <c r="J185" s="195">
        <f t="shared" si="167"/>
        <v>0</v>
      </c>
      <c r="K185" s="139"/>
      <c r="L185" s="139"/>
      <c r="M185" s="221"/>
      <c r="N185" s="221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55">
        <v>14.0</v>
      </c>
      <c r="B186" s="193"/>
      <c r="C186" s="193"/>
      <c r="D186" s="193"/>
      <c r="E186" s="193"/>
      <c r="F186" s="193">
        <f t="shared" si="161"/>
        <v>1</v>
      </c>
      <c r="G186" s="193">
        <f t="shared" si="162"/>
        <v>0</v>
      </c>
      <c r="H186" s="194">
        <f t="shared" si="163"/>
        <v>0</v>
      </c>
      <c r="I186" s="193"/>
      <c r="J186" s="195">
        <f t="shared" si="167"/>
        <v>0</v>
      </c>
      <c r="K186" s="139"/>
      <c r="L186" s="139"/>
      <c r="M186" s="221"/>
      <c r="N186" s="221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4.75" customHeight="1">
      <c r="A187" s="162"/>
      <c r="B187" s="197"/>
      <c r="C187" s="197"/>
      <c r="D187" s="197"/>
      <c r="E187" s="197"/>
      <c r="F187" s="197"/>
      <c r="G187" s="197"/>
      <c r="H187" s="222" t="s">
        <v>38</v>
      </c>
      <c r="I187" s="197"/>
      <c r="J187" s="223">
        <f>SUM(J175:J186)</f>
        <v>255.94023</v>
      </c>
      <c r="K187" s="139"/>
      <c r="L187" s="139"/>
      <c r="M187" s="139"/>
      <c r="N187" s="139"/>
      <c r="O187" s="139"/>
      <c r="P187" s="139"/>
      <c r="Q187" s="139"/>
      <c r="R187" s="141"/>
      <c r="S187" s="224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18.75" customHeight="1">
      <c r="A188" s="176"/>
      <c r="B188" s="144"/>
      <c r="C188" s="144"/>
      <c r="D188" s="144"/>
      <c r="E188" s="144"/>
      <c r="F188" s="144"/>
      <c r="G188" s="144"/>
      <c r="H188" s="145"/>
      <c r="I188" s="144"/>
      <c r="J188" s="177"/>
      <c r="K188" s="139"/>
      <c r="L188" s="139"/>
      <c r="M188" s="139"/>
      <c r="N188" s="139"/>
      <c r="O188" s="139"/>
      <c r="P188" s="139"/>
      <c r="Q188" s="139"/>
      <c r="R188" s="141"/>
      <c r="S188" s="224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18.7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141"/>
      <c r="S189" s="224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18.7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224"/>
      <c r="S190" s="224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18.75" customHeight="1">
      <c r="A191" s="139" t="s">
        <v>39</v>
      </c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24"/>
      <c r="S191" s="224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224"/>
      <c r="S192" s="224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42.0" customHeight="1">
      <c r="A193" s="178"/>
      <c r="B193" s="162" t="s">
        <v>12</v>
      </c>
      <c r="C193" s="179" t="s">
        <v>75</v>
      </c>
      <c r="D193" s="52"/>
      <c r="E193" s="53"/>
      <c r="F193" s="225"/>
      <c r="G193" s="225"/>
      <c r="H193" s="181" t="s">
        <v>14</v>
      </c>
      <c r="I193" s="226" t="s">
        <v>15</v>
      </c>
      <c r="J193" s="162" t="s">
        <v>16</v>
      </c>
      <c r="K193" s="139"/>
      <c r="L193" s="139"/>
      <c r="M193" s="139"/>
      <c r="N193" s="139"/>
      <c r="O193" s="139"/>
      <c r="P193" s="139"/>
      <c r="Q193" s="139"/>
      <c r="R193" s="224"/>
      <c r="S193" s="224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customHeight="1">
      <c r="A194" s="162">
        <v>1.0</v>
      </c>
      <c r="B194" s="183" t="s">
        <v>100</v>
      </c>
      <c r="C194" s="200"/>
      <c r="D194" s="200"/>
      <c r="E194" s="200"/>
      <c r="F194" s="200"/>
      <c r="G194" s="200"/>
      <c r="H194" s="227">
        <v>25.0</v>
      </c>
      <c r="I194" s="200">
        <v>1.0</v>
      </c>
      <c r="J194" s="195">
        <f t="shared" ref="J194:J214" si="168">+I194*H194</f>
        <v>25</v>
      </c>
      <c r="K194" s="178"/>
      <c r="L194" s="178"/>
      <c r="M194" s="178"/>
      <c r="N194" s="178"/>
      <c r="O194" s="178"/>
      <c r="P194" s="178"/>
      <c r="Q194" s="228"/>
      <c r="R194" s="224"/>
      <c r="S194" s="224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customHeight="1">
      <c r="A195" s="162">
        <v>2.0</v>
      </c>
      <c r="B195" s="193" t="s">
        <v>100</v>
      </c>
      <c r="C195" s="200"/>
      <c r="D195" s="200"/>
      <c r="E195" s="200"/>
      <c r="F195" s="200"/>
      <c r="G195" s="200"/>
      <c r="H195" s="227">
        <v>23.0</v>
      </c>
      <c r="I195" s="200">
        <v>1.0</v>
      </c>
      <c r="J195" s="195">
        <f t="shared" si="168"/>
        <v>23</v>
      </c>
      <c r="K195" s="178"/>
      <c r="L195" s="178"/>
      <c r="M195" s="178"/>
      <c r="N195" s="178"/>
      <c r="O195" s="178"/>
      <c r="P195" s="178"/>
      <c r="Q195" s="228"/>
      <c r="R195" s="224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4.75" customHeight="1">
      <c r="A196" s="162">
        <v>3.0</v>
      </c>
      <c r="B196" s="183" t="s">
        <v>81</v>
      </c>
      <c r="C196" s="200"/>
      <c r="D196" s="200"/>
      <c r="E196" s="200"/>
      <c r="F196" s="200"/>
      <c r="G196" s="200"/>
      <c r="H196" s="227">
        <v>25.0</v>
      </c>
      <c r="I196" s="200">
        <v>1.0</v>
      </c>
      <c r="J196" s="195">
        <f t="shared" si="168"/>
        <v>25</v>
      </c>
      <c r="K196" s="178"/>
      <c r="L196" s="178"/>
      <c r="M196" s="178"/>
      <c r="N196" s="178"/>
      <c r="O196" s="178"/>
      <c r="P196" s="178"/>
      <c r="Q196" s="228"/>
      <c r="R196" s="224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2">
        <v>4.0</v>
      </c>
      <c r="B197" s="193" t="s">
        <v>81</v>
      </c>
      <c r="C197" s="200"/>
      <c r="D197" s="200"/>
      <c r="E197" s="200"/>
      <c r="F197" s="200"/>
      <c r="G197" s="200"/>
      <c r="H197" s="227">
        <v>23.0</v>
      </c>
      <c r="I197" s="200">
        <v>1.0</v>
      </c>
      <c r="J197" s="195">
        <f t="shared" si="168"/>
        <v>23</v>
      </c>
      <c r="K197" s="178"/>
      <c r="L197" s="178"/>
      <c r="M197" s="178"/>
      <c r="N197" s="178"/>
      <c r="O197" s="178"/>
      <c r="P197" s="178"/>
      <c r="Q197" s="228"/>
      <c r="R197" s="224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customHeight="1">
      <c r="A198" s="162">
        <v>5.0</v>
      </c>
      <c r="B198" s="183" t="s">
        <v>55</v>
      </c>
      <c r="C198" s="200"/>
      <c r="D198" s="200"/>
      <c r="E198" s="200"/>
      <c r="F198" s="200"/>
      <c r="G198" s="200"/>
      <c r="H198" s="227">
        <v>41.0</v>
      </c>
      <c r="I198" s="200">
        <v>1.0</v>
      </c>
      <c r="J198" s="195">
        <f t="shared" si="168"/>
        <v>41</v>
      </c>
      <c r="K198" s="178"/>
      <c r="L198" s="178"/>
      <c r="M198" s="178"/>
      <c r="N198" s="178"/>
      <c r="O198" s="178"/>
      <c r="P198" s="178"/>
      <c r="Q198" s="228"/>
      <c r="R198" s="224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2">
        <v>6.0</v>
      </c>
      <c r="B199" s="193" t="s">
        <v>55</v>
      </c>
      <c r="C199" s="200"/>
      <c r="D199" s="200"/>
      <c r="E199" s="200"/>
      <c r="F199" s="200"/>
      <c r="G199" s="200"/>
      <c r="H199" s="227">
        <v>33.0</v>
      </c>
      <c r="I199" s="200">
        <v>1.0</v>
      </c>
      <c r="J199" s="195">
        <f t="shared" si="168"/>
        <v>33</v>
      </c>
      <c r="K199" s="178"/>
      <c r="L199" s="178"/>
      <c r="M199" s="178"/>
      <c r="N199" s="178"/>
      <c r="O199" s="178"/>
      <c r="P199" s="178"/>
      <c r="Q199" s="228"/>
      <c r="R199" s="224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hidden="1" customHeight="1">
      <c r="A200" s="162">
        <v>21.0</v>
      </c>
      <c r="B200" s="229"/>
      <c r="C200" s="200"/>
      <c r="D200" s="200"/>
      <c r="E200" s="200"/>
      <c r="F200" s="200"/>
      <c r="G200" s="200"/>
      <c r="H200" s="227"/>
      <c r="I200" s="200"/>
      <c r="J200" s="195">
        <f t="shared" si="168"/>
        <v>0</v>
      </c>
      <c r="K200" s="178"/>
      <c r="L200" s="178"/>
      <c r="M200" s="178"/>
      <c r="N200" s="178"/>
      <c r="O200" s="178"/>
      <c r="P200" s="178"/>
      <c r="Q200" s="228"/>
      <c r="R200" s="224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hidden="1" customHeight="1">
      <c r="A201" s="162">
        <v>22.0</v>
      </c>
      <c r="B201" s="229"/>
      <c r="C201" s="200"/>
      <c r="D201" s="200"/>
      <c r="E201" s="200"/>
      <c r="F201" s="200"/>
      <c r="G201" s="200"/>
      <c r="H201" s="227"/>
      <c r="I201" s="200"/>
      <c r="J201" s="195">
        <f t="shared" si="168"/>
        <v>0</v>
      </c>
      <c r="K201" s="178"/>
      <c r="L201" s="178"/>
      <c r="M201" s="178"/>
      <c r="N201" s="178"/>
      <c r="O201" s="178"/>
      <c r="P201" s="178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hidden="1" customHeight="1">
      <c r="A202" s="162">
        <v>23.0</v>
      </c>
      <c r="B202" s="229"/>
      <c r="C202" s="200"/>
      <c r="D202" s="200"/>
      <c r="E202" s="200"/>
      <c r="F202" s="200"/>
      <c r="G202" s="200"/>
      <c r="H202" s="227"/>
      <c r="I202" s="200"/>
      <c r="J202" s="195">
        <f t="shared" si="168"/>
        <v>0</v>
      </c>
      <c r="K202" s="178"/>
      <c r="L202" s="178"/>
      <c r="M202" s="178"/>
      <c r="N202" s="178"/>
      <c r="O202" s="178"/>
      <c r="P202" s="178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2">
        <v>24.0</v>
      </c>
      <c r="B203" s="229"/>
      <c r="C203" s="200"/>
      <c r="D203" s="200"/>
      <c r="E203" s="200"/>
      <c r="F203" s="200"/>
      <c r="G203" s="200"/>
      <c r="H203" s="227"/>
      <c r="I203" s="200"/>
      <c r="J203" s="195">
        <f t="shared" si="168"/>
        <v>0</v>
      </c>
      <c r="K203" s="178"/>
      <c r="L203" s="178"/>
      <c r="M203" s="178"/>
      <c r="N203" s="178"/>
      <c r="O203" s="178"/>
      <c r="P203" s="178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hidden="1" customHeight="1">
      <c r="A204" s="162">
        <v>25.0</v>
      </c>
      <c r="B204" s="229"/>
      <c r="C204" s="200"/>
      <c r="D204" s="200"/>
      <c r="E204" s="200"/>
      <c r="F204" s="200"/>
      <c r="G204" s="200"/>
      <c r="H204" s="227"/>
      <c r="I204" s="200"/>
      <c r="J204" s="195">
        <f t="shared" si="168"/>
        <v>0</v>
      </c>
      <c r="K204" s="178"/>
      <c r="L204" s="178"/>
      <c r="M204" s="178"/>
      <c r="N204" s="178"/>
      <c r="O204" s="178"/>
      <c r="P204" s="178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hidden="1" customHeight="1">
      <c r="A205" s="162">
        <v>26.0</v>
      </c>
      <c r="B205" s="229"/>
      <c r="C205" s="200"/>
      <c r="D205" s="200"/>
      <c r="E205" s="200"/>
      <c r="F205" s="200"/>
      <c r="G205" s="200"/>
      <c r="H205" s="227"/>
      <c r="I205" s="200"/>
      <c r="J205" s="195">
        <f t="shared" si="168"/>
        <v>0</v>
      </c>
      <c r="K205" s="178"/>
      <c r="L205" s="178"/>
      <c r="M205" s="178"/>
      <c r="N205" s="178"/>
      <c r="O205" s="178"/>
      <c r="P205" s="178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hidden="1" customHeight="1">
      <c r="A206" s="162">
        <v>27.0</v>
      </c>
      <c r="B206" s="229"/>
      <c r="C206" s="200"/>
      <c r="D206" s="200"/>
      <c r="E206" s="200"/>
      <c r="F206" s="200"/>
      <c r="G206" s="200"/>
      <c r="H206" s="200"/>
      <c r="I206" s="200"/>
      <c r="J206" s="195">
        <f t="shared" si="168"/>
        <v>0</v>
      </c>
      <c r="K206" s="178"/>
      <c r="L206" s="178"/>
      <c r="M206" s="178"/>
      <c r="N206" s="178"/>
      <c r="O206" s="178"/>
      <c r="P206" s="178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2">
        <v>28.0</v>
      </c>
      <c r="B207" s="229"/>
      <c r="C207" s="200"/>
      <c r="D207" s="200"/>
      <c r="E207" s="200"/>
      <c r="F207" s="200"/>
      <c r="G207" s="200"/>
      <c r="H207" s="200"/>
      <c r="I207" s="200"/>
      <c r="J207" s="195">
        <f t="shared" si="168"/>
        <v>0</v>
      </c>
      <c r="K207" s="178"/>
      <c r="L207" s="178"/>
      <c r="M207" s="178"/>
      <c r="N207" s="178"/>
      <c r="O207" s="178"/>
      <c r="P207" s="178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2">
        <v>29.0</v>
      </c>
      <c r="B208" s="230"/>
      <c r="C208" s="200"/>
      <c r="D208" s="200"/>
      <c r="E208" s="200"/>
      <c r="F208" s="200"/>
      <c r="G208" s="200"/>
      <c r="H208" s="200"/>
      <c r="I208" s="200"/>
      <c r="J208" s="195">
        <f t="shared" si="168"/>
        <v>0</v>
      </c>
      <c r="K208" s="178"/>
      <c r="L208" s="178"/>
      <c r="M208" s="178"/>
      <c r="N208" s="178"/>
      <c r="O208" s="178"/>
      <c r="P208" s="178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2">
        <v>30.0</v>
      </c>
      <c r="B209" s="230"/>
      <c r="C209" s="200"/>
      <c r="D209" s="200"/>
      <c r="E209" s="200"/>
      <c r="F209" s="200"/>
      <c r="G209" s="200"/>
      <c r="H209" s="227"/>
      <c r="I209" s="200"/>
      <c r="J209" s="195">
        <f t="shared" si="168"/>
        <v>0</v>
      </c>
      <c r="K209" s="178"/>
      <c r="L209" s="178"/>
      <c r="M209" s="178"/>
      <c r="N209" s="178"/>
      <c r="O209" s="178"/>
      <c r="P209" s="178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2">
        <v>31.0</v>
      </c>
      <c r="B210" s="218"/>
      <c r="C210" s="200"/>
      <c r="D210" s="200"/>
      <c r="E210" s="200"/>
      <c r="F210" s="200"/>
      <c r="G210" s="200"/>
      <c r="H210" s="227"/>
      <c r="I210" s="200"/>
      <c r="J210" s="195">
        <f t="shared" si="168"/>
        <v>0</v>
      </c>
      <c r="K210" s="178"/>
      <c r="L210" s="178"/>
      <c r="M210" s="178"/>
      <c r="N210" s="178"/>
      <c r="O210" s="178"/>
      <c r="P210" s="178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2">
        <v>32.0</v>
      </c>
      <c r="B211" s="218"/>
      <c r="C211" s="162"/>
      <c r="D211" s="162"/>
      <c r="E211" s="162"/>
      <c r="F211" s="162"/>
      <c r="G211" s="162"/>
      <c r="H211" s="162"/>
      <c r="I211" s="162"/>
      <c r="J211" s="195">
        <f t="shared" si="168"/>
        <v>0</v>
      </c>
      <c r="K211" s="178"/>
      <c r="L211" s="178"/>
      <c r="M211" s="178"/>
      <c r="N211" s="178"/>
      <c r="O211" s="178"/>
      <c r="P211" s="178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hidden="1" customHeight="1">
      <c r="A212" s="162">
        <v>33.0</v>
      </c>
      <c r="B212" s="230"/>
      <c r="C212" s="162"/>
      <c r="D212" s="162"/>
      <c r="E212" s="162"/>
      <c r="F212" s="162"/>
      <c r="G212" s="162"/>
      <c r="H212" s="162"/>
      <c r="I212" s="162"/>
      <c r="J212" s="195">
        <f t="shared" si="168"/>
        <v>0</v>
      </c>
      <c r="K212" s="178"/>
      <c r="L212" s="178"/>
      <c r="M212" s="178"/>
      <c r="N212" s="178"/>
      <c r="O212" s="178"/>
      <c r="P212" s="178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2">
        <v>34.0</v>
      </c>
      <c r="B213" s="231"/>
      <c r="C213" s="162"/>
      <c r="D213" s="162"/>
      <c r="E213" s="162"/>
      <c r="F213" s="162"/>
      <c r="G213" s="162"/>
      <c r="H213" s="162"/>
      <c r="I213" s="162"/>
      <c r="J213" s="195">
        <f t="shared" si="168"/>
        <v>0</v>
      </c>
      <c r="K213" s="178"/>
      <c r="L213" s="178"/>
      <c r="M213" s="178"/>
      <c r="N213" s="178"/>
      <c r="O213" s="178"/>
      <c r="P213" s="178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2">
        <v>35.0</v>
      </c>
      <c r="B214" s="232"/>
      <c r="C214" s="162"/>
      <c r="D214" s="162"/>
      <c r="E214" s="162"/>
      <c r="F214" s="162"/>
      <c r="G214" s="162"/>
      <c r="H214" s="162"/>
      <c r="I214" s="162"/>
      <c r="J214" s="195">
        <f t="shared" si="168"/>
        <v>0</v>
      </c>
      <c r="K214" s="178"/>
      <c r="L214" s="178"/>
      <c r="M214" s="178"/>
      <c r="N214" s="178"/>
      <c r="O214" s="178"/>
      <c r="P214" s="178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 t="s">
        <v>38</v>
      </c>
      <c r="I215" s="139"/>
      <c r="J215" s="233">
        <f>SUM(J194:J214)</f>
        <v>170</v>
      </c>
      <c r="K215" s="234"/>
      <c r="L215" s="234"/>
      <c r="M215" s="234"/>
      <c r="N215" s="234"/>
      <c r="O215" s="234"/>
      <c r="P215" s="234"/>
      <c r="Q215" s="234"/>
      <c r="R215" s="139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44"/>
      <c r="B216" s="144"/>
      <c r="C216" s="144"/>
      <c r="D216" s="144"/>
      <c r="E216" s="144"/>
      <c r="F216" s="144"/>
      <c r="G216" s="144"/>
      <c r="H216" s="145"/>
      <c r="I216" s="175"/>
      <c r="J216" s="206">
        <f>+J215*60%</f>
        <v>102</v>
      </c>
      <c r="K216" s="206"/>
      <c r="L216" s="206"/>
      <c r="M216" s="206"/>
      <c r="N216" s="206"/>
      <c r="O216" s="206"/>
      <c r="P216" s="206"/>
      <c r="Q216" s="206">
        <f>+J215*40%</f>
        <v>68</v>
      </c>
      <c r="R216" s="139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/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139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39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9.5" customHeight="1">
      <c r="A219" s="235" t="s">
        <v>41</v>
      </c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39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57.0" customHeight="1">
      <c r="A220" s="236"/>
      <c r="B220" s="237" t="s">
        <v>42</v>
      </c>
      <c r="C220" s="237" t="s">
        <v>43</v>
      </c>
      <c r="D220" s="237" t="s">
        <v>44</v>
      </c>
      <c r="E220" s="237" t="s">
        <v>45</v>
      </c>
      <c r="F220" s="237"/>
      <c r="G220" s="237"/>
      <c r="H220" s="238" t="s">
        <v>46</v>
      </c>
      <c r="I220" s="239" t="s">
        <v>47</v>
      </c>
      <c r="J220" s="139"/>
      <c r="K220" s="139"/>
      <c r="L220" s="139"/>
      <c r="M220" s="139"/>
      <c r="N220" s="139"/>
      <c r="O220" s="139"/>
      <c r="P220" s="139"/>
      <c r="Q220" s="139"/>
      <c r="R220" s="141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240" t="s">
        <v>48</v>
      </c>
      <c r="B221" s="241">
        <f>+E18</f>
        <v>25882.4472</v>
      </c>
      <c r="C221" s="242">
        <f>+J168</f>
        <v>21560.79494</v>
      </c>
      <c r="D221" s="242">
        <f>+J187</f>
        <v>255.94023</v>
      </c>
      <c r="E221" s="243">
        <f>J216</f>
        <v>102</v>
      </c>
      <c r="F221" s="243"/>
      <c r="G221" s="243"/>
      <c r="H221" s="244">
        <f>+I18</f>
        <v>1539.174144</v>
      </c>
      <c r="I221" s="245">
        <f>+B221-C221-D221-E221-H221</f>
        <v>2424.537883</v>
      </c>
      <c r="J221" s="139"/>
      <c r="K221" s="139"/>
      <c r="L221" s="139"/>
      <c r="M221" s="139"/>
      <c r="N221" s="139"/>
      <c r="O221" s="139"/>
      <c r="P221" s="139"/>
      <c r="Q221" s="139"/>
      <c r="R221" s="141"/>
      <c r="S221" s="224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9.5" customHeight="1">
      <c r="A222" s="246" t="s">
        <v>49</v>
      </c>
      <c r="B222" s="247"/>
      <c r="C222" s="248">
        <f>+C221/B221</f>
        <v>0.83302768</v>
      </c>
      <c r="D222" s="248">
        <f>+D221/B221</f>
        <v>0.009888563783</v>
      </c>
      <c r="E222" s="248">
        <f>+E221/B221</f>
        <v>0.003940894739</v>
      </c>
      <c r="F222" s="248"/>
      <c r="G222" s="248"/>
      <c r="H222" s="249">
        <f>+H221/B221</f>
        <v>0.05946787537</v>
      </c>
      <c r="I222" s="250">
        <f>+I221/B221</f>
        <v>0.09367498614</v>
      </c>
      <c r="J222" s="139"/>
      <c r="K222" s="139"/>
      <c r="L222" s="139"/>
      <c r="M222" s="139"/>
      <c r="N222" s="139"/>
      <c r="O222" s="139"/>
      <c r="P222" s="139"/>
      <c r="Q222" s="139"/>
      <c r="R222" s="141"/>
      <c r="S222" s="224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9.5" customHeight="1">
      <c r="A223" s="165"/>
      <c r="B223" s="221"/>
      <c r="C223" s="251"/>
      <c r="D223" s="251"/>
      <c r="E223" s="251"/>
      <c r="F223" s="251"/>
      <c r="G223" s="251"/>
      <c r="H223" s="252"/>
      <c r="I223" s="253"/>
      <c r="J223" s="139"/>
      <c r="K223" s="139"/>
      <c r="L223" s="139"/>
      <c r="M223" s="139"/>
      <c r="N223" s="139"/>
      <c r="O223" s="139"/>
      <c r="P223" s="139"/>
      <c r="Q223" s="139"/>
      <c r="R223" s="141"/>
      <c r="S223" s="224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254"/>
      <c r="B224" s="255"/>
      <c r="C224" s="255"/>
      <c r="D224" s="255" t="s">
        <v>50</v>
      </c>
      <c r="E224" s="255" t="s">
        <v>48</v>
      </c>
      <c r="F224" s="255"/>
      <c r="G224" s="255"/>
      <c r="H224" s="256">
        <f>+D221+E221+H221+I221</f>
        <v>4321.652257</v>
      </c>
      <c r="I224" s="257"/>
      <c r="J224" s="139"/>
      <c r="K224" s="139"/>
      <c r="L224" s="139"/>
      <c r="M224" s="139"/>
      <c r="N224" s="139"/>
      <c r="O224" s="139"/>
      <c r="P224" s="139"/>
      <c r="Q224" s="139"/>
      <c r="R224" s="141"/>
      <c r="S224" s="140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258"/>
      <c r="B225" s="139"/>
      <c r="C225" s="139"/>
      <c r="D225" s="139"/>
      <c r="E225" s="139" t="s">
        <v>49</v>
      </c>
      <c r="F225" s="139"/>
      <c r="G225" s="139"/>
      <c r="H225" s="252">
        <f>+H224/B221</f>
        <v>0.16697232</v>
      </c>
      <c r="I225" s="259"/>
      <c r="J225" s="139"/>
      <c r="K225" s="139"/>
      <c r="L225" s="139"/>
      <c r="M225" s="139"/>
      <c r="N225" s="139"/>
      <c r="O225" s="139"/>
      <c r="P225" s="139"/>
      <c r="Q225" s="139"/>
      <c r="R225" s="141"/>
      <c r="S225" s="140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258"/>
      <c r="B226" s="139"/>
      <c r="C226" s="139" t="s">
        <v>51</v>
      </c>
      <c r="D226" s="139"/>
      <c r="E226" s="139"/>
      <c r="F226" s="139"/>
      <c r="G226" s="139"/>
      <c r="H226" s="140"/>
      <c r="I226" s="259"/>
      <c r="J226" s="139"/>
      <c r="K226" s="139"/>
      <c r="L226" s="139"/>
      <c r="M226" s="139"/>
      <c r="N226" s="139"/>
      <c r="O226" s="139"/>
      <c r="P226" s="139"/>
      <c r="Q226" s="139"/>
      <c r="R226" s="141"/>
      <c r="S226" s="140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258"/>
      <c r="B227" s="139"/>
      <c r="C227" s="139"/>
      <c r="D227" s="139" t="s">
        <v>52</v>
      </c>
      <c r="E227" s="139"/>
      <c r="F227" s="139"/>
      <c r="G227" s="139"/>
      <c r="H227" s="140">
        <f>+H226*(H224-H221)</f>
        <v>0</v>
      </c>
      <c r="I227" s="25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9.5" customHeight="1">
      <c r="A228" s="260"/>
      <c r="B228" s="261"/>
      <c r="C228" s="261"/>
      <c r="D228" s="261"/>
      <c r="E228" s="261"/>
      <c r="F228" s="261"/>
      <c r="G228" s="261"/>
      <c r="H228" s="262"/>
      <c r="I228" s="263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/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41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39"/>
      <c r="B230" s="139"/>
      <c r="C230" s="139"/>
      <c r="D230" s="139"/>
      <c r="E230" s="139"/>
      <c r="F230" s="139"/>
      <c r="G230" s="139"/>
      <c r="H230" s="140"/>
      <c r="I230" s="139"/>
      <c r="J230" s="139"/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7"/>
      <c r="R232" s="265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7"/>
      <c r="R233" s="265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7"/>
      <c r="R234" s="265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7"/>
      <c r="R235" s="265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7"/>
      <c r="R236" s="265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7"/>
      <c r="R237" s="265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7"/>
      <c r="R238" s="265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7"/>
      <c r="R239" s="265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7"/>
      <c r="R240" s="265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7"/>
      <c r="R241" s="265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7"/>
      <c r="R242" s="26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7"/>
      <c r="R243" s="26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7"/>
      <c r="R244" s="26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7"/>
      <c r="R245" s="26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74:E174"/>
    <mergeCell ref="C193:E193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44536.0</v>
      </c>
      <c r="J4" s="139" t="str">
        <f>+B8&amp;"/"&amp;B9&amp;"/"&amp;B10&amp;"/"&amp;B11&amp;"/"&amp;B12&amp;"/"&amp;B13&amp;"/"&amp;B14&amp;"/"&amp;B15&amp;"/"&amp;B16</f>
        <v>HRD2940/D2220/D2550GT/D2070CC/D2050CC/D2250CC/B280/D2080//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104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+I236</f>
        <v>0.01773549917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245.58*8</f>
        <v>1964.64</v>
      </c>
      <c r="F8" s="157"/>
      <c r="G8" s="157"/>
      <c r="H8" s="158">
        <v>8.0</v>
      </c>
      <c r="I8" s="159">
        <f t="shared" ref="I8:I21" si="1">+D8*E8</f>
        <v>28.683744</v>
      </c>
      <c r="J8" s="160">
        <f t="shared" ref="J8:J21" si="2">E8-I8</f>
        <v>1935.956256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58</v>
      </c>
      <c r="C9" s="155">
        <v>22.5</v>
      </c>
      <c r="D9" s="156">
        <v>0.1086</v>
      </c>
      <c r="E9" s="157">
        <f>209.35*17.6</f>
        <v>3684.56</v>
      </c>
      <c r="F9" s="157"/>
      <c r="G9" s="157"/>
      <c r="H9" s="158">
        <v>17.6</v>
      </c>
      <c r="I9" s="159">
        <f t="shared" si="1"/>
        <v>400.143216</v>
      </c>
      <c r="J9" s="160">
        <f t="shared" si="2"/>
        <v>3284.416784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78</v>
      </c>
      <c r="C10" s="155">
        <v>25.5</v>
      </c>
      <c r="D10" s="156">
        <v>0.0577</v>
      </c>
      <c r="E10" s="157">
        <f>262.54*14.1</f>
        <v>3701.814</v>
      </c>
      <c r="F10" s="157"/>
      <c r="G10" s="157"/>
      <c r="H10" s="158">
        <v>14.1</v>
      </c>
      <c r="I10" s="159">
        <f t="shared" si="1"/>
        <v>213.5946678</v>
      </c>
      <c r="J10" s="160">
        <f t="shared" si="2"/>
        <v>3488.219332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105</v>
      </c>
      <c r="C11" s="155">
        <v>20.5</v>
      </c>
      <c r="D11" s="163">
        <v>0.0813</v>
      </c>
      <c r="E11" s="164">
        <f>230.06*20.7</f>
        <v>4762.242</v>
      </c>
      <c r="F11" s="164"/>
      <c r="G11" s="164"/>
      <c r="H11" s="158">
        <v>20.7</v>
      </c>
      <c r="I11" s="159">
        <f t="shared" si="1"/>
        <v>387.1702746</v>
      </c>
      <c r="J11" s="160">
        <f t="shared" si="2"/>
        <v>4375.071725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91</v>
      </c>
      <c r="C12" s="162">
        <v>20.5</v>
      </c>
      <c r="D12" s="163">
        <v>0.0845</v>
      </c>
      <c r="E12" s="164">
        <f>204.805*20</f>
        <v>4096.1</v>
      </c>
      <c r="F12" s="164"/>
      <c r="G12" s="164"/>
      <c r="H12" s="158">
        <v>20.0</v>
      </c>
      <c r="I12" s="159">
        <f t="shared" si="1"/>
        <v>346.12045</v>
      </c>
      <c r="J12" s="160">
        <f t="shared" si="2"/>
        <v>3749.97955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106</v>
      </c>
      <c r="C13" s="162">
        <v>22.5</v>
      </c>
      <c r="D13" s="163">
        <v>0.0845</v>
      </c>
      <c r="E13" s="164">
        <f>225.096*6.9</f>
        <v>1553.1624</v>
      </c>
      <c r="F13" s="164"/>
      <c r="G13" s="164"/>
      <c r="H13" s="158">
        <v>6.9</v>
      </c>
      <c r="I13" s="159">
        <f t="shared" si="1"/>
        <v>131.2422228</v>
      </c>
      <c r="J13" s="160">
        <f t="shared" si="2"/>
        <v>1421.920177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107</v>
      </c>
      <c r="C14" s="162">
        <v>20.5</v>
      </c>
      <c r="D14" s="163">
        <v>0.0862</v>
      </c>
      <c r="E14" s="164">
        <f>191.67*1</f>
        <v>191.67</v>
      </c>
      <c r="F14" s="164"/>
      <c r="G14" s="164"/>
      <c r="H14" s="158">
        <v>1.0</v>
      </c>
      <c r="I14" s="159">
        <f t="shared" si="1"/>
        <v>16.521954</v>
      </c>
      <c r="J14" s="160">
        <f t="shared" si="2"/>
        <v>175.148046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5"/>
      <c r="B22" s="166"/>
      <c r="C22" s="167"/>
      <c r="D22" s="168"/>
      <c r="E22" s="169">
        <f>SUM(E8:E21)</f>
        <v>19954.1884</v>
      </c>
      <c r="F22" s="170"/>
      <c r="G22" s="170"/>
      <c r="H22" s="171"/>
      <c r="I22" s="172">
        <f t="shared" ref="I22:J22" si="3">SUM(I8:I21)</f>
        <v>1523.476529</v>
      </c>
      <c r="J22" s="173">
        <f t="shared" si="3"/>
        <v>18430.71187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4"/>
      <c r="B23" s="144"/>
      <c r="C23" s="144"/>
      <c r="D23" s="175"/>
      <c r="E23" s="176"/>
      <c r="F23" s="151"/>
      <c r="G23" s="151"/>
      <c r="H23" s="147"/>
      <c r="I23" s="177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8"/>
      <c r="B28" s="162" t="s">
        <v>12</v>
      </c>
      <c r="C28" s="179" t="s">
        <v>60</v>
      </c>
      <c r="D28" s="52"/>
      <c r="E28" s="53"/>
      <c r="F28" s="180"/>
      <c r="G28" s="180"/>
      <c r="H28" s="181" t="s">
        <v>14</v>
      </c>
      <c r="I28" s="162" t="s">
        <v>15</v>
      </c>
      <c r="J28" s="162" t="s">
        <v>16</v>
      </c>
      <c r="K28" s="139"/>
      <c r="L28" s="162" t="s">
        <v>17</v>
      </c>
      <c r="M28" s="162" t="s">
        <v>15</v>
      </c>
      <c r="N28" s="178" t="s">
        <v>18</v>
      </c>
      <c r="O28" s="139"/>
      <c r="P28" s="139"/>
      <c r="Q28" s="178" t="s">
        <v>61</v>
      </c>
      <c r="R28" s="182"/>
      <c r="S28" s="162" t="s">
        <v>17</v>
      </c>
      <c r="T28" s="162" t="s">
        <v>15</v>
      </c>
      <c r="U28" s="178" t="s">
        <v>18</v>
      </c>
      <c r="V28" s="139"/>
      <c r="W28" s="178" t="s">
        <v>19</v>
      </c>
      <c r="X28" s="178" t="s">
        <v>20</v>
      </c>
      <c r="Y28" s="178" t="s">
        <v>21</v>
      </c>
      <c r="Z28" s="178" t="s">
        <v>108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1.0</v>
      </c>
      <c r="B29" s="183" t="s">
        <v>63</v>
      </c>
      <c r="C29" s="184">
        <v>96.0</v>
      </c>
      <c r="D29" s="184">
        <v>184.0</v>
      </c>
      <c r="E29" s="184">
        <v>173.0</v>
      </c>
      <c r="F29" s="184">
        <f t="shared" ref="F29:F177" si="5">VALUE(IF(RIGHT(B29, 1)="%", RIGHT(B29, 3), 0))</f>
        <v>0.8</v>
      </c>
      <c r="G29" s="184">
        <f t="shared" ref="G29:G177" si="6">+R29*C29/100*D29/100*E29/100</f>
        <v>94.732032</v>
      </c>
      <c r="H29" s="185">
        <f t="shared" ref="H29:H177" si="7">IF(F29=0, G29, F29*G29)</f>
        <v>75.7856256</v>
      </c>
      <c r="I29" s="184">
        <v>1.0</v>
      </c>
      <c r="J29" s="186">
        <f t="shared" ref="J29:J177" si="8">+I29*H29</f>
        <v>75.7856256</v>
      </c>
      <c r="K29" s="187"/>
      <c r="L29" s="188">
        <f>D29*25.4/1000</f>
        <v>4.6736</v>
      </c>
      <c r="M29" s="189">
        <f>+I29</f>
        <v>1</v>
      </c>
      <c r="N29" s="189">
        <f>M29*L29</f>
        <v>4.6736</v>
      </c>
      <c r="O29" s="187"/>
      <c r="P29" s="187"/>
      <c r="Q29" s="188">
        <v>91.0</v>
      </c>
      <c r="R29" s="190">
        <v>31.0</v>
      </c>
      <c r="S29" s="178">
        <f t="shared" ref="S29:S178" si="9">E29/100</f>
        <v>1.73</v>
      </c>
      <c r="T29" s="162">
        <f t="shared" ref="T29:T178" si="10">I29</f>
        <v>1</v>
      </c>
      <c r="U29" s="162">
        <f t="shared" ref="U29:U178" si="11">T29*S29</f>
        <v>1.73</v>
      </c>
      <c r="V29" s="191">
        <f t="shared" ref="V29:V60" si="12">R29*C29/100*D29/100*E29/100</f>
        <v>94.732032</v>
      </c>
      <c r="W29" s="178">
        <f t="shared" ref="W29:X29" si="4">C29/100</f>
        <v>0.96</v>
      </c>
      <c r="X29" s="178">
        <f t="shared" si="4"/>
        <v>1.84</v>
      </c>
      <c r="Y29" s="178">
        <f t="shared" ref="Y29:Y178" si="14">U29</f>
        <v>1.73</v>
      </c>
      <c r="Z29" s="192">
        <f t="shared" ref="Z29:Z178" si="15">W29*X29*Y29</f>
        <v>3.055872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2.0</v>
      </c>
      <c r="B30" s="193" t="s">
        <v>55</v>
      </c>
      <c r="C30" s="193">
        <v>95.0</v>
      </c>
      <c r="D30" s="193">
        <v>184.0</v>
      </c>
      <c r="E30" s="193">
        <v>195.0</v>
      </c>
      <c r="F30" s="193">
        <f t="shared" si="5"/>
        <v>0</v>
      </c>
      <c r="G30" s="193">
        <f t="shared" si="6"/>
        <v>105.6666</v>
      </c>
      <c r="H30" s="194">
        <f t="shared" si="7"/>
        <v>105.6666</v>
      </c>
      <c r="I30" s="193">
        <v>1.0</v>
      </c>
      <c r="J30" s="195">
        <f t="shared" si="8"/>
        <v>105.6666</v>
      </c>
      <c r="K30" s="139"/>
      <c r="L30" s="178"/>
      <c r="M30" s="162"/>
      <c r="N30" s="162"/>
      <c r="O30" s="139"/>
      <c r="P30" s="139"/>
      <c r="Q30" s="178">
        <v>105.0</v>
      </c>
      <c r="R30" s="190">
        <v>31.0</v>
      </c>
      <c r="S30" s="178">
        <f t="shared" si="9"/>
        <v>1.95</v>
      </c>
      <c r="T30" s="162">
        <f t="shared" si="10"/>
        <v>1</v>
      </c>
      <c r="U30" s="162">
        <f t="shared" si="11"/>
        <v>1.95</v>
      </c>
      <c r="V30" s="191">
        <f t="shared" si="12"/>
        <v>105.6666</v>
      </c>
      <c r="W30" s="178">
        <f t="shared" ref="W30:X30" si="13">C30/100</f>
        <v>0.95</v>
      </c>
      <c r="X30" s="178">
        <f t="shared" si="13"/>
        <v>1.84</v>
      </c>
      <c r="Y30" s="178">
        <f t="shared" si="14"/>
        <v>1.95</v>
      </c>
      <c r="Z30" s="192">
        <f t="shared" si="15"/>
        <v>3.4086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3.0</v>
      </c>
      <c r="B31" s="193" t="s">
        <v>55</v>
      </c>
      <c r="C31" s="193">
        <v>100.0</v>
      </c>
      <c r="D31" s="193">
        <v>184.0</v>
      </c>
      <c r="E31" s="193">
        <v>2785.0</v>
      </c>
      <c r="F31" s="193">
        <f t="shared" si="5"/>
        <v>0</v>
      </c>
      <c r="G31" s="193">
        <f t="shared" si="6"/>
        <v>1588.564</v>
      </c>
      <c r="H31" s="194">
        <f t="shared" si="7"/>
        <v>1588.564</v>
      </c>
      <c r="I31" s="193">
        <v>1.0</v>
      </c>
      <c r="J31" s="195">
        <f t="shared" si="8"/>
        <v>1588.564</v>
      </c>
      <c r="K31" s="139"/>
      <c r="L31" s="178">
        <f t="shared" ref="L31:L53" si="17">D31*25.4/1000</f>
        <v>4.6736</v>
      </c>
      <c r="M31" s="162">
        <f t="shared" ref="M31:M60" si="18">+I31</f>
        <v>1</v>
      </c>
      <c r="N31" s="162">
        <f t="shared" ref="N31:N53" si="19">M31*L31</f>
        <v>4.6736</v>
      </c>
      <c r="O31" s="139"/>
      <c r="P31" s="139"/>
      <c r="Q31" s="178">
        <v>1605.0</v>
      </c>
      <c r="R31" s="190">
        <v>31.0</v>
      </c>
      <c r="S31" s="178">
        <f t="shared" si="9"/>
        <v>27.85</v>
      </c>
      <c r="T31" s="162">
        <f t="shared" si="10"/>
        <v>1</v>
      </c>
      <c r="U31" s="162">
        <f t="shared" si="11"/>
        <v>27.85</v>
      </c>
      <c r="V31" s="191">
        <f t="shared" si="12"/>
        <v>1588.564</v>
      </c>
      <c r="W31" s="178">
        <f t="shared" ref="W31:X31" si="16">C31/100</f>
        <v>1</v>
      </c>
      <c r="X31" s="178">
        <f t="shared" si="16"/>
        <v>1.84</v>
      </c>
      <c r="Y31" s="178">
        <f t="shared" si="14"/>
        <v>27.85</v>
      </c>
      <c r="Z31" s="192">
        <f t="shared" si="15"/>
        <v>51.244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4.0</v>
      </c>
      <c r="B32" s="183" t="s">
        <v>66</v>
      </c>
      <c r="C32" s="184">
        <v>84.0</v>
      </c>
      <c r="D32" s="184">
        <v>195.0</v>
      </c>
      <c r="E32" s="184">
        <v>149.0</v>
      </c>
      <c r="F32" s="184">
        <f t="shared" si="5"/>
        <v>0.8</v>
      </c>
      <c r="G32" s="184">
        <f t="shared" si="6"/>
        <v>53.69364</v>
      </c>
      <c r="H32" s="185">
        <f t="shared" si="7"/>
        <v>42.954912</v>
      </c>
      <c r="I32" s="184">
        <v>1.0</v>
      </c>
      <c r="J32" s="186">
        <f t="shared" si="8"/>
        <v>42.954912</v>
      </c>
      <c r="K32" s="187"/>
      <c r="L32" s="188">
        <f t="shared" si="17"/>
        <v>4.953</v>
      </c>
      <c r="M32" s="189">
        <f t="shared" si="18"/>
        <v>1</v>
      </c>
      <c r="N32" s="189">
        <f t="shared" si="19"/>
        <v>4.953</v>
      </c>
      <c r="O32" s="187"/>
      <c r="P32" s="187"/>
      <c r="Q32" s="188">
        <v>62.0</v>
      </c>
      <c r="R32" s="190">
        <v>22.0</v>
      </c>
      <c r="S32" s="178">
        <f t="shared" si="9"/>
        <v>1.49</v>
      </c>
      <c r="T32" s="162">
        <f t="shared" si="10"/>
        <v>1</v>
      </c>
      <c r="U32" s="162">
        <f t="shared" si="11"/>
        <v>1.49</v>
      </c>
      <c r="V32" s="191">
        <f t="shared" si="12"/>
        <v>53.69364</v>
      </c>
      <c r="W32" s="178">
        <f t="shared" ref="W32:X32" si="20">C32/100</f>
        <v>0.84</v>
      </c>
      <c r="X32" s="178">
        <f t="shared" si="20"/>
        <v>1.95</v>
      </c>
      <c r="Y32" s="178">
        <f t="shared" si="14"/>
        <v>1.49</v>
      </c>
      <c r="Z32" s="192">
        <f t="shared" si="15"/>
        <v>2.44062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5.0</v>
      </c>
      <c r="B33" s="193" t="s">
        <v>58</v>
      </c>
      <c r="C33" s="193">
        <v>105.0</v>
      </c>
      <c r="D33" s="193">
        <v>195.0</v>
      </c>
      <c r="E33" s="193">
        <v>192.0</v>
      </c>
      <c r="F33" s="193">
        <f t="shared" si="5"/>
        <v>0</v>
      </c>
      <c r="G33" s="193">
        <f t="shared" si="6"/>
        <v>86.4864</v>
      </c>
      <c r="H33" s="194">
        <f t="shared" si="7"/>
        <v>86.4864</v>
      </c>
      <c r="I33" s="193">
        <v>1.0</v>
      </c>
      <c r="J33" s="195">
        <f t="shared" si="8"/>
        <v>86.4864</v>
      </c>
      <c r="K33" s="139"/>
      <c r="L33" s="178">
        <f t="shared" si="17"/>
        <v>4.953</v>
      </c>
      <c r="M33" s="162">
        <f t="shared" si="18"/>
        <v>1</v>
      </c>
      <c r="N33" s="162">
        <f t="shared" si="19"/>
        <v>4.953</v>
      </c>
      <c r="O33" s="139"/>
      <c r="P33" s="139"/>
      <c r="Q33" s="178">
        <v>87.0</v>
      </c>
      <c r="R33" s="190">
        <v>22.0</v>
      </c>
      <c r="S33" s="178">
        <f t="shared" si="9"/>
        <v>1.92</v>
      </c>
      <c r="T33" s="162">
        <f t="shared" si="10"/>
        <v>1</v>
      </c>
      <c r="U33" s="162">
        <f t="shared" si="11"/>
        <v>1.92</v>
      </c>
      <c r="V33" s="191">
        <f t="shared" si="12"/>
        <v>86.4864</v>
      </c>
      <c r="W33" s="178">
        <f t="shared" ref="W33:X33" si="21">C33/100</f>
        <v>1.05</v>
      </c>
      <c r="X33" s="178">
        <f t="shared" si="21"/>
        <v>1.95</v>
      </c>
      <c r="Y33" s="178">
        <f t="shared" si="14"/>
        <v>1.92</v>
      </c>
      <c r="Z33" s="192">
        <f t="shared" si="15"/>
        <v>3.9312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6.0</v>
      </c>
      <c r="B34" s="193" t="s">
        <v>58</v>
      </c>
      <c r="C34" s="193">
        <v>93.0</v>
      </c>
      <c r="D34" s="193">
        <v>195.0</v>
      </c>
      <c r="E34" s="193">
        <v>197.0</v>
      </c>
      <c r="F34" s="193">
        <f t="shared" si="5"/>
        <v>0</v>
      </c>
      <c r="G34" s="193">
        <f t="shared" si="6"/>
        <v>78.59709</v>
      </c>
      <c r="H34" s="194">
        <f t="shared" si="7"/>
        <v>78.59709</v>
      </c>
      <c r="I34" s="193">
        <v>1.0</v>
      </c>
      <c r="J34" s="195">
        <f t="shared" si="8"/>
        <v>78.59709</v>
      </c>
      <c r="K34" s="139"/>
      <c r="L34" s="178">
        <f t="shared" si="17"/>
        <v>4.953</v>
      </c>
      <c r="M34" s="162">
        <f t="shared" si="18"/>
        <v>1</v>
      </c>
      <c r="N34" s="162">
        <f t="shared" si="19"/>
        <v>4.953</v>
      </c>
      <c r="O34" s="139"/>
      <c r="P34" s="139"/>
      <c r="Q34" s="178">
        <v>89.0</v>
      </c>
      <c r="R34" s="190">
        <v>22.0</v>
      </c>
      <c r="S34" s="178">
        <f t="shared" si="9"/>
        <v>1.97</v>
      </c>
      <c r="T34" s="162">
        <f t="shared" si="10"/>
        <v>1</v>
      </c>
      <c r="U34" s="162">
        <f t="shared" si="11"/>
        <v>1.97</v>
      </c>
      <c r="V34" s="191">
        <f t="shared" si="12"/>
        <v>78.59709</v>
      </c>
      <c r="W34" s="178">
        <f t="shared" ref="W34:X34" si="22">C34/100</f>
        <v>0.93</v>
      </c>
      <c r="X34" s="178">
        <f t="shared" si="22"/>
        <v>1.95</v>
      </c>
      <c r="Y34" s="178">
        <f t="shared" si="14"/>
        <v>1.97</v>
      </c>
      <c r="Z34" s="192">
        <f t="shared" si="15"/>
        <v>3.572595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7.0</v>
      </c>
      <c r="B35" s="193" t="s">
        <v>58</v>
      </c>
      <c r="C35" s="193">
        <v>103.0</v>
      </c>
      <c r="D35" s="193">
        <v>195.0</v>
      </c>
      <c r="E35" s="193">
        <v>205.0</v>
      </c>
      <c r="F35" s="193">
        <f t="shared" si="5"/>
        <v>0</v>
      </c>
      <c r="G35" s="193">
        <f t="shared" si="6"/>
        <v>90.58335</v>
      </c>
      <c r="H35" s="194">
        <f t="shared" si="7"/>
        <v>90.58335</v>
      </c>
      <c r="I35" s="193">
        <v>1.0</v>
      </c>
      <c r="J35" s="195">
        <f t="shared" si="8"/>
        <v>90.58335</v>
      </c>
      <c r="K35" s="139"/>
      <c r="L35" s="178">
        <f t="shared" si="17"/>
        <v>4.953</v>
      </c>
      <c r="M35" s="162">
        <f t="shared" si="18"/>
        <v>1</v>
      </c>
      <c r="N35" s="162">
        <f t="shared" si="19"/>
        <v>4.953</v>
      </c>
      <c r="O35" s="139"/>
      <c r="P35" s="139"/>
      <c r="Q35" s="178">
        <v>92.0</v>
      </c>
      <c r="R35" s="190">
        <v>22.0</v>
      </c>
      <c r="S35" s="178">
        <f t="shared" si="9"/>
        <v>2.05</v>
      </c>
      <c r="T35" s="162">
        <f t="shared" si="10"/>
        <v>1</v>
      </c>
      <c r="U35" s="162">
        <f t="shared" si="11"/>
        <v>2.05</v>
      </c>
      <c r="V35" s="191">
        <f t="shared" si="12"/>
        <v>90.58335</v>
      </c>
      <c r="W35" s="178">
        <f t="shared" ref="W35:X35" si="23">C35/100</f>
        <v>1.03</v>
      </c>
      <c r="X35" s="178">
        <f t="shared" si="23"/>
        <v>1.95</v>
      </c>
      <c r="Y35" s="178">
        <f t="shared" si="14"/>
        <v>2.05</v>
      </c>
      <c r="Z35" s="192">
        <f t="shared" si="15"/>
        <v>4.117425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8.0</v>
      </c>
      <c r="B36" s="193" t="s">
        <v>58</v>
      </c>
      <c r="C36" s="193">
        <v>99.0</v>
      </c>
      <c r="D36" s="193">
        <v>195.0</v>
      </c>
      <c r="E36" s="193">
        <v>204.0</v>
      </c>
      <c r="F36" s="193">
        <f t="shared" si="5"/>
        <v>0</v>
      </c>
      <c r="G36" s="193">
        <f t="shared" si="6"/>
        <v>86.64084</v>
      </c>
      <c r="H36" s="194">
        <f t="shared" si="7"/>
        <v>86.64084</v>
      </c>
      <c r="I36" s="193">
        <v>1.0</v>
      </c>
      <c r="J36" s="195">
        <f t="shared" si="8"/>
        <v>86.64084</v>
      </c>
      <c r="K36" s="139"/>
      <c r="L36" s="178">
        <f t="shared" si="17"/>
        <v>4.953</v>
      </c>
      <c r="M36" s="162">
        <f t="shared" si="18"/>
        <v>1</v>
      </c>
      <c r="N36" s="162">
        <f t="shared" si="19"/>
        <v>4.953</v>
      </c>
      <c r="O36" s="139"/>
      <c r="P36" s="139"/>
      <c r="Q36" s="178">
        <v>89.0</v>
      </c>
      <c r="R36" s="190">
        <v>22.0</v>
      </c>
      <c r="S36" s="178">
        <f t="shared" si="9"/>
        <v>2.04</v>
      </c>
      <c r="T36" s="162">
        <f t="shared" si="10"/>
        <v>1</v>
      </c>
      <c r="U36" s="162">
        <f t="shared" si="11"/>
        <v>2.04</v>
      </c>
      <c r="V36" s="191">
        <f t="shared" si="12"/>
        <v>86.64084</v>
      </c>
      <c r="W36" s="178">
        <f t="shared" ref="W36:X36" si="24">C36/100</f>
        <v>0.99</v>
      </c>
      <c r="X36" s="178">
        <f t="shared" si="24"/>
        <v>1.95</v>
      </c>
      <c r="Y36" s="178">
        <f t="shared" si="14"/>
        <v>2.04</v>
      </c>
      <c r="Z36" s="192">
        <f t="shared" si="15"/>
        <v>3.93822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9.0</v>
      </c>
      <c r="B37" s="193" t="s">
        <v>58</v>
      </c>
      <c r="C37" s="193">
        <v>105.0</v>
      </c>
      <c r="D37" s="193">
        <v>195.0</v>
      </c>
      <c r="E37" s="193">
        <v>201.0</v>
      </c>
      <c r="F37" s="193">
        <f t="shared" si="5"/>
        <v>0</v>
      </c>
      <c r="G37" s="193">
        <f t="shared" si="6"/>
        <v>90.54045</v>
      </c>
      <c r="H37" s="194">
        <f t="shared" si="7"/>
        <v>90.54045</v>
      </c>
      <c r="I37" s="193">
        <v>1.0</v>
      </c>
      <c r="J37" s="195">
        <f t="shared" si="8"/>
        <v>90.54045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93.0</v>
      </c>
      <c r="R37" s="190">
        <v>22.0</v>
      </c>
      <c r="S37" s="178">
        <f t="shared" si="9"/>
        <v>2.01</v>
      </c>
      <c r="T37" s="162">
        <f t="shared" si="10"/>
        <v>1</v>
      </c>
      <c r="U37" s="162">
        <f t="shared" si="11"/>
        <v>2.01</v>
      </c>
      <c r="V37" s="191">
        <f t="shared" si="12"/>
        <v>90.54045</v>
      </c>
      <c r="W37" s="178">
        <f t="shared" ref="W37:X37" si="25">C37/100</f>
        <v>1.05</v>
      </c>
      <c r="X37" s="178">
        <f t="shared" si="25"/>
        <v>1.95</v>
      </c>
      <c r="Y37" s="178">
        <f t="shared" si="14"/>
        <v>2.01</v>
      </c>
      <c r="Z37" s="192">
        <f t="shared" si="15"/>
        <v>4.115475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10.0</v>
      </c>
      <c r="B38" s="193" t="s">
        <v>58</v>
      </c>
      <c r="C38" s="193">
        <v>104.0</v>
      </c>
      <c r="D38" s="193">
        <v>195.0</v>
      </c>
      <c r="E38" s="193">
        <v>202.0</v>
      </c>
      <c r="F38" s="193">
        <f t="shared" si="5"/>
        <v>0</v>
      </c>
      <c r="G38" s="193">
        <f t="shared" si="6"/>
        <v>90.12432</v>
      </c>
      <c r="H38" s="194">
        <f t="shared" si="7"/>
        <v>90.12432</v>
      </c>
      <c r="I38" s="193">
        <v>1.0</v>
      </c>
      <c r="J38" s="195">
        <f t="shared" si="8"/>
        <v>90.12432</v>
      </c>
      <c r="K38" s="139"/>
      <c r="L38" s="178">
        <f t="shared" si="17"/>
        <v>4.953</v>
      </c>
      <c r="M38" s="162">
        <f t="shared" si="18"/>
        <v>1</v>
      </c>
      <c r="N38" s="162">
        <f t="shared" si="19"/>
        <v>4.953</v>
      </c>
      <c r="O38" s="139"/>
      <c r="P38" s="139"/>
      <c r="Q38" s="178">
        <v>92.0</v>
      </c>
      <c r="R38" s="190">
        <v>22.0</v>
      </c>
      <c r="S38" s="178">
        <f t="shared" si="9"/>
        <v>2.02</v>
      </c>
      <c r="T38" s="162">
        <f t="shared" si="10"/>
        <v>1</v>
      </c>
      <c r="U38" s="162">
        <f t="shared" si="11"/>
        <v>2.02</v>
      </c>
      <c r="V38" s="191">
        <f t="shared" si="12"/>
        <v>90.12432</v>
      </c>
      <c r="W38" s="178">
        <f t="shared" ref="W38:X38" si="26">C38/100</f>
        <v>1.04</v>
      </c>
      <c r="X38" s="178">
        <f t="shared" si="26"/>
        <v>1.95</v>
      </c>
      <c r="Y38" s="178">
        <f t="shared" si="14"/>
        <v>2.02</v>
      </c>
      <c r="Z38" s="192">
        <f t="shared" si="15"/>
        <v>4.09656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11.0</v>
      </c>
      <c r="B39" s="193" t="s">
        <v>58</v>
      </c>
      <c r="C39" s="193">
        <v>107.0</v>
      </c>
      <c r="D39" s="193">
        <v>195.0</v>
      </c>
      <c r="E39" s="193">
        <v>2867.0</v>
      </c>
      <c r="F39" s="193">
        <f t="shared" si="5"/>
        <v>0</v>
      </c>
      <c r="G39" s="193">
        <f t="shared" si="6"/>
        <v>1316.03901</v>
      </c>
      <c r="H39" s="194">
        <f t="shared" si="7"/>
        <v>1316.03901</v>
      </c>
      <c r="I39" s="193">
        <v>1.0</v>
      </c>
      <c r="J39" s="195">
        <f t="shared" si="8"/>
        <v>1316.03901</v>
      </c>
      <c r="K39" s="139"/>
      <c r="L39" s="178">
        <f t="shared" si="17"/>
        <v>4.953</v>
      </c>
      <c r="M39" s="162">
        <f t="shared" si="18"/>
        <v>1</v>
      </c>
      <c r="N39" s="162">
        <f t="shared" si="19"/>
        <v>4.953</v>
      </c>
      <c r="O39" s="139"/>
      <c r="P39" s="139"/>
      <c r="Q39" s="178">
        <v>1290.0</v>
      </c>
      <c r="R39" s="190">
        <v>22.0</v>
      </c>
      <c r="S39" s="178">
        <f t="shared" si="9"/>
        <v>28.67</v>
      </c>
      <c r="T39" s="162">
        <f t="shared" si="10"/>
        <v>1</v>
      </c>
      <c r="U39" s="162">
        <f t="shared" si="11"/>
        <v>28.67</v>
      </c>
      <c r="V39" s="191">
        <f t="shared" si="12"/>
        <v>1316.03901</v>
      </c>
      <c r="W39" s="178">
        <f t="shared" ref="W39:X39" si="27">C39/100</f>
        <v>1.07</v>
      </c>
      <c r="X39" s="178">
        <f t="shared" si="27"/>
        <v>1.95</v>
      </c>
      <c r="Y39" s="178">
        <f t="shared" si="14"/>
        <v>28.67</v>
      </c>
      <c r="Z39" s="192">
        <f t="shared" si="15"/>
        <v>59.819955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12.0</v>
      </c>
      <c r="B40" s="193" t="s">
        <v>58</v>
      </c>
      <c r="C40" s="193">
        <v>105.0</v>
      </c>
      <c r="D40" s="193">
        <v>195.0</v>
      </c>
      <c r="E40" s="193">
        <v>2864.0</v>
      </c>
      <c r="F40" s="193">
        <f t="shared" si="5"/>
        <v>0</v>
      </c>
      <c r="G40" s="193">
        <f t="shared" si="6"/>
        <v>1290.0888</v>
      </c>
      <c r="H40" s="194">
        <f t="shared" si="7"/>
        <v>1290.0888</v>
      </c>
      <c r="I40" s="193">
        <v>1.0</v>
      </c>
      <c r="J40" s="195">
        <f t="shared" si="8"/>
        <v>1290.0888</v>
      </c>
      <c r="K40" s="139"/>
      <c r="L40" s="178">
        <f t="shared" si="17"/>
        <v>4.953</v>
      </c>
      <c r="M40" s="162">
        <f t="shared" si="18"/>
        <v>1</v>
      </c>
      <c r="N40" s="162">
        <f t="shared" si="19"/>
        <v>4.953</v>
      </c>
      <c r="O40" s="139"/>
      <c r="P40" s="139"/>
      <c r="Q40" s="178">
        <v>1300.0</v>
      </c>
      <c r="R40" s="190">
        <v>22.0</v>
      </c>
      <c r="S40" s="178">
        <f t="shared" si="9"/>
        <v>28.64</v>
      </c>
      <c r="T40" s="162">
        <f t="shared" si="10"/>
        <v>1</v>
      </c>
      <c r="U40" s="162">
        <f t="shared" si="11"/>
        <v>28.64</v>
      </c>
      <c r="V40" s="191">
        <f t="shared" si="12"/>
        <v>1290.0888</v>
      </c>
      <c r="W40" s="178">
        <f t="shared" ref="W40:X40" si="28">C40/100</f>
        <v>1.05</v>
      </c>
      <c r="X40" s="178">
        <f t="shared" si="28"/>
        <v>1.95</v>
      </c>
      <c r="Y40" s="178">
        <f t="shared" si="14"/>
        <v>28.64</v>
      </c>
      <c r="Z40" s="192">
        <f t="shared" si="15"/>
        <v>58.6404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13.0</v>
      </c>
      <c r="B41" s="183" t="s">
        <v>85</v>
      </c>
      <c r="C41" s="184">
        <v>92.0</v>
      </c>
      <c r="D41" s="184">
        <v>202.0</v>
      </c>
      <c r="E41" s="184">
        <v>154.0</v>
      </c>
      <c r="F41" s="184">
        <f t="shared" si="5"/>
        <v>0.8</v>
      </c>
      <c r="G41" s="184">
        <f t="shared" si="6"/>
        <v>72.979368</v>
      </c>
      <c r="H41" s="185">
        <f t="shared" si="7"/>
        <v>58.3834944</v>
      </c>
      <c r="I41" s="184">
        <v>1.0</v>
      </c>
      <c r="J41" s="186">
        <f t="shared" si="8"/>
        <v>58.3834944</v>
      </c>
      <c r="K41" s="187"/>
      <c r="L41" s="188">
        <f t="shared" si="17"/>
        <v>5.1308</v>
      </c>
      <c r="M41" s="189">
        <f t="shared" si="18"/>
        <v>1</v>
      </c>
      <c r="N41" s="189">
        <f t="shared" si="19"/>
        <v>5.1308</v>
      </c>
      <c r="O41" s="187"/>
      <c r="P41" s="187"/>
      <c r="Q41" s="188">
        <v>77.0</v>
      </c>
      <c r="R41" s="190">
        <v>25.5</v>
      </c>
      <c r="S41" s="178">
        <f t="shared" si="9"/>
        <v>1.54</v>
      </c>
      <c r="T41" s="162">
        <f t="shared" si="10"/>
        <v>1</v>
      </c>
      <c r="U41" s="162">
        <f t="shared" si="11"/>
        <v>1.54</v>
      </c>
      <c r="V41" s="191">
        <f t="shared" si="12"/>
        <v>72.979368</v>
      </c>
      <c r="W41" s="178">
        <f t="shared" ref="W41:X41" si="29">C41/100</f>
        <v>0.92</v>
      </c>
      <c r="X41" s="178">
        <f t="shared" si="29"/>
        <v>2.02</v>
      </c>
      <c r="Y41" s="178">
        <f t="shared" si="14"/>
        <v>1.54</v>
      </c>
      <c r="Z41" s="192">
        <f t="shared" si="15"/>
        <v>2.861936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14.0</v>
      </c>
      <c r="B42" s="193" t="s">
        <v>78</v>
      </c>
      <c r="C42" s="193">
        <v>96.0</v>
      </c>
      <c r="D42" s="193">
        <v>202.0</v>
      </c>
      <c r="E42" s="193">
        <v>198.0</v>
      </c>
      <c r="F42" s="193">
        <f t="shared" si="5"/>
        <v>0</v>
      </c>
      <c r="G42" s="193">
        <f t="shared" si="6"/>
        <v>97.910208</v>
      </c>
      <c r="H42" s="194">
        <f t="shared" si="7"/>
        <v>97.910208</v>
      </c>
      <c r="I42" s="193">
        <v>1.0</v>
      </c>
      <c r="J42" s="195">
        <f t="shared" si="8"/>
        <v>97.910208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103.0</v>
      </c>
      <c r="R42" s="190">
        <v>25.5</v>
      </c>
      <c r="S42" s="178">
        <f t="shared" si="9"/>
        <v>1.98</v>
      </c>
      <c r="T42" s="162">
        <f t="shared" si="10"/>
        <v>1</v>
      </c>
      <c r="U42" s="162">
        <f t="shared" si="11"/>
        <v>1.98</v>
      </c>
      <c r="V42" s="191">
        <f t="shared" si="12"/>
        <v>97.910208</v>
      </c>
      <c r="W42" s="178">
        <f t="shared" ref="W42:X42" si="30">C42/100</f>
        <v>0.96</v>
      </c>
      <c r="X42" s="178">
        <f t="shared" si="30"/>
        <v>2.02</v>
      </c>
      <c r="Y42" s="178">
        <f t="shared" si="14"/>
        <v>1.98</v>
      </c>
      <c r="Z42" s="192">
        <f t="shared" si="15"/>
        <v>3.839616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15.0</v>
      </c>
      <c r="B43" s="193" t="s">
        <v>78</v>
      </c>
      <c r="C43" s="193">
        <v>103.0</v>
      </c>
      <c r="D43" s="193">
        <v>202.0</v>
      </c>
      <c r="E43" s="193">
        <v>194.0</v>
      </c>
      <c r="F43" s="193">
        <f t="shared" si="5"/>
        <v>0</v>
      </c>
      <c r="G43" s="193">
        <f t="shared" si="6"/>
        <v>102.927282</v>
      </c>
      <c r="H43" s="194">
        <f t="shared" si="7"/>
        <v>102.927282</v>
      </c>
      <c r="I43" s="193">
        <v>1.0</v>
      </c>
      <c r="J43" s="195">
        <f t="shared" si="8"/>
        <v>102.927282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104.0</v>
      </c>
      <c r="R43" s="190">
        <v>25.5</v>
      </c>
      <c r="S43" s="178">
        <f t="shared" si="9"/>
        <v>1.94</v>
      </c>
      <c r="T43" s="162">
        <f t="shared" si="10"/>
        <v>1</v>
      </c>
      <c r="U43" s="162">
        <f t="shared" si="11"/>
        <v>1.94</v>
      </c>
      <c r="V43" s="191">
        <f t="shared" si="12"/>
        <v>102.927282</v>
      </c>
      <c r="W43" s="178">
        <f t="shared" ref="W43:X43" si="31">C43/100</f>
        <v>1.03</v>
      </c>
      <c r="X43" s="178">
        <f t="shared" si="31"/>
        <v>2.02</v>
      </c>
      <c r="Y43" s="178">
        <f t="shared" si="14"/>
        <v>1.94</v>
      </c>
      <c r="Z43" s="192">
        <f t="shared" si="15"/>
        <v>4.036364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16.0</v>
      </c>
      <c r="B44" s="193" t="s">
        <v>78</v>
      </c>
      <c r="C44" s="193">
        <v>103.0</v>
      </c>
      <c r="D44" s="193">
        <v>202.0</v>
      </c>
      <c r="E44" s="193">
        <v>2875.0</v>
      </c>
      <c r="F44" s="193">
        <f t="shared" si="5"/>
        <v>0</v>
      </c>
      <c r="G44" s="193">
        <f t="shared" si="6"/>
        <v>1525.339875</v>
      </c>
      <c r="H44" s="194">
        <f t="shared" si="7"/>
        <v>1525.339875</v>
      </c>
      <c r="I44" s="193">
        <v>1.0</v>
      </c>
      <c r="J44" s="195">
        <f t="shared" si="8"/>
        <v>1525.339875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1525.0</v>
      </c>
      <c r="R44" s="190">
        <v>25.5</v>
      </c>
      <c r="S44" s="178">
        <f t="shared" si="9"/>
        <v>28.75</v>
      </c>
      <c r="T44" s="162">
        <f t="shared" si="10"/>
        <v>1</v>
      </c>
      <c r="U44" s="162">
        <f t="shared" si="11"/>
        <v>28.75</v>
      </c>
      <c r="V44" s="191">
        <f t="shared" si="12"/>
        <v>1525.339875</v>
      </c>
      <c r="W44" s="178">
        <f t="shared" ref="W44:X44" si="32">C44/100</f>
        <v>1.03</v>
      </c>
      <c r="X44" s="178">
        <f t="shared" si="32"/>
        <v>2.02</v>
      </c>
      <c r="Y44" s="178">
        <f t="shared" si="14"/>
        <v>28.75</v>
      </c>
      <c r="Z44" s="192">
        <f t="shared" si="15"/>
        <v>59.81725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17.0</v>
      </c>
      <c r="B45" s="193" t="s">
        <v>78</v>
      </c>
      <c r="C45" s="193">
        <v>104.0</v>
      </c>
      <c r="D45" s="193">
        <v>202.0</v>
      </c>
      <c r="E45" s="193">
        <v>2865.0</v>
      </c>
      <c r="F45" s="193">
        <f t="shared" si="5"/>
        <v>0</v>
      </c>
      <c r="G45" s="193">
        <f t="shared" si="6"/>
        <v>1534.79196</v>
      </c>
      <c r="H45" s="194">
        <f t="shared" si="7"/>
        <v>1534.79196</v>
      </c>
      <c r="I45" s="193">
        <v>1.0</v>
      </c>
      <c r="J45" s="195">
        <f t="shared" si="8"/>
        <v>1534.79196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1535.0</v>
      </c>
      <c r="R45" s="190">
        <v>25.5</v>
      </c>
      <c r="S45" s="178">
        <f t="shared" si="9"/>
        <v>28.65</v>
      </c>
      <c r="T45" s="162">
        <f t="shared" si="10"/>
        <v>1</v>
      </c>
      <c r="U45" s="162">
        <f t="shared" si="11"/>
        <v>28.65</v>
      </c>
      <c r="V45" s="191">
        <f t="shared" si="12"/>
        <v>1534.79196</v>
      </c>
      <c r="W45" s="178">
        <f t="shared" ref="W45:X45" si="33">C45/100</f>
        <v>1.04</v>
      </c>
      <c r="X45" s="178">
        <f t="shared" si="33"/>
        <v>2.02</v>
      </c>
      <c r="Y45" s="178">
        <f t="shared" si="14"/>
        <v>28.65</v>
      </c>
      <c r="Z45" s="192">
        <f t="shared" si="15"/>
        <v>60.18792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18.0</v>
      </c>
      <c r="B46" s="183" t="s">
        <v>109</v>
      </c>
      <c r="C46" s="184">
        <v>100.0</v>
      </c>
      <c r="D46" s="184">
        <v>216.0</v>
      </c>
      <c r="E46" s="184">
        <v>205.0</v>
      </c>
      <c r="F46" s="184">
        <f t="shared" si="5"/>
        <v>0.8</v>
      </c>
      <c r="G46" s="184">
        <f t="shared" si="6"/>
        <v>97.416</v>
      </c>
      <c r="H46" s="185">
        <f t="shared" si="7"/>
        <v>77.9328</v>
      </c>
      <c r="I46" s="184">
        <v>1.0</v>
      </c>
      <c r="J46" s="186">
        <f t="shared" si="8"/>
        <v>77.9328</v>
      </c>
      <c r="K46" s="187"/>
      <c r="L46" s="188">
        <f t="shared" si="17"/>
        <v>5.4864</v>
      </c>
      <c r="M46" s="189">
        <f t="shared" si="18"/>
        <v>1</v>
      </c>
      <c r="N46" s="189">
        <f t="shared" si="19"/>
        <v>5.4864</v>
      </c>
      <c r="O46" s="187"/>
      <c r="P46" s="187"/>
      <c r="Q46" s="188">
        <v>101.0</v>
      </c>
      <c r="R46" s="190">
        <v>22.0</v>
      </c>
      <c r="S46" s="178">
        <f t="shared" si="9"/>
        <v>2.05</v>
      </c>
      <c r="T46" s="162">
        <f t="shared" si="10"/>
        <v>1</v>
      </c>
      <c r="U46" s="162">
        <f t="shared" si="11"/>
        <v>2.05</v>
      </c>
      <c r="V46" s="191">
        <f t="shared" si="12"/>
        <v>97.416</v>
      </c>
      <c r="W46" s="178">
        <f t="shared" ref="W46:X46" si="34">C46/100</f>
        <v>1</v>
      </c>
      <c r="X46" s="178">
        <f t="shared" si="34"/>
        <v>2.16</v>
      </c>
      <c r="Y46" s="178">
        <f t="shared" si="14"/>
        <v>2.05</v>
      </c>
      <c r="Z46" s="192">
        <f t="shared" si="15"/>
        <v>4.428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19.0</v>
      </c>
      <c r="B47" s="193" t="s">
        <v>105</v>
      </c>
      <c r="C47" s="193">
        <v>94.0</v>
      </c>
      <c r="D47" s="193">
        <v>216.0</v>
      </c>
      <c r="E47" s="193">
        <v>185.0</v>
      </c>
      <c r="F47" s="193">
        <f t="shared" si="5"/>
        <v>0</v>
      </c>
      <c r="G47" s="193">
        <f t="shared" si="6"/>
        <v>82.63728</v>
      </c>
      <c r="H47" s="194">
        <f t="shared" si="7"/>
        <v>82.63728</v>
      </c>
      <c r="I47" s="193">
        <v>1.0</v>
      </c>
      <c r="J47" s="195">
        <f t="shared" si="8"/>
        <v>82.63728</v>
      </c>
      <c r="K47" s="139"/>
      <c r="L47" s="178">
        <f t="shared" si="17"/>
        <v>5.4864</v>
      </c>
      <c r="M47" s="162">
        <f t="shared" si="18"/>
        <v>1</v>
      </c>
      <c r="N47" s="162">
        <f t="shared" si="19"/>
        <v>5.4864</v>
      </c>
      <c r="O47" s="139"/>
      <c r="P47" s="139"/>
      <c r="Q47" s="178">
        <v>87.0</v>
      </c>
      <c r="R47" s="190">
        <v>22.0</v>
      </c>
      <c r="S47" s="178">
        <f t="shared" si="9"/>
        <v>1.85</v>
      </c>
      <c r="T47" s="162">
        <f t="shared" si="10"/>
        <v>1</v>
      </c>
      <c r="U47" s="162">
        <f t="shared" si="11"/>
        <v>1.85</v>
      </c>
      <c r="V47" s="191">
        <f t="shared" si="12"/>
        <v>82.63728</v>
      </c>
      <c r="W47" s="178">
        <f t="shared" ref="W47:X47" si="35">C47/100</f>
        <v>0.94</v>
      </c>
      <c r="X47" s="178">
        <f t="shared" si="35"/>
        <v>2.16</v>
      </c>
      <c r="Y47" s="178">
        <f t="shared" si="14"/>
        <v>1.85</v>
      </c>
      <c r="Z47" s="192">
        <f t="shared" si="15"/>
        <v>3.75624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20.0</v>
      </c>
      <c r="B48" s="193" t="s">
        <v>105</v>
      </c>
      <c r="C48" s="193">
        <v>104.0</v>
      </c>
      <c r="D48" s="193">
        <v>216.0</v>
      </c>
      <c r="E48" s="193">
        <v>2860.0</v>
      </c>
      <c r="F48" s="193">
        <f t="shared" si="5"/>
        <v>0</v>
      </c>
      <c r="G48" s="193">
        <f t="shared" si="6"/>
        <v>1413.43488</v>
      </c>
      <c r="H48" s="194">
        <f t="shared" si="7"/>
        <v>1413.43488</v>
      </c>
      <c r="I48" s="193">
        <v>1.0</v>
      </c>
      <c r="J48" s="195">
        <f t="shared" si="8"/>
        <v>1413.43488</v>
      </c>
      <c r="K48" s="139"/>
      <c r="L48" s="178">
        <f t="shared" si="17"/>
        <v>5.4864</v>
      </c>
      <c r="M48" s="162">
        <f t="shared" si="18"/>
        <v>1</v>
      </c>
      <c r="N48" s="162">
        <f t="shared" si="19"/>
        <v>5.4864</v>
      </c>
      <c r="O48" s="139"/>
      <c r="P48" s="139"/>
      <c r="Q48" s="178">
        <v>1405.0</v>
      </c>
      <c r="R48" s="190">
        <v>22.0</v>
      </c>
      <c r="S48" s="178">
        <f t="shared" si="9"/>
        <v>28.6</v>
      </c>
      <c r="T48" s="162">
        <f t="shared" si="10"/>
        <v>1</v>
      </c>
      <c r="U48" s="162">
        <f t="shared" si="11"/>
        <v>28.6</v>
      </c>
      <c r="V48" s="191">
        <f t="shared" si="12"/>
        <v>1413.43488</v>
      </c>
      <c r="W48" s="178">
        <f t="shared" ref="W48:X48" si="36">C48/100</f>
        <v>1.04</v>
      </c>
      <c r="X48" s="178">
        <f t="shared" si="36"/>
        <v>2.16</v>
      </c>
      <c r="Y48" s="178">
        <f t="shared" si="14"/>
        <v>28.6</v>
      </c>
      <c r="Z48" s="192">
        <f t="shared" si="15"/>
        <v>64.24704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21.0</v>
      </c>
      <c r="B49" s="193" t="s">
        <v>105</v>
      </c>
      <c r="C49" s="193">
        <v>104.0</v>
      </c>
      <c r="D49" s="193">
        <v>216.0</v>
      </c>
      <c r="E49" s="193">
        <v>2856.0</v>
      </c>
      <c r="F49" s="193">
        <f t="shared" si="5"/>
        <v>0</v>
      </c>
      <c r="G49" s="193">
        <f t="shared" si="6"/>
        <v>1411.458048</v>
      </c>
      <c r="H49" s="194">
        <f t="shared" si="7"/>
        <v>1411.458048</v>
      </c>
      <c r="I49" s="193">
        <v>1.0</v>
      </c>
      <c r="J49" s="195">
        <f t="shared" si="8"/>
        <v>1411.458048</v>
      </c>
      <c r="K49" s="139"/>
      <c r="L49" s="178">
        <f t="shared" si="17"/>
        <v>5.4864</v>
      </c>
      <c r="M49" s="162">
        <f t="shared" si="18"/>
        <v>1</v>
      </c>
      <c r="N49" s="162">
        <f t="shared" si="19"/>
        <v>5.4864</v>
      </c>
      <c r="O49" s="139"/>
      <c r="P49" s="139"/>
      <c r="Q49" s="178">
        <v>1405.0</v>
      </c>
      <c r="R49" s="190">
        <v>22.0</v>
      </c>
      <c r="S49" s="178">
        <f t="shared" si="9"/>
        <v>28.56</v>
      </c>
      <c r="T49" s="162">
        <f t="shared" si="10"/>
        <v>1</v>
      </c>
      <c r="U49" s="162">
        <f t="shared" si="11"/>
        <v>28.56</v>
      </c>
      <c r="V49" s="191">
        <f t="shared" si="12"/>
        <v>1411.458048</v>
      </c>
      <c r="W49" s="178">
        <f t="shared" ref="W49:X49" si="37">C49/100</f>
        <v>1.04</v>
      </c>
      <c r="X49" s="178">
        <f t="shared" si="37"/>
        <v>2.16</v>
      </c>
      <c r="Y49" s="178">
        <f t="shared" si="14"/>
        <v>28.56</v>
      </c>
      <c r="Z49" s="192">
        <f t="shared" si="15"/>
        <v>64.157184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22.0</v>
      </c>
      <c r="B50" s="193" t="s">
        <v>105</v>
      </c>
      <c r="C50" s="193">
        <v>103.0</v>
      </c>
      <c r="D50" s="193">
        <v>216.0</v>
      </c>
      <c r="E50" s="193">
        <v>2600.0</v>
      </c>
      <c r="F50" s="193">
        <f t="shared" si="5"/>
        <v>0</v>
      </c>
      <c r="G50" s="193">
        <f t="shared" si="6"/>
        <v>1272.5856</v>
      </c>
      <c r="H50" s="194">
        <f t="shared" si="7"/>
        <v>1272.5856</v>
      </c>
      <c r="I50" s="193">
        <v>1.0</v>
      </c>
      <c r="J50" s="195">
        <f t="shared" si="8"/>
        <v>1272.5856</v>
      </c>
      <c r="K50" s="139"/>
      <c r="L50" s="178">
        <f t="shared" si="17"/>
        <v>5.4864</v>
      </c>
      <c r="M50" s="162">
        <f t="shared" si="18"/>
        <v>1</v>
      </c>
      <c r="N50" s="162">
        <f t="shared" si="19"/>
        <v>5.4864</v>
      </c>
      <c r="O50" s="139"/>
      <c r="P50" s="139"/>
      <c r="Q50" s="178">
        <v>1270.0</v>
      </c>
      <c r="R50" s="190">
        <v>22.0</v>
      </c>
      <c r="S50" s="178">
        <f t="shared" si="9"/>
        <v>26</v>
      </c>
      <c r="T50" s="162">
        <f t="shared" si="10"/>
        <v>1</v>
      </c>
      <c r="U50" s="162">
        <f t="shared" si="11"/>
        <v>26</v>
      </c>
      <c r="V50" s="191">
        <f t="shared" si="12"/>
        <v>1272.5856</v>
      </c>
      <c r="W50" s="178">
        <f t="shared" ref="W50:X50" si="38">C50/100</f>
        <v>1.03</v>
      </c>
      <c r="X50" s="178">
        <f t="shared" si="38"/>
        <v>2.16</v>
      </c>
      <c r="Y50" s="178">
        <f t="shared" si="14"/>
        <v>26</v>
      </c>
      <c r="Z50" s="192">
        <f t="shared" si="15"/>
        <v>57.8448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23.0</v>
      </c>
      <c r="B51" s="183" t="s">
        <v>97</v>
      </c>
      <c r="C51" s="184">
        <v>85.0</v>
      </c>
      <c r="D51" s="184">
        <v>205.0</v>
      </c>
      <c r="E51" s="184">
        <v>208.0</v>
      </c>
      <c r="F51" s="184">
        <f t="shared" si="5"/>
        <v>0.8</v>
      </c>
      <c r="G51" s="184">
        <f t="shared" si="6"/>
        <v>77.9246</v>
      </c>
      <c r="H51" s="185">
        <f t="shared" si="7"/>
        <v>62.33968</v>
      </c>
      <c r="I51" s="184">
        <v>1.0</v>
      </c>
      <c r="J51" s="186">
        <f t="shared" si="8"/>
        <v>62.33968</v>
      </c>
      <c r="K51" s="187"/>
      <c r="L51" s="188">
        <f t="shared" si="17"/>
        <v>5.207</v>
      </c>
      <c r="M51" s="189">
        <f t="shared" si="18"/>
        <v>1</v>
      </c>
      <c r="N51" s="189">
        <f t="shared" si="19"/>
        <v>5.207</v>
      </c>
      <c r="O51" s="187"/>
      <c r="P51" s="187"/>
      <c r="Q51" s="188">
        <v>82.0</v>
      </c>
      <c r="R51" s="190">
        <v>21.5</v>
      </c>
      <c r="S51" s="178">
        <f t="shared" si="9"/>
        <v>2.08</v>
      </c>
      <c r="T51" s="162">
        <f t="shared" si="10"/>
        <v>1</v>
      </c>
      <c r="U51" s="162">
        <f t="shared" si="11"/>
        <v>2.08</v>
      </c>
      <c r="V51" s="191">
        <f t="shared" si="12"/>
        <v>77.9246</v>
      </c>
      <c r="W51" s="178">
        <f t="shared" ref="W51:X51" si="39">C51/100</f>
        <v>0.85</v>
      </c>
      <c r="X51" s="178">
        <f t="shared" si="39"/>
        <v>2.05</v>
      </c>
      <c r="Y51" s="178">
        <f t="shared" si="14"/>
        <v>2.08</v>
      </c>
      <c r="Z51" s="192">
        <f t="shared" si="15"/>
        <v>3.6244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24.0</v>
      </c>
      <c r="B52" s="193" t="s">
        <v>91</v>
      </c>
      <c r="C52" s="193">
        <v>78.0</v>
      </c>
      <c r="D52" s="193">
        <v>205.0</v>
      </c>
      <c r="E52" s="193">
        <v>186.0</v>
      </c>
      <c r="F52" s="193">
        <f t="shared" si="5"/>
        <v>0</v>
      </c>
      <c r="G52" s="193">
        <f t="shared" si="6"/>
        <v>63.94401</v>
      </c>
      <c r="H52" s="194">
        <f t="shared" si="7"/>
        <v>63.94401</v>
      </c>
      <c r="I52" s="193">
        <v>1.0</v>
      </c>
      <c r="J52" s="195">
        <f t="shared" si="8"/>
        <v>63.94401</v>
      </c>
      <c r="K52" s="139"/>
      <c r="L52" s="178">
        <f t="shared" si="17"/>
        <v>5.207</v>
      </c>
      <c r="M52" s="162">
        <f t="shared" si="18"/>
        <v>1</v>
      </c>
      <c r="N52" s="162">
        <f t="shared" si="19"/>
        <v>5.207</v>
      </c>
      <c r="O52" s="139"/>
      <c r="P52" s="139"/>
      <c r="Q52" s="178">
        <v>70.0</v>
      </c>
      <c r="R52" s="190">
        <v>21.5</v>
      </c>
      <c r="S52" s="178">
        <f t="shared" si="9"/>
        <v>1.86</v>
      </c>
      <c r="T52" s="162">
        <f t="shared" si="10"/>
        <v>1</v>
      </c>
      <c r="U52" s="162">
        <f t="shared" si="11"/>
        <v>1.86</v>
      </c>
      <c r="V52" s="191">
        <f t="shared" si="12"/>
        <v>63.94401</v>
      </c>
      <c r="W52" s="178">
        <f t="shared" ref="W52:X52" si="40">C52/100</f>
        <v>0.78</v>
      </c>
      <c r="X52" s="178">
        <f t="shared" si="40"/>
        <v>2.05</v>
      </c>
      <c r="Y52" s="178">
        <f t="shared" si="14"/>
        <v>1.86</v>
      </c>
      <c r="Z52" s="192">
        <f t="shared" si="15"/>
        <v>2.97414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25.0</v>
      </c>
      <c r="B53" s="193" t="s">
        <v>91</v>
      </c>
      <c r="C53" s="193">
        <v>92.0</v>
      </c>
      <c r="D53" s="193">
        <v>205.0</v>
      </c>
      <c r="E53" s="193">
        <v>2860.0</v>
      </c>
      <c r="F53" s="193">
        <f t="shared" si="5"/>
        <v>0</v>
      </c>
      <c r="G53" s="193">
        <f t="shared" si="6"/>
        <v>1159.7014</v>
      </c>
      <c r="H53" s="194">
        <f t="shared" si="7"/>
        <v>1159.7014</v>
      </c>
      <c r="I53" s="193">
        <v>1.0</v>
      </c>
      <c r="J53" s="195">
        <f t="shared" si="8"/>
        <v>1159.7014</v>
      </c>
      <c r="K53" s="139"/>
      <c r="L53" s="178">
        <f t="shared" si="17"/>
        <v>5.207</v>
      </c>
      <c r="M53" s="162">
        <f t="shared" si="18"/>
        <v>1</v>
      </c>
      <c r="N53" s="162">
        <f t="shared" si="19"/>
        <v>5.207</v>
      </c>
      <c r="O53" s="139"/>
      <c r="P53" s="139"/>
      <c r="Q53" s="178">
        <v>1180.0</v>
      </c>
      <c r="R53" s="190">
        <v>21.5</v>
      </c>
      <c r="S53" s="178">
        <f t="shared" si="9"/>
        <v>28.6</v>
      </c>
      <c r="T53" s="162">
        <f t="shared" si="10"/>
        <v>1</v>
      </c>
      <c r="U53" s="162">
        <f t="shared" si="11"/>
        <v>28.6</v>
      </c>
      <c r="V53" s="191">
        <f t="shared" si="12"/>
        <v>1159.7014</v>
      </c>
      <c r="W53" s="178">
        <f t="shared" ref="W53:X53" si="41">C53/100</f>
        <v>0.92</v>
      </c>
      <c r="X53" s="178">
        <f t="shared" si="41"/>
        <v>2.05</v>
      </c>
      <c r="Y53" s="178">
        <f t="shared" si="14"/>
        <v>28.6</v>
      </c>
      <c r="Z53" s="192">
        <f t="shared" si="15"/>
        <v>53.9396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26.0</v>
      </c>
      <c r="B54" s="193" t="s">
        <v>91</v>
      </c>
      <c r="C54" s="193">
        <v>92.0</v>
      </c>
      <c r="D54" s="193">
        <v>205.0</v>
      </c>
      <c r="E54" s="193">
        <v>2857.0</v>
      </c>
      <c r="F54" s="193">
        <f t="shared" si="5"/>
        <v>0</v>
      </c>
      <c r="G54" s="193">
        <f t="shared" si="6"/>
        <v>1158.48493</v>
      </c>
      <c r="H54" s="194">
        <f t="shared" si="7"/>
        <v>1158.48493</v>
      </c>
      <c r="I54" s="193">
        <v>1.0</v>
      </c>
      <c r="J54" s="195">
        <f t="shared" si="8"/>
        <v>1158.48493</v>
      </c>
      <c r="K54" s="139"/>
      <c r="L54" s="197"/>
      <c r="M54" s="198">
        <f t="shared" si="18"/>
        <v>1</v>
      </c>
      <c r="N54" s="198"/>
      <c r="O54" s="139"/>
      <c r="P54" s="139"/>
      <c r="Q54" s="178">
        <v>1170.0</v>
      </c>
      <c r="R54" s="190">
        <v>21.5</v>
      </c>
      <c r="S54" s="178">
        <f t="shared" si="9"/>
        <v>28.57</v>
      </c>
      <c r="T54" s="162">
        <f t="shared" si="10"/>
        <v>1</v>
      </c>
      <c r="U54" s="162">
        <f t="shared" si="11"/>
        <v>28.57</v>
      </c>
      <c r="V54" s="191">
        <f t="shared" si="12"/>
        <v>1158.48493</v>
      </c>
      <c r="W54" s="178">
        <f t="shared" ref="W54:X54" si="42">C54/100</f>
        <v>0.92</v>
      </c>
      <c r="X54" s="178">
        <f t="shared" si="42"/>
        <v>2.05</v>
      </c>
      <c r="Y54" s="178">
        <f t="shared" si="14"/>
        <v>28.57</v>
      </c>
      <c r="Z54" s="192">
        <f t="shared" si="15"/>
        <v>53.88302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27.0</v>
      </c>
      <c r="B55" s="193" t="s">
        <v>91</v>
      </c>
      <c r="C55" s="193">
        <v>92.0</v>
      </c>
      <c r="D55" s="193">
        <v>205.0</v>
      </c>
      <c r="E55" s="193">
        <v>1940.0</v>
      </c>
      <c r="F55" s="193">
        <f t="shared" si="5"/>
        <v>0</v>
      </c>
      <c r="G55" s="193">
        <f t="shared" si="6"/>
        <v>786.6506</v>
      </c>
      <c r="H55" s="194">
        <f t="shared" si="7"/>
        <v>786.6506</v>
      </c>
      <c r="I55" s="193">
        <v>1.0</v>
      </c>
      <c r="J55" s="195">
        <f t="shared" si="8"/>
        <v>786.6506</v>
      </c>
      <c r="K55" s="139"/>
      <c r="L55" s="197"/>
      <c r="M55" s="198">
        <f t="shared" si="18"/>
        <v>1</v>
      </c>
      <c r="N55" s="198"/>
      <c r="O55" s="139"/>
      <c r="P55" s="139"/>
      <c r="Q55" s="178">
        <v>775.0</v>
      </c>
      <c r="R55" s="190">
        <v>21.5</v>
      </c>
      <c r="S55" s="178">
        <f t="shared" si="9"/>
        <v>19.4</v>
      </c>
      <c r="T55" s="162">
        <f t="shared" si="10"/>
        <v>1</v>
      </c>
      <c r="U55" s="162">
        <f t="shared" si="11"/>
        <v>19.4</v>
      </c>
      <c r="V55" s="191">
        <f t="shared" si="12"/>
        <v>786.6506</v>
      </c>
      <c r="W55" s="178">
        <f t="shared" ref="W55:X55" si="43">C55/100</f>
        <v>0.92</v>
      </c>
      <c r="X55" s="178">
        <f t="shared" si="43"/>
        <v>2.05</v>
      </c>
      <c r="Y55" s="178">
        <f t="shared" si="14"/>
        <v>19.4</v>
      </c>
      <c r="Z55" s="192">
        <f t="shared" si="15"/>
        <v>36.5884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28.0</v>
      </c>
      <c r="B56" s="183" t="s">
        <v>102</v>
      </c>
      <c r="C56" s="184">
        <v>75.0</v>
      </c>
      <c r="D56" s="184">
        <v>223.0</v>
      </c>
      <c r="E56" s="184">
        <v>211.0</v>
      </c>
      <c r="F56" s="184">
        <f t="shared" si="5"/>
        <v>0.8</v>
      </c>
      <c r="G56" s="184">
        <f t="shared" si="6"/>
        <v>77.63745</v>
      </c>
      <c r="H56" s="185">
        <f t="shared" si="7"/>
        <v>62.10996</v>
      </c>
      <c r="I56" s="184">
        <v>1.0</v>
      </c>
      <c r="J56" s="186">
        <f t="shared" si="8"/>
        <v>62.10996</v>
      </c>
      <c r="K56" s="187"/>
      <c r="L56" s="188"/>
      <c r="M56" s="189">
        <f t="shared" si="18"/>
        <v>1</v>
      </c>
      <c r="N56" s="189"/>
      <c r="O56" s="187"/>
      <c r="P56" s="187"/>
      <c r="Q56" s="188">
        <v>82.0</v>
      </c>
      <c r="R56" s="190">
        <v>22.0</v>
      </c>
      <c r="S56" s="178">
        <f t="shared" si="9"/>
        <v>2.11</v>
      </c>
      <c r="T56" s="162">
        <f t="shared" si="10"/>
        <v>1</v>
      </c>
      <c r="U56" s="162">
        <f t="shared" si="11"/>
        <v>2.11</v>
      </c>
      <c r="V56" s="191">
        <f t="shared" si="12"/>
        <v>77.63745</v>
      </c>
      <c r="W56" s="178">
        <f t="shared" ref="W56:X56" si="44">C56/100</f>
        <v>0.75</v>
      </c>
      <c r="X56" s="178">
        <f t="shared" si="44"/>
        <v>2.23</v>
      </c>
      <c r="Y56" s="178">
        <f t="shared" si="14"/>
        <v>2.11</v>
      </c>
      <c r="Z56" s="192">
        <f t="shared" si="15"/>
        <v>3.528975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29.0</v>
      </c>
      <c r="B57" s="193" t="s">
        <v>100</v>
      </c>
      <c r="C57" s="193">
        <v>80.0</v>
      </c>
      <c r="D57" s="193">
        <v>223.0</v>
      </c>
      <c r="E57" s="193">
        <v>190.0</v>
      </c>
      <c r="F57" s="193">
        <f t="shared" si="5"/>
        <v>0</v>
      </c>
      <c r="G57" s="193">
        <f t="shared" si="6"/>
        <v>74.5712</v>
      </c>
      <c r="H57" s="194">
        <f t="shared" si="7"/>
        <v>74.5712</v>
      </c>
      <c r="I57" s="193">
        <v>1.0</v>
      </c>
      <c r="J57" s="195">
        <f t="shared" si="8"/>
        <v>74.5712</v>
      </c>
      <c r="K57" s="139"/>
      <c r="L57" s="197"/>
      <c r="M57" s="198">
        <f t="shared" si="18"/>
        <v>1</v>
      </c>
      <c r="N57" s="198"/>
      <c r="O57" s="139"/>
      <c r="P57" s="139"/>
      <c r="Q57" s="178">
        <v>77.0</v>
      </c>
      <c r="R57" s="190">
        <v>22.0</v>
      </c>
      <c r="S57" s="178">
        <f t="shared" si="9"/>
        <v>1.9</v>
      </c>
      <c r="T57" s="162">
        <f t="shared" si="10"/>
        <v>1</v>
      </c>
      <c r="U57" s="162">
        <f t="shared" si="11"/>
        <v>1.9</v>
      </c>
      <c r="V57" s="191">
        <f t="shared" si="12"/>
        <v>74.5712</v>
      </c>
      <c r="W57" s="178">
        <f t="shared" ref="W57:X57" si="45">C57/100</f>
        <v>0.8</v>
      </c>
      <c r="X57" s="178">
        <f t="shared" si="45"/>
        <v>2.23</v>
      </c>
      <c r="Y57" s="178">
        <f t="shared" si="14"/>
        <v>1.9</v>
      </c>
      <c r="Z57" s="192">
        <f t="shared" si="15"/>
        <v>3.3896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30.0</v>
      </c>
      <c r="B58" s="193" t="s">
        <v>100</v>
      </c>
      <c r="C58" s="193">
        <v>88.0</v>
      </c>
      <c r="D58" s="193">
        <v>223.0</v>
      </c>
      <c r="E58" s="193">
        <v>2705.0</v>
      </c>
      <c r="F58" s="193">
        <f t="shared" si="5"/>
        <v>0</v>
      </c>
      <c r="G58" s="193">
        <f t="shared" si="6"/>
        <v>1167.82424</v>
      </c>
      <c r="H58" s="194">
        <f t="shared" si="7"/>
        <v>1167.82424</v>
      </c>
      <c r="I58" s="193">
        <v>1.0</v>
      </c>
      <c r="J58" s="195">
        <f t="shared" si="8"/>
        <v>1167.82424</v>
      </c>
      <c r="K58" s="139"/>
      <c r="L58" s="197"/>
      <c r="M58" s="198">
        <f t="shared" si="18"/>
        <v>1</v>
      </c>
      <c r="N58" s="198"/>
      <c r="O58" s="139"/>
      <c r="P58" s="139"/>
      <c r="Q58" s="178">
        <v>1185.0</v>
      </c>
      <c r="R58" s="190">
        <v>22.0</v>
      </c>
      <c r="S58" s="178">
        <f t="shared" si="9"/>
        <v>27.05</v>
      </c>
      <c r="T58" s="162">
        <f t="shared" si="10"/>
        <v>1</v>
      </c>
      <c r="U58" s="162">
        <f t="shared" si="11"/>
        <v>27.05</v>
      </c>
      <c r="V58" s="191">
        <f t="shared" si="12"/>
        <v>1167.82424</v>
      </c>
      <c r="W58" s="178">
        <f t="shared" ref="W58:X58" si="46">C58/100</f>
        <v>0.88</v>
      </c>
      <c r="X58" s="178">
        <f t="shared" si="46"/>
        <v>2.23</v>
      </c>
      <c r="Y58" s="178">
        <f t="shared" si="14"/>
        <v>27.05</v>
      </c>
      <c r="Z58" s="192">
        <f t="shared" si="15"/>
        <v>53.08292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31.0</v>
      </c>
      <c r="B59" s="183" t="s">
        <v>110</v>
      </c>
      <c r="C59" s="193">
        <v>65.0</v>
      </c>
      <c r="D59" s="193">
        <v>223.0</v>
      </c>
      <c r="E59" s="193">
        <v>159.0</v>
      </c>
      <c r="F59" s="193">
        <f t="shared" si="5"/>
        <v>0.8</v>
      </c>
      <c r="G59" s="193">
        <f t="shared" si="6"/>
        <v>48.398805</v>
      </c>
      <c r="H59" s="194">
        <f t="shared" si="7"/>
        <v>38.719044</v>
      </c>
      <c r="I59" s="193">
        <v>1.0</v>
      </c>
      <c r="J59" s="195">
        <f t="shared" si="8"/>
        <v>38.719044</v>
      </c>
      <c r="K59" s="139"/>
      <c r="L59" s="197"/>
      <c r="M59" s="198">
        <f t="shared" si="18"/>
        <v>1</v>
      </c>
      <c r="N59" s="198"/>
      <c r="O59" s="139"/>
      <c r="P59" s="139"/>
      <c r="Q59" s="178">
        <v>56.0</v>
      </c>
      <c r="R59" s="190">
        <v>21.0</v>
      </c>
      <c r="S59" s="178">
        <f t="shared" si="9"/>
        <v>1.59</v>
      </c>
      <c r="T59" s="162">
        <f t="shared" si="10"/>
        <v>1</v>
      </c>
      <c r="U59" s="162">
        <f t="shared" si="11"/>
        <v>1.59</v>
      </c>
      <c r="V59" s="191">
        <f t="shared" si="12"/>
        <v>48.398805</v>
      </c>
      <c r="W59" s="178">
        <f t="shared" ref="W59:X59" si="47">C59/100</f>
        <v>0.65</v>
      </c>
      <c r="X59" s="178">
        <f t="shared" si="47"/>
        <v>2.23</v>
      </c>
      <c r="Y59" s="178">
        <f t="shared" si="14"/>
        <v>1.59</v>
      </c>
      <c r="Z59" s="192">
        <f t="shared" si="15"/>
        <v>2.304705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32.0</v>
      </c>
      <c r="B60" s="193" t="s">
        <v>111</v>
      </c>
      <c r="C60" s="193">
        <v>80.0</v>
      </c>
      <c r="D60" s="193">
        <v>223.0</v>
      </c>
      <c r="E60" s="193">
        <v>170.0</v>
      </c>
      <c r="F60" s="193">
        <f t="shared" si="5"/>
        <v>0</v>
      </c>
      <c r="G60" s="193">
        <f t="shared" si="6"/>
        <v>63.6888</v>
      </c>
      <c r="H60" s="194">
        <f t="shared" si="7"/>
        <v>63.6888</v>
      </c>
      <c r="I60" s="193">
        <v>1.0</v>
      </c>
      <c r="J60" s="195">
        <f t="shared" si="8"/>
        <v>63.6888</v>
      </c>
      <c r="K60" s="139"/>
      <c r="L60" s="197"/>
      <c r="M60" s="198">
        <f t="shared" si="18"/>
        <v>1</v>
      </c>
      <c r="N60" s="198"/>
      <c r="O60" s="139"/>
      <c r="P60" s="139"/>
      <c r="Q60" s="178">
        <v>70.0</v>
      </c>
      <c r="R60" s="190">
        <v>21.0</v>
      </c>
      <c r="S60" s="178">
        <f t="shared" si="9"/>
        <v>1.7</v>
      </c>
      <c r="T60" s="162">
        <f t="shared" si="10"/>
        <v>1</v>
      </c>
      <c r="U60" s="162">
        <f t="shared" si="11"/>
        <v>1.7</v>
      </c>
      <c r="V60" s="191">
        <f t="shared" si="12"/>
        <v>63.6888</v>
      </c>
      <c r="W60" s="178">
        <f t="shared" ref="W60:X60" si="48">C60/100</f>
        <v>0.8</v>
      </c>
      <c r="X60" s="178">
        <f t="shared" si="48"/>
        <v>2.23</v>
      </c>
      <c r="Y60" s="178">
        <f t="shared" si="14"/>
        <v>1.7</v>
      </c>
      <c r="Z60" s="192">
        <f t="shared" si="15"/>
        <v>3.0328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101.0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49">C61/100</f>
        <v>0</v>
      </c>
      <c r="X61" s="199">
        <f t="shared" si="49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102.0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0">C62/100</f>
        <v>0</v>
      </c>
      <c r="X62" s="199">
        <f t="shared" si="50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103.0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1">C63/100</f>
        <v>0</v>
      </c>
      <c r="X63" s="199">
        <f t="shared" si="51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104.0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2">C64/100</f>
        <v>0</v>
      </c>
      <c r="X64" s="199">
        <f t="shared" si="52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105.0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3">C65/100</f>
        <v>0</v>
      </c>
      <c r="X65" s="199">
        <f t="shared" si="53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106.0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4">C66/100</f>
        <v>0</v>
      </c>
      <c r="X66" s="199">
        <f t="shared" si="54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107.0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5">C67/100</f>
        <v>0</v>
      </c>
      <c r="X67" s="199">
        <f t="shared" si="55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108.0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6">C68/100</f>
        <v>0</v>
      </c>
      <c r="X68" s="199">
        <f t="shared" si="56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109.0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7">C69/100</f>
        <v>0</v>
      </c>
      <c r="X69" s="199">
        <f t="shared" si="57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110.0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8">C70/100</f>
        <v>0</v>
      </c>
      <c r="X70" s="199">
        <f t="shared" si="58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111.0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59">C71/100</f>
        <v>0</v>
      </c>
      <c r="X71" s="199">
        <f t="shared" si="59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112.0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0">C72/100</f>
        <v>0</v>
      </c>
      <c r="X72" s="199">
        <f t="shared" si="60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113.0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1">C73/100</f>
        <v>0</v>
      </c>
      <c r="X73" s="199">
        <f t="shared" si="61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114.0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2">C74/100</f>
        <v>0</v>
      </c>
      <c r="X74" s="199">
        <f t="shared" si="62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115.0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3">C75/100</f>
        <v>0</v>
      </c>
      <c r="X75" s="199">
        <f t="shared" si="63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116.0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4">C76/100</f>
        <v>0</v>
      </c>
      <c r="X76" s="199">
        <f t="shared" si="64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117.0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5">C77/100</f>
        <v>0</v>
      </c>
      <c r="X77" s="199">
        <f t="shared" si="65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118.0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6">C78/100</f>
        <v>0</v>
      </c>
      <c r="X78" s="199">
        <f t="shared" si="66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119.0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7">C79/100</f>
        <v>0</v>
      </c>
      <c r="X79" s="199">
        <f t="shared" si="67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120.0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8">C80/100</f>
        <v>0</v>
      </c>
      <c r="X80" s="199">
        <f t="shared" si="68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121.0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9">C81/100</f>
        <v>0</v>
      </c>
      <c r="X81" s="199">
        <f t="shared" si="69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122.0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0">C82/100</f>
        <v>0</v>
      </c>
      <c r="X82" s="199">
        <f t="shared" si="70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123.0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1">C83/100</f>
        <v>0</v>
      </c>
      <c r="X83" s="199">
        <f t="shared" si="71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124.0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2">C84/100</f>
        <v>0</v>
      </c>
      <c r="X84" s="199">
        <f t="shared" si="72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125.0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3">C85/100</f>
        <v>0</v>
      </c>
      <c r="X85" s="199">
        <f t="shared" si="73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126.0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4">C86/100</f>
        <v>0</v>
      </c>
      <c r="X86" s="199">
        <f t="shared" si="74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127.0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5">C87/100</f>
        <v>0</v>
      </c>
      <c r="X87" s="199">
        <f t="shared" si="75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128.0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6">C88/100</f>
        <v>0</v>
      </c>
      <c r="X88" s="199">
        <f t="shared" si="76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129.0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7">C89/100</f>
        <v>0</v>
      </c>
      <c r="X89" s="199">
        <f t="shared" si="77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130.0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8">C90/100</f>
        <v>0</v>
      </c>
      <c r="X90" s="199">
        <f t="shared" si="78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131.0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9">C91/100</f>
        <v>0</v>
      </c>
      <c r="X91" s="199">
        <f t="shared" si="79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132.0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0">C92/100</f>
        <v>0</v>
      </c>
      <c r="X92" s="199">
        <f t="shared" si="80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133.0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1">C93/100</f>
        <v>0</v>
      </c>
      <c r="X93" s="199">
        <f t="shared" si="81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134.0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2">C94/100</f>
        <v>0</v>
      </c>
      <c r="X94" s="199">
        <f t="shared" si="82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135.0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3">C95/100</f>
        <v>0</v>
      </c>
      <c r="X95" s="199">
        <f t="shared" si="83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136.0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4">C96/100</f>
        <v>0</v>
      </c>
      <c r="X96" s="199">
        <f t="shared" si="84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137.0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5">C97/100</f>
        <v>0</v>
      </c>
      <c r="X97" s="199">
        <f t="shared" si="85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138.0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6">C98/100</f>
        <v>0</v>
      </c>
      <c r="X98" s="199">
        <f t="shared" si="86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139.0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7">C99/100</f>
        <v>0</v>
      </c>
      <c r="X99" s="199">
        <f t="shared" si="87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140.0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8">C100/100</f>
        <v>0</v>
      </c>
      <c r="X100" s="199">
        <f t="shared" si="88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141.0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9">C101/100</f>
        <v>0</v>
      </c>
      <c r="X101" s="199">
        <f t="shared" si="89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142.0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0">C102/100</f>
        <v>0</v>
      </c>
      <c r="X102" s="199">
        <f t="shared" si="90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143.0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1">C103/100</f>
        <v>0</v>
      </c>
      <c r="X103" s="199">
        <f t="shared" si="91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144.0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2">C104/100</f>
        <v>0</v>
      </c>
      <c r="X104" s="199">
        <f t="shared" si="92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145.0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3">C105/100</f>
        <v>0</v>
      </c>
      <c r="X105" s="199">
        <f t="shared" si="93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146.0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4">C106/100</f>
        <v>0</v>
      </c>
      <c r="X106" s="199">
        <f t="shared" si="94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147.0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5">C107/100</f>
        <v>0</v>
      </c>
      <c r="X107" s="199">
        <f t="shared" si="95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148.0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6">C108/100</f>
        <v>0</v>
      </c>
      <c r="X108" s="199">
        <f t="shared" si="96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149.0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7">C109/100</f>
        <v>0</v>
      </c>
      <c r="X109" s="199">
        <f t="shared" si="97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150.0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8">C110/100</f>
        <v>0</v>
      </c>
      <c r="X110" s="199">
        <f t="shared" si="98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151.0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9">C111/100</f>
        <v>0</v>
      </c>
      <c r="X111" s="199">
        <f t="shared" si="99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152.0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0">C112/100</f>
        <v>0</v>
      </c>
      <c r="X112" s="199">
        <f t="shared" si="100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153.0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1">C113/100</f>
        <v>0</v>
      </c>
      <c r="X113" s="199">
        <f t="shared" si="101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154.0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2">C114/100</f>
        <v>0</v>
      </c>
      <c r="X114" s="199">
        <f t="shared" si="102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155.0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3">C115/100</f>
        <v>0</v>
      </c>
      <c r="X115" s="199">
        <f t="shared" si="103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156.0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4">C116/100</f>
        <v>0</v>
      </c>
      <c r="X116" s="199">
        <f t="shared" si="104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157.0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5">C117/100</f>
        <v>0</v>
      </c>
      <c r="X117" s="199">
        <f t="shared" si="105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158.0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6">C118/100</f>
        <v>0</v>
      </c>
      <c r="X118" s="199">
        <f t="shared" si="106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159.0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7">C119/100</f>
        <v>0</v>
      </c>
      <c r="X119" s="199">
        <f t="shared" si="107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160.0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8">C120/100</f>
        <v>0</v>
      </c>
      <c r="X120" s="199">
        <f t="shared" si="108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161.0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9">C121/100</f>
        <v>0</v>
      </c>
      <c r="X121" s="199">
        <f t="shared" si="109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162.0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0">C122/100</f>
        <v>0</v>
      </c>
      <c r="X122" s="199">
        <f t="shared" si="110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163.0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1">C123/100</f>
        <v>0</v>
      </c>
      <c r="X123" s="199">
        <f t="shared" si="111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164.0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2">C124/100</f>
        <v>0</v>
      </c>
      <c r="X124" s="199">
        <f t="shared" si="112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165.0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3">C125/100</f>
        <v>0</v>
      </c>
      <c r="X125" s="199">
        <f t="shared" si="113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166.0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4">C126/100</f>
        <v>0</v>
      </c>
      <c r="X126" s="199">
        <f t="shared" si="114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167.0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5">C127/100</f>
        <v>0</v>
      </c>
      <c r="X127" s="199">
        <f t="shared" si="115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168.0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6">C128/100</f>
        <v>0</v>
      </c>
      <c r="X128" s="199">
        <f t="shared" si="116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169.0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7">C129/100</f>
        <v>0</v>
      </c>
      <c r="X129" s="199">
        <f t="shared" si="117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170.0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8">C130/100</f>
        <v>0</v>
      </c>
      <c r="X130" s="199">
        <f t="shared" si="118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171.0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9">C131/100</f>
        <v>0</v>
      </c>
      <c r="X131" s="199">
        <f t="shared" si="119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172.0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0">C132/100</f>
        <v>0</v>
      </c>
      <c r="X132" s="199">
        <f t="shared" si="120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173.0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1">C133/100</f>
        <v>0</v>
      </c>
      <c r="X133" s="199">
        <f t="shared" si="121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174.0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2">C134/100</f>
        <v>0</v>
      </c>
      <c r="X134" s="199">
        <f t="shared" si="122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175.0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3">C135/100</f>
        <v>0</v>
      </c>
      <c r="X135" s="199">
        <f t="shared" si="123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176.0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4">C136/100</f>
        <v>0</v>
      </c>
      <c r="X136" s="199">
        <f t="shared" si="124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177.0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5">C137/100</f>
        <v>0</v>
      </c>
      <c r="X137" s="199">
        <f t="shared" si="125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178.0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6">C138/100</f>
        <v>0</v>
      </c>
      <c r="X138" s="199">
        <f t="shared" si="126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179.0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7">C139/100</f>
        <v>0</v>
      </c>
      <c r="X139" s="199">
        <f t="shared" si="127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180.0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8">C140/100</f>
        <v>0</v>
      </c>
      <c r="X140" s="199">
        <f t="shared" si="128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181.0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9">C141/100</f>
        <v>0</v>
      </c>
      <c r="X141" s="199">
        <f t="shared" si="129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182.0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0">C142/100</f>
        <v>0</v>
      </c>
      <c r="X142" s="199">
        <f t="shared" si="130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183.0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1">C143/100</f>
        <v>0</v>
      </c>
      <c r="X143" s="199">
        <f t="shared" si="131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184.0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2">C144/100</f>
        <v>0</v>
      </c>
      <c r="X144" s="199">
        <f t="shared" si="132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185.0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3">C145/100</f>
        <v>0</v>
      </c>
      <c r="X145" s="199">
        <f t="shared" si="133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186.0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4">C146/100</f>
        <v>0</v>
      </c>
      <c r="X146" s="199">
        <f t="shared" si="134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187.0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5">C147/100</f>
        <v>0</v>
      </c>
      <c r="X147" s="199">
        <f t="shared" si="135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188.0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6">C148/100</f>
        <v>0</v>
      </c>
      <c r="X148" s="199">
        <f t="shared" si="136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189.0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7">C149/100</f>
        <v>0</v>
      </c>
      <c r="X149" s="199">
        <f t="shared" si="137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190.0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8">C150/100</f>
        <v>0</v>
      </c>
      <c r="X150" s="199">
        <f t="shared" si="138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191.0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9">C151/100</f>
        <v>0</v>
      </c>
      <c r="X151" s="199">
        <f t="shared" si="139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192.0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0">C152/100</f>
        <v>0</v>
      </c>
      <c r="X152" s="199">
        <f t="shared" si="140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193.0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1">C153/100</f>
        <v>0</v>
      </c>
      <c r="X153" s="199">
        <f t="shared" si="141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194.0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2">C154/100</f>
        <v>0</v>
      </c>
      <c r="X154" s="199">
        <f t="shared" si="142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195.0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3">C155/100</f>
        <v>0</v>
      </c>
      <c r="X155" s="199">
        <f t="shared" si="143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196.0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4">C156/100</f>
        <v>0</v>
      </c>
      <c r="X156" s="199">
        <f t="shared" si="144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197.0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5">C157/100</f>
        <v>0</v>
      </c>
      <c r="X157" s="199">
        <f t="shared" si="145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198.0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6">C158/100</f>
        <v>0</v>
      </c>
      <c r="X158" s="199">
        <f t="shared" si="146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199.0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7">C159/100</f>
        <v>0</v>
      </c>
      <c r="X159" s="199">
        <f t="shared" si="147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200.0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8">C160/100</f>
        <v>0</v>
      </c>
      <c r="X160" s="199">
        <f t="shared" si="148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201.0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9">C161/100</f>
        <v>0</v>
      </c>
      <c r="X161" s="199">
        <f t="shared" si="149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202.0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0">C162/100</f>
        <v>0</v>
      </c>
      <c r="X162" s="199">
        <f t="shared" si="150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203.0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1">C163/100</f>
        <v>0</v>
      </c>
      <c r="X163" s="199">
        <f t="shared" si="151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204.0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2">C164/100</f>
        <v>0</v>
      </c>
      <c r="X164" s="199">
        <f t="shared" si="152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205.0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3">C165/100</f>
        <v>0</v>
      </c>
      <c r="X165" s="199">
        <f t="shared" si="153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206.0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4">C166/100</f>
        <v>0</v>
      </c>
      <c r="X166" s="199">
        <f t="shared" si="154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207.0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5">C167/100</f>
        <v>0</v>
      </c>
      <c r="X167" s="199">
        <f t="shared" si="155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208.0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6">C168/100</f>
        <v>0</v>
      </c>
      <c r="X168" s="199">
        <f t="shared" si="156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209.0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7">C169/100</f>
        <v>0</v>
      </c>
      <c r="X169" s="199">
        <f t="shared" si="157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210.0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8">C170/100</f>
        <v>0</v>
      </c>
      <c r="X170" s="199">
        <f t="shared" si="158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211.0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9">C171/100</f>
        <v>0</v>
      </c>
      <c r="X171" s="199">
        <f t="shared" si="159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212.0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0">C172/100</f>
        <v>0</v>
      </c>
      <c r="X172" s="199">
        <f t="shared" si="160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213.0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1">C173/100</f>
        <v>0</v>
      </c>
      <c r="X173" s="199">
        <f t="shared" si="161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214.0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2">C174/100</f>
        <v>0</v>
      </c>
      <c r="X174" s="199">
        <f t="shared" si="162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215.0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3">C175/100</f>
        <v>0</v>
      </c>
      <c r="X175" s="199">
        <f t="shared" si="163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216.0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4">C176/100</f>
        <v>0</v>
      </c>
      <c r="X176" s="199">
        <f t="shared" si="164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217.0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5">C177/100</f>
        <v>0</v>
      </c>
      <c r="X177" s="199">
        <f t="shared" si="165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62"/>
      <c r="B178" s="178"/>
      <c r="C178" s="178"/>
      <c r="D178" s="178"/>
      <c r="E178" s="178"/>
      <c r="F178" s="178"/>
      <c r="G178" s="178"/>
      <c r="H178" s="181"/>
      <c r="I178" s="162"/>
      <c r="J178" s="204">
        <f>+Q230</f>
        <v>146.8</v>
      </c>
      <c r="K178" s="139"/>
      <c r="L178" s="139"/>
      <c r="M178" s="139"/>
      <c r="N178" s="139"/>
      <c r="O178" s="139"/>
      <c r="P178" s="139"/>
      <c r="Q178" s="139"/>
      <c r="R178" s="205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6">C178/100</f>
        <v>0</v>
      </c>
      <c r="X178" s="199">
        <f t="shared" si="166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62"/>
      <c r="B179" s="206"/>
      <c r="C179" s="206"/>
      <c r="D179" s="206"/>
      <c r="E179" s="206"/>
      <c r="F179" s="206"/>
      <c r="G179" s="206"/>
      <c r="H179" s="207"/>
      <c r="I179" s="208">
        <f>SUM(I29:I177)</f>
        <v>32</v>
      </c>
      <c r="J179" s="209">
        <f>SUM(J29:J178)</f>
        <v>17304.30669</v>
      </c>
      <c r="K179" s="210"/>
      <c r="L179" s="210"/>
      <c r="M179" s="210"/>
      <c r="N179" s="210"/>
      <c r="O179" s="210"/>
      <c r="P179" s="210"/>
      <c r="Q179" s="210"/>
      <c r="R179" s="141"/>
      <c r="S179" s="210">
        <f>SUMIFS($T$29:$T$177,$S$29:$S$177,"&gt;=3")</f>
        <v>12</v>
      </c>
      <c r="T179" s="210">
        <f t="shared" ref="T179:U179" si="167">SUM(T29:T177)</f>
        <v>32</v>
      </c>
      <c r="U179" s="210">
        <f t="shared" si="167"/>
        <v>367.12</v>
      </c>
      <c r="V179" s="210"/>
      <c r="W179" s="210"/>
      <c r="X179" s="210"/>
      <c r="Y179" s="210"/>
      <c r="Z179" s="211">
        <f>SUM(Z29:Z178)</f>
        <v>743.905832</v>
      </c>
      <c r="AA179" s="210"/>
      <c r="AB179" s="210"/>
      <c r="AC179" s="210"/>
      <c r="AD179" s="210"/>
      <c r="AE179" s="210"/>
      <c r="AF179" s="210"/>
      <c r="AG179" s="210"/>
      <c r="AH179" s="210"/>
      <c r="AI179" s="210"/>
      <c r="AJ179" s="210"/>
      <c r="AK179" s="210"/>
      <c r="AL179" s="210"/>
      <c r="AM179" s="210"/>
      <c r="AN179" s="210"/>
      <c r="AO179" s="210"/>
      <c r="AP179" s="210"/>
      <c r="AQ179" s="210"/>
      <c r="AR179" s="210"/>
      <c r="AS179" s="210"/>
      <c r="AT179" s="210"/>
    </row>
    <row r="180" ht="29.2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141"/>
      <c r="S180" s="203"/>
      <c r="T180" s="139">
        <f>+T179-S179</f>
        <v>20</v>
      </c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205"/>
      <c r="S181" s="139"/>
      <c r="T181" s="139" t="s">
        <v>48</v>
      </c>
      <c r="U181" s="139" t="s">
        <v>68</v>
      </c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139" t="s">
        <v>31</v>
      </c>
      <c r="T182" s="210">
        <f>SUMIFS($J$29:$J$177,$S$29:$S$177,"&gt;=3")</f>
        <v>15624.96334</v>
      </c>
      <c r="U182" s="213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 t="s">
        <v>32</v>
      </c>
      <c r="B183" s="139"/>
      <c r="C183" s="139"/>
      <c r="D183" s="139" t="s">
        <v>33</v>
      </c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141"/>
      <c r="S183" s="139" t="s">
        <v>34</v>
      </c>
      <c r="T183" s="266">
        <f>J179-T182</f>
        <v>1679.343346</v>
      </c>
      <c r="U183" s="210">
        <f>+SUMIFS($U$29:$U$177,$S$29:$S$177,"&gt;=3")</f>
        <v>329.34</v>
      </c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9.25" customHeight="1">
      <c r="A184" s="139"/>
      <c r="B184" s="139"/>
      <c r="C184" s="139"/>
      <c r="D184" s="139"/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205"/>
      <c r="S184" s="139"/>
      <c r="T184" s="214">
        <f>+I179</f>
        <v>32</v>
      </c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39.0" customHeight="1">
      <c r="A185" s="178"/>
      <c r="B185" s="162" t="s">
        <v>12</v>
      </c>
      <c r="C185" s="179" t="s">
        <v>69</v>
      </c>
      <c r="D185" s="52"/>
      <c r="E185" s="53"/>
      <c r="F185" s="180"/>
      <c r="G185" s="180"/>
      <c r="H185" s="181" t="s">
        <v>14</v>
      </c>
      <c r="I185" s="162" t="s">
        <v>15</v>
      </c>
      <c r="J185" s="162" t="s">
        <v>16</v>
      </c>
      <c r="K185" s="139"/>
      <c r="L185" s="139"/>
      <c r="M185" s="139"/>
      <c r="N185" s="139"/>
      <c r="O185" s="139"/>
      <c r="P185" s="139"/>
      <c r="Q185" s="139"/>
      <c r="R185" s="141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customHeight="1">
      <c r="A186" s="155">
        <v>1.0</v>
      </c>
      <c r="B186" s="215" t="s">
        <v>63</v>
      </c>
      <c r="C186" s="215">
        <v>96.0</v>
      </c>
      <c r="D186" s="215">
        <v>184.0</v>
      </c>
      <c r="E186" s="215">
        <v>173.0</v>
      </c>
      <c r="F186" s="215">
        <f t="shared" ref="F186:F192" si="168">1-VALUE(IF(RIGHT(B186, 1)="%", RIGHT(B186, 3), 0))</f>
        <v>0.2</v>
      </c>
      <c r="G186" s="215">
        <f t="shared" ref="G186:G192" si="169">+Q186*C186/100*D186/100*E186/100</f>
        <v>0</v>
      </c>
      <c r="H186" s="216">
        <f t="shared" ref="H186:H192" si="170">IF(F186=0, G186, F186*G186)</f>
        <v>0</v>
      </c>
      <c r="I186" s="215">
        <v>1.0</v>
      </c>
      <c r="J186" s="217">
        <v>94.732032</v>
      </c>
      <c r="K186" s="139"/>
      <c r="L186" s="178">
        <f t="shared" ref="L186:L190" si="171">D186*25.4/1000</f>
        <v>4.6736</v>
      </c>
      <c r="M186" s="162">
        <f t="shared" ref="M186:M190" si="172">+I186</f>
        <v>1</v>
      </c>
      <c r="N186" s="162">
        <f t="shared" ref="N186:N190" si="173">M186*L186</f>
        <v>4.6736</v>
      </c>
      <c r="O186" s="139"/>
      <c r="P186" s="139"/>
      <c r="Q186" s="139"/>
      <c r="R186" s="141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5">
        <v>2.0</v>
      </c>
      <c r="B187" s="215" t="s">
        <v>66</v>
      </c>
      <c r="C187" s="215">
        <v>84.0</v>
      </c>
      <c r="D187" s="215">
        <v>195.0</v>
      </c>
      <c r="E187" s="215">
        <v>149.0</v>
      </c>
      <c r="F187" s="215">
        <f t="shared" si="168"/>
        <v>0.2</v>
      </c>
      <c r="G187" s="215">
        <f t="shared" si="169"/>
        <v>0</v>
      </c>
      <c r="H187" s="216">
        <f t="shared" si="170"/>
        <v>0</v>
      </c>
      <c r="I187" s="215">
        <v>1.0</v>
      </c>
      <c r="J187" s="217">
        <v>53.69364</v>
      </c>
      <c r="K187" s="139"/>
      <c r="L187" s="178">
        <f t="shared" si="171"/>
        <v>4.953</v>
      </c>
      <c r="M187" s="162">
        <f t="shared" si="172"/>
        <v>1</v>
      </c>
      <c r="N187" s="162">
        <f t="shared" si="173"/>
        <v>4.953</v>
      </c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5">
        <v>3.0</v>
      </c>
      <c r="B188" s="218" t="s">
        <v>85</v>
      </c>
      <c r="C188" s="218">
        <v>92.0</v>
      </c>
      <c r="D188" s="218">
        <v>202.0</v>
      </c>
      <c r="E188" s="218">
        <v>154.0</v>
      </c>
      <c r="F188" s="218">
        <f t="shared" si="168"/>
        <v>0.2</v>
      </c>
      <c r="G188" s="218">
        <f t="shared" si="169"/>
        <v>0</v>
      </c>
      <c r="H188" s="219">
        <f t="shared" si="170"/>
        <v>0</v>
      </c>
      <c r="I188" s="218">
        <v>1.0</v>
      </c>
      <c r="J188" s="195">
        <v>72.97936800000001</v>
      </c>
      <c r="K188" s="139"/>
      <c r="L188" s="178">
        <f t="shared" si="171"/>
        <v>5.1308</v>
      </c>
      <c r="M188" s="162">
        <f t="shared" si="172"/>
        <v>1</v>
      </c>
      <c r="N188" s="162">
        <f t="shared" si="173"/>
        <v>5.1308</v>
      </c>
      <c r="O188" s="139"/>
      <c r="P188" s="139"/>
      <c r="Q188" s="139"/>
      <c r="R188" s="139"/>
      <c r="S188" s="220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5">
        <v>4.0</v>
      </c>
      <c r="B189" s="218" t="s">
        <v>109</v>
      </c>
      <c r="C189" s="218">
        <v>100.0</v>
      </c>
      <c r="D189" s="218">
        <v>216.0</v>
      </c>
      <c r="E189" s="218">
        <v>205.0</v>
      </c>
      <c r="F189" s="218">
        <f t="shared" si="168"/>
        <v>0.2</v>
      </c>
      <c r="G189" s="218">
        <f t="shared" si="169"/>
        <v>0</v>
      </c>
      <c r="H189" s="219">
        <f t="shared" si="170"/>
        <v>0</v>
      </c>
      <c r="I189" s="218">
        <v>1.0</v>
      </c>
      <c r="J189" s="195">
        <v>97.416</v>
      </c>
      <c r="K189" s="139"/>
      <c r="L189" s="178">
        <f t="shared" si="171"/>
        <v>5.4864</v>
      </c>
      <c r="M189" s="162">
        <f t="shared" si="172"/>
        <v>1</v>
      </c>
      <c r="N189" s="162">
        <f t="shared" si="173"/>
        <v>5.4864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5">
        <v>5.0</v>
      </c>
      <c r="B190" s="218" t="s">
        <v>97</v>
      </c>
      <c r="C190" s="218">
        <v>85.0</v>
      </c>
      <c r="D190" s="218">
        <v>205.0</v>
      </c>
      <c r="E190" s="218">
        <v>208.0</v>
      </c>
      <c r="F190" s="218">
        <f t="shared" si="168"/>
        <v>0.2</v>
      </c>
      <c r="G190" s="218">
        <f t="shared" si="169"/>
        <v>0</v>
      </c>
      <c r="H190" s="219">
        <f t="shared" si="170"/>
        <v>0</v>
      </c>
      <c r="I190" s="218">
        <v>1.0</v>
      </c>
      <c r="J190" s="195">
        <v>77.9246</v>
      </c>
      <c r="K190" s="139"/>
      <c r="L190" s="178">
        <f t="shared" si="171"/>
        <v>5.207</v>
      </c>
      <c r="M190" s="162">
        <f t="shared" si="172"/>
        <v>1</v>
      </c>
      <c r="N190" s="162">
        <f t="shared" si="173"/>
        <v>5.207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5">
        <v>6.0</v>
      </c>
      <c r="B191" s="218" t="s">
        <v>102</v>
      </c>
      <c r="C191" s="218">
        <v>75.0</v>
      </c>
      <c r="D191" s="218">
        <v>223.0</v>
      </c>
      <c r="E191" s="218">
        <v>211.0</v>
      </c>
      <c r="F191" s="218">
        <f t="shared" si="168"/>
        <v>0.2</v>
      </c>
      <c r="G191" s="218">
        <f t="shared" si="169"/>
        <v>0</v>
      </c>
      <c r="H191" s="219">
        <f t="shared" si="170"/>
        <v>0</v>
      </c>
      <c r="I191" s="218">
        <v>1.0</v>
      </c>
      <c r="J191" s="195">
        <v>77.9246</v>
      </c>
      <c r="K191" s="139"/>
      <c r="L191" s="139"/>
      <c r="M191" s="221"/>
      <c r="N191" s="221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customHeight="1">
      <c r="A192" s="155">
        <v>7.0</v>
      </c>
      <c r="B192" s="218" t="s">
        <v>110</v>
      </c>
      <c r="C192" s="218">
        <v>65.0</v>
      </c>
      <c r="D192" s="218">
        <v>223.0</v>
      </c>
      <c r="E192" s="218">
        <v>159.0</v>
      </c>
      <c r="F192" s="218">
        <f t="shared" si="168"/>
        <v>0.2</v>
      </c>
      <c r="G192" s="218">
        <f t="shared" si="169"/>
        <v>0</v>
      </c>
      <c r="H192" s="219">
        <f t="shared" si="170"/>
        <v>0</v>
      </c>
      <c r="I192" s="218">
        <v>1.0</v>
      </c>
      <c r="J192" s="195">
        <v>77.63745</v>
      </c>
      <c r="K192" s="139"/>
      <c r="L192" s="139">
        <f>D192*25.4/1000</f>
        <v>5.6642</v>
      </c>
      <c r="M192" s="221"/>
      <c r="N192" s="221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customHeight="1">
      <c r="A193" s="162"/>
      <c r="B193" s="197"/>
      <c r="C193" s="197"/>
      <c r="D193" s="197"/>
      <c r="E193" s="197"/>
      <c r="F193" s="197"/>
      <c r="G193" s="197"/>
      <c r="H193" s="222" t="s">
        <v>38</v>
      </c>
      <c r="I193" s="197"/>
      <c r="J193" s="223">
        <f>SUM(J186:J192)</f>
        <v>552.30769</v>
      </c>
      <c r="K193" s="139"/>
      <c r="L193" s="139"/>
      <c r="M193" s="139"/>
      <c r="N193" s="139"/>
      <c r="O193" s="139"/>
      <c r="P193" s="139"/>
      <c r="Q193" s="139"/>
      <c r="R193" s="141"/>
      <c r="S193" s="224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18.75" customHeight="1">
      <c r="A194" s="176"/>
      <c r="B194" s="144"/>
      <c r="C194" s="144"/>
      <c r="D194" s="144"/>
      <c r="E194" s="144"/>
      <c r="F194" s="144"/>
      <c r="G194" s="144"/>
      <c r="H194" s="145"/>
      <c r="I194" s="144"/>
      <c r="J194" s="177"/>
      <c r="K194" s="139"/>
      <c r="L194" s="139"/>
      <c r="M194" s="139"/>
      <c r="N194" s="139"/>
      <c r="O194" s="139"/>
      <c r="P194" s="139"/>
      <c r="Q194" s="139"/>
      <c r="R194" s="141"/>
      <c r="S194" s="224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141"/>
      <c r="S195" s="224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18.75" customHeight="1">
      <c r="A196" s="139"/>
      <c r="B196" s="139"/>
      <c r="C196" s="139"/>
      <c r="D196" s="139"/>
      <c r="E196" s="139"/>
      <c r="F196" s="139"/>
      <c r="G196" s="139"/>
      <c r="H196" s="140"/>
      <c r="I196" s="139"/>
      <c r="J196" s="139"/>
      <c r="K196" s="139"/>
      <c r="L196" s="139"/>
      <c r="M196" s="139"/>
      <c r="N196" s="139"/>
      <c r="O196" s="139"/>
      <c r="P196" s="139"/>
      <c r="Q196" s="139"/>
      <c r="R196" s="224"/>
      <c r="S196" s="224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18.75" customHeight="1">
      <c r="A197" s="139" t="s">
        <v>39</v>
      </c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224"/>
      <c r="S197" s="224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18.7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39"/>
      <c r="R198" s="224"/>
      <c r="S198" s="224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42.0" customHeight="1">
      <c r="A199" s="178"/>
      <c r="B199" s="162" t="s">
        <v>12</v>
      </c>
      <c r="C199" s="179" t="s">
        <v>75</v>
      </c>
      <c r="D199" s="52"/>
      <c r="E199" s="53"/>
      <c r="F199" s="225"/>
      <c r="G199" s="225"/>
      <c r="H199" s="181" t="s">
        <v>14</v>
      </c>
      <c r="I199" s="226" t="s">
        <v>15</v>
      </c>
      <c r="J199" s="162" t="s">
        <v>16</v>
      </c>
      <c r="K199" s="139"/>
      <c r="L199" s="139"/>
      <c r="M199" s="139"/>
      <c r="N199" s="139"/>
      <c r="O199" s="139"/>
      <c r="P199" s="139"/>
      <c r="Q199" s="139"/>
      <c r="R199" s="224"/>
      <c r="S199" s="224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2">
        <v>1.0</v>
      </c>
      <c r="B200" s="183" t="s">
        <v>55</v>
      </c>
      <c r="C200" s="200"/>
      <c r="D200" s="200"/>
      <c r="E200" s="200"/>
      <c r="F200" s="200"/>
      <c r="G200" s="200"/>
      <c r="H200" s="227">
        <v>33.0</v>
      </c>
      <c r="I200" s="200">
        <v>1.0</v>
      </c>
      <c r="J200" s="195">
        <f t="shared" ref="J200:J228" si="174">+I200*H200</f>
        <v>33</v>
      </c>
      <c r="K200" s="178"/>
      <c r="L200" s="178"/>
      <c r="M200" s="178"/>
      <c r="N200" s="178"/>
      <c r="O200" s="178"/>
      <c r="P200" s="178"/>
      <c r="Q200" s="228"/>
      <c r="R200" s="224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2">
        <v>2.0</v>
      </c>
      <c r="B201" s="193" t="s">
        <v>55</v>
      </c>
      <c r="C201" s="200"/>
      <c r="D201" s="200"/>
      <c r="E201" s="200"/>
      <c r="F201" s="200"/>
      <c r="G201" s="200"/>
      <c r="H201" s="227">
        <v>27.0</v>
      </c>
      <c r="I201" s="200">
        <v>1.0</v>
      </c>
      <c r="J201" s="195">
        <f t="shared" si="174"/>
        <v>27</v>
      </c>
      <c r="K201" s="178"/>
      <c r="L201" s="178"/>
      <c r="M201" s="178"/>
      <c r="N201" s="178"/>
      <c r="O201" s="178"/>
      <c r="P201" s="178"/>
      <c r="Q201" s="228"/>
      <c r="R201" s="224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customHeight="1">
      <c r="A202" s="162">
        <v>3.0</v>
      </c>
      <c r="B202" s="183" t="s">
        <v>58</v>
      </c>
      <c r="C202" s="200"/>
      <c r="D202" s="200"/>
      <c r="E202" s="200"/>
      <c r="F202" s="200"/>
      <c r="G202" s="200"/>
      <c r="H202" s="227">
        <v>27.0</v>
      </c>
      <c r="I202" s="200">
        <v>1.0</v>
      </c>
      <c r="J202" s="195">
        <f t="shared" si="174"/>
        <v>27</v>
      </c>
      <c r="K202" s="178"/>
      <c r="L202" s="178"/>
      <c r="M202" s="178"/>
      <c r="N202" s="178"/>
      <c r="O202" s="178"/>
      <c r="P202" s="178"/>
      <c r="Q202" s="228"/>
      <c r="R202" s="224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customHeight="1">
      <c r="A203" s="162">
        <v>4.0</v>
      </c>
      <c r="B203" s="193" t="s">
        <v>58</v>
      </c>
      <c r="C203" s="200"/>
      <c r="D203" s="200"/>
      <c r="E203" s="200"/>
      <c r="F203" s="200"/>
      <c r="G203" s="200"/>
      <c r="H203" s="227">
        <v>20.0</v>
      </c>
      <c r="I203" s="200">
        <v>1.0</v>
      </c>
      <c r="J203" s="195">
        <f t="shared" si="174"/>
        <v>20</v>
      </c>
      <c r="K203" s="178"/>
      <c r="L203" s="178"/>
      <c r="M203" s="178"/>
      <c r="N203" s="178"/>
      <c r="O203" s="178"/>
      <c r="P203" s="178"/>
      <c r="Q203" s="228"/>
      <c r="R203" s="224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customHeight="1">
      <c r="A204" s="162">
        <v>5.0</v>
      </c>
      <c r="B204" s="183" t="s">
        <v>78</v>
      </c>
      <c r="C204" s="200"/>
      <c r="D204" s="200"/>
      <c r="E204" s="200"/>
      <c r="F204" s="200"/>
      <c r="G204" s="200"/>
      <c r="H204" s="227">
        <v>31.0</v>
      </c>
      <c r="I204" s="200">
        <v>1.0</v>
      </c>
      <c r="J204" s="195">
        <f t="shared" si="174"/>
        <v>31</v>
      </c>
      <c r="K204" s="178"/>
      <c r="L204" s="178"/>
      <c r="M204" s="178"/>
      <c r="N204" s="178"/>
      <c r="O204" s="178"/>
      <c r="P204" s="178"/>
      <c r="Q204" s="228"/>
      <c r="R204" s="224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customHeight="1">
      <c r="A205" s="162">
        <v>6.0</v>
      </c>
      <c r="B205" s="193" t="s">
        <v>78</v>
      </c>
      <c r="C205" s="200"/>
      <c r="D205" s="200"/>
      <c r="E205" s="200"/>
      <c r="F205" s="200"/>
      <c r="G205" s="200"/>
      <c r="H205" s="227">
        <v>22.0</v>
      </c>
      <c r="I205" s="200">
        <v>1.0</v>
      </c>
      <c r="J205" s="195">
        <f t="shared" si="174"/>
        <v>22</v>
      </c>
      <c r="K205" s="178"/>
      <c r="L205" s="178"/>
      <c r="M205" s="178"/>
      <c r="N205" s="178"/>
      <c r="O205" s="178"/>
      <c r="P205" s="178"/>
      <c r="Q205" s="228"/>
      <c r="R205" s="224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2">
        <v>7.0</v>
      </c>
      <c r="B206" s="183" t="s">
        <v>105</v>
      </c>
      <c r="C206" s="200"/>
      <c r="D206" s="200"/>
      <c r="E206" s="200"/>
      <c r="F206" s="200"/>
      <c r="G206" s="200"/>
      <c r="H206" s="227">
        <v>39.0</v>
      </c>
      <c r="I206" s="200">
        <v>1.0</v>
      </c>
      <c r="J206" s="195">
        <f t="shared" si="174"/>
        <v>39</v>
      </c>
      <c r="K206" s="178"/>
      <c r="L206" s="178"/>
      <c r="M206" s="178"/>
      <c r="N206" s="178"/>
      <c r="O206" s="178"/>
      <c r="P206" s="178"/>
      <c r="Q206" s="228"/>
      <c r="R206" s="224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2">
        <v>8.0</v>
      </c>
      <c r="B207" s="193" t="s">
        <v>105</v>
      </c>
      <c r="C207" s="200"/>
      <c r="D207" s="200"/>
      <c r="E207" s="200"/>
      <c r="F207" s="200"/>
      <c r="G207" s="200"/>
      <c r="H207" s="227">
        <v>29.0</v>
      </c>
      <c r="I207" s="200">
        <v>1.0</v>
      </c>
      <c r="J207" s="195">
        <f t="shared" si="174"/>
        <v>29</v>
      </c>
      <c r="K207" s="178"/>
      <c r="L207" s="178"/>
      <c r="M207" s="178"/>
      <c r="N207" s="178"/>
      <c r="O207" s="178"/>
      <c r="P207" s="178"/>
      <c r="Q207" s="228"/>
      <c r="R207" s="224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9.0</v>
      </c>
      <c r="B208" s="183" t="s">
        <v>91</v>
      </c>
      <c r="C208" s="200"/>
      <c r="D208" s="200"/>
      <c r="E208" s="200"/>
      <c r="F208" s="200"/>
      <c r="G208" s="200"/>
      <c r="H208" s="227">
        <v>27.0</v>
      </c>
      <c r="I208" s="200">
        <v>1.0</v>
      </c>
      <c r="J208" s="195">
        <f t="shared" si="174"/>
        <v>27</v>
      </c>
      <c r="K208" s="178"/>
      <c r="L208" s="178"/>
      <c r="M208" s="178"/>
      <c r="N208" s="178"/>
      <c r="O208" s="178"/>
      <c r="P208" s="178"/>
      <c r="Q208" s="228"/>
      <c r="R208" s="22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10.0</v>
      </c>
      <c r="B209" s="193" t="s">
        <v>91</v>
      </c>
      <c r="C209" s="200"/>
      <c r="D209" s="200"/>
      <c r="E209" s="200"/>
      <c r="F209" s="200"/>
      <c r="G209" s="200"/>
      <c r="H209" s="227">
        <v>22.0</v>
      </c>
      <c r="I209" s="200">
        <v>1.0</v>
      </c>
      <c r="J209" s="195">
        <f t="shared" si="174"/>
        <v>22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>
        <v>11.0</v>
      </c>
      <c r="B210" s="183" t="s">
        <v>100</v>
      </c>
      <c r="C210" s="200"/>
      <c r="D210" s="200"/>
      <c r="E210" s="200"/>
      <c r="F210" s="200"/>
      <c r="G210" s="200"/>
      <c r="H210" s="227">
        <v>26.0</v>
      </c>
      <c r="I210" s="200">
        <v>1.0</v>
      </c>
      <c r="J210" s="195">
        <f t="shared" si="174"/>
        <v>26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2">
        <v>12.0</v>
      </c>
      <c r="B211" s="193" t="s">
        <v>100</v>
      </c>
      <c r="C211" s="200"/>
      <c r="D211" s="200"/>
      <c r="E211" s="200"/>
      <c r="F211" s="200"/>
      <c r="G211" s="200"/>
      <c r="H211" s="227">
        <v>18.0</v>
      </c>
      <c r="I211" s="200">
        <v>1.0</v>
      </c>
      <c r="J211" s="195">
        <f t="shared" si="174"/>
        <v>18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2">
        <v>13.0</v>
      </c>
      <c r="B212" s="183" t="s">
        <v>111</v>
      </c>
      <c r="C212" s="200"/>
      <c r="D212" s="200"/>
      <c r="E212" s="200"/>
      <c r="F212" s="200"/>
      <c r="G212" s="200"/>
      <c r="H212" s="227">
        <v>30.0</v>
      </c>
      <c r="I212" s="200">
        <v>1.0</v>
      </c>
      <c r="J212" s="195">
        <f t="shared" si="174"/>
        <v>30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>
        <v>14.0</v>
      </c>
      <c r="B213" s="193" t="s">
        <v>111</v>
      </c>
      <c r="C213" s="200"/>
      <c r="D213" s="200"/>
      <c r="E213" s="200"/>
      <c r="F213" s="200"/>
      <c r="G213" s="200"/>
      <c r="H213" s="227">
        <v>16.0</v>
      </c>
      <c r="I213" s="200">
        <v>1.0</v>
      </c>
      <c r="J213" s="195">
        <f t="shared" si="174"/>
        <v>16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2">
        <v>21.0</v>
      </c>
      <c r="B214" s="229"/>
      <c r="C214" s="200"/>
      <c r="D214" s="200"/>
      <c r="E214" s="200"/>
      <c r="F214" s="200"/>
      <c r="G214" s="200"/>
      <c r="H214" s="227"/>
      <c r="I214" s="200"/>
      <c r="J214" s="195">
        <f t="shared" si="174"/>
        <v>0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2">
        <v>22.0</v>
      </c>
      <c r="B215" s="229"/>
      <c r="C215" s="200"/>
      <c r="D215" s="200"/>
      <c r="E215" s="200"/>
      <c r="F215" s="200"/>
      <c r="G215" s="200"/>
      <c r="H215" s="227"/>
      <c r="I215" s="200"/>
      <c r="J215" s="195">
        <f t="shared" si="174"/>
        <v>0</v>
      </c>
      <c r="K215" s="178"/>
      <c r="L215" s="178"/>
      <c r="M215" s="178"/>
      <c r="N215" s="178"/>
      <c r="O215" s="178"/>
      <c r="P215" s="178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2">
        <v>23.0</v>
      </c>
      <c r="B216" s="229"/>
      <c r="C216" s="200"/>
      <c r="D216" s="200"/>
      <c r="E216" s="200"/>
      <c r="F216" s="200"/>
      <c r="G216" s="200"/>
      <c r="H216" s="227"/>
      <c r="I216" s="200"/>
      <c r="J216" s="195">
        <f t="shared" si="174"/>
        <v>0</v>
      </c>
      <c r="K216" s="178"/>
      <c r="L216" s="178"/>
      <c r="M216" s="178"/>
      <c r="N216" s="178"/>
      <c r="O216" s="178"/>
      <c r="P216" s="178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24.0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74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25.0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74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26.0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74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27.0</v>
      </c>
      <c r="B220" s="229"/>
      <c r="C220" s="200"/>
      <c r="D220" s="200"/>
      <c r="E220" s="200"/>
      <c r="F220" s="200"/>
      <c r="G220" s="200"/>
      <c r="H220" s="200"/>
      <c r="I220" s="200"/>
      <c r="J220" s="195">
        <f t="shared" si="174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28.0</v>
      </c>
      <c r="B221" s="229"/>
      <c r="C221" s="200"/>
      <c r="D221" s="200"/>
      <c r="E221" s="200"/>
      <c r="F221" s="200"/>
      <c r="G221" s="200"/>
      <c r="H221" s="200"/>
      <c r="I221" s="200"/>
      <c r="J221" s="195">
        <f t="shared" si="174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29.0</v>
      </c>
      <c r="B222" s="230"/>
      <c r="C222" s="200"/>
      <c r="D222" s="200"/>
      <c r="E222" s="200"/>
      <c r="F222" s="200"/>
      <c r="G222" s="200"/>
      <c r="H222" s="200"/>
      <c r="I222" s="200"/>
      <c r="J222" s="195">
        <f t="shared" si="174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30.0</v>
      </c>
      <c r="B223" s="230"/>
      <c r="C223" s="200"/>
      <c r="D223" s="200"/>
      <c r="E223" s="200"/>
      <c r="F223" s="200"/>
      <c r="G223" s="200"/>
      <c r="H223" s="227"/>
      <c r="I223" s="200"/>
      <c r="J223" s="195">
        <f t="shared" si="174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31.0</v>
      </c>
      <c r="B224" s="218"/>
      <c r="C224" s="200"/>
      <c r="D224" s="200"/>
      <c r="E224" s="200"/>
      <c r="F224" s="200"/>
      <c r="G224" s="200"/>
      <c r="H224" s="227"/>
      <c r="I224" s="200"/>
      <c r="J224" s="195">
        <f t="shared" si="174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2">
        <v>32.0</v>
      </c>
      <c r="B225" s="218"/>
      <c r="C225" s="162"/>
      <c r="D225" s="162"/>
      <c r="E225" s="162"/>
      <c r="F225" s="162"/>
      <c r="G225" s="162"/>
      <c r="H225" s="162"/>
      <c r="I225" s="162"/>
      <c r="J225" s="195">
        <f t="shared" si="174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2">
        <v>33.0</v>
      </c>
      <c r="B226" s="230"/>
      <c r="C226" s="162"/>
      <c r="D226" s="162"/>
      <c r="E226" s="162"/>
      <c r="F226" s="162"/>
      <c r="G226" s="162"/>
      <c r="H226" s="162"/>
      <c r="I226" s="162"/>
      <c r="J226" s="195">
        <f t="shared" si="174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2">
        <v>34.0</v>
      </c>
      <c r="B227" s="231"/>
      <c r="C227" s="162"/>
      <c r="D227" s="162"/>
      <c r="E227" s="162"/>
      <c r="F227" s="162"/>
      <c r="G227" s="162"/>
      <c r="H227" s="162"/>
      <c r="I227" s="162"/>
      <c r="J227" s="195">
        <f t="shared" si="174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2">
        <v>35.0</v>
      </c>
      <c r="B228" s="232"/>
      <c r="C228" s="162"/>
      <c r="D228" s="162"/>
      <c r="E228" s="162"/>
      <c r="F228" s="162"/>
      <c r="G228" s="162"/>
      <c r="H228" s="162"/>
      <c r="I228" s="162"/>
      <c r="J228" s="195">
        <f t="shared" si="174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/>
      <c r="B229" s="139"/>
      <c r="C229" s="139"/>
      <c r="D229" s="139"/>
      <c r="E229" s="139"/>
      <c r="F229" s="139"/>
      <c r="G229" s="139"/>
      <c r="H229" s="140" t="s">
        <v>38</v>
      </c>
      <c r="I229" s="139"/>
      <c r="J229" s="233">
        <f>SUM(J200:J228)</f>
        <v>367</v>
      </c>
      <c r="K229" s="234"/>
      <c r="L229" s="234"/>
      <c r="M229" s="234"/>
      <c r="N229" s="234"/>
      <c r="O229" s="234"/>
      <c r="P229" s="234"/>
      <c r="Q229" s="234"/>
      <c r="R229" s="139"/>
      <c r="S229" s="224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44"/>
      <c r="B230" s="144"/>
      <c r="C230" s="144"/>
      <c r="D230" s="144"/>
      <c r="E230" s="144"/>
      <c r="F230" s="144"/>
      <c r="G230" s="144"/>
      <c r="H230" s="145"/>
      <c r="I230" s="175"/>
      <c r="J230" s="206">
        <f>+J229*60%</f>
        <v>220.2</v>
      </c>
      <c r="K230" s="206"/>
      <c r="L230" s="206"/>
      <c r="M230" s="206"/>
      <c r="N230" s="206"/>
      <c r="O230" s="206"/>
      <c r="P230" s="206"/>
      <c r="Q230" s="206">
        <f>+J229*40%</f>
        <v>146.8</v>
      </c>
      <c r="R230" s="139"/>
      <c r="S230" s="224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9.5" customHeight="1">
      <c r="A233" s="235" t="s">
        <v>41</v>
      </c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57.0" customHeight="1">
      <c r="A234" s="236"/>
      <c r="B234" s="237" t="s">
        <v>42</v>
      </c>
      <c r="C234" s="237" t="s">
        <v>43</v>
      </c>
      <c r="D234" s="237" t="s">
        <v>44</v>
      </c>
      <c r="E234" s="237" t="s">
        <v>45</v>
      </c>
      <c r="F234" s="237"/>
      <c r="G234" s="237"/>
      <c r="H234" s="238" t="s">
        <v>46</v>
      </c>
      <c r="I234" s="239" t="s">
        <v>47</v>
      </c>
      <c r="J234" s="139"/>
      <c r="K234" s="139"/>
      <c r="L234" s="139"/>
      <c r="M234" s="139"/>
      <c r="N234" s="139"/>
      <c r="O234" s="139"/>
      <c r="P234" s="139"/>
      <c r="Q234" s="139"/>
      <c r="R234" s="141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240" t="s">
        <v>48</v>
      </c>
      <c r="B235" s="241">
        <f>+E22</f>
        <v>19954.1884</v>
      </c>
      <c r="C235" s="242">
        <f>+J179</f>
        <v>17304.30669</v>
      </c>
      <c r="D235" s="242">
        <f>+J193</f>
        <v>552.30769</v>
      </c>
      <c r="E235" s="243">
        <f>J230</f>
        <v>220.2</v>
      </c>
      <c r="F235" s="243"/>
      <c r="G235" s="243"/>
      <c r="H235" s="244">
        <f>+I22</f>
        <v>1523.476529</v>
      </c>
      <c r="I235" s="245">
        <f>+B235-C235-D235-E235-H235</f>
        <v>353.8974918</v>
      </c>
      <c r="J235" s="139"/>
      <c r="K235" s="139"/>
      <c r="L235" s="139"/>
      <c r="M235" s="139"/>
      <c r="N235" s="139"/>
      <c r="O235" s="139"/>
      <c r="P235" s="139"/>
      <c r="Q235" s="139"/>
      <c r="R235" s="141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9.5" customHeight="1">
      <c r="A236" s="246" t="s">
        <v>49</v>
      </c>
      <c r="B236" s="247"/>
      <c r="C236" s="248">
        <f>+C235/B235</f>
        <v>0.8672017294</v>
      </c>
      <c r="D236" s="248">
        <f>+D235/B235</f>
        <v>0.02767878497</v>
      </c>
      <c r="E236" s="248">
        <f>+E235/B235</f>
        <v>0.01103527719</v>
      </c>
      <c r="F236" s="248"/>
      <c r="G236" s="248"/>
      <c r="H236" s="249">
        <f>+H235/B235</f>
        <v>0.07634870929</v>
      </c>
      <c r="I236" s="250">
        <f>+I235/B235</f>
        <v>0.01773549917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9.5" customHeight="1">
      <c r="A237" s="165"/>
      <c r="B237" s="221"/>
      <c r="C237" s="251"/>
      <c r="D237" s="251"/>
      <c r="E237" s="251"/>
      <c r="F237" s="251"/>
      <c r="G237" s="251"/>
      <c r="H237" s="252"/>
      <c r="I237" s="253"/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254"/>
      <c r="B238" s="255"/>
      <c r="C238" s="255"/>
      <c r="D238" s="255" t="s">
        <v>50</v>
      </c>
      <c r="E238" s="255" t="s">
        <v>48</v>
      </c>
      <c r="F238" s="255"/>
      <c r="G238" s="255"/>
      <c r="H238" s="256">
        <f>+D235+E235+H235+I235</f>
        <v>2649.881711</v>
      </c>
      <c r="I238" s="257"/>
      <c r="J238" s="139"/>
      <c r="K238" s="139"/>
      <c r="L238" s="139"/>
      <c r="M238" s="139"/>
      <c r="N238" s="139"/>
      <c r="O238" s="139"/>
      <c r="P238" s="139"/>
      <c r="Q238" s="139"/>
      <c r="R238" s="141"/>
      <c r="S238" s="140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258"/>
      <c r="B239" s="139"/>
      <c r="C239" s="139"/>
      <c r="D239" s="139"/>
      <c r="E239" s="139" t="s">
        <v>49</v>
      </c>
      <c r="F239" s="139"/>
      <c r="G239" s="139"/>
      <c r="H239" s="252">
        <f>+H238/B235</f>
        <v>0.1327982706</v>
      </c>
      <c r="I239" s="259"/>
      <c r="J239" s="139"/>
      <c r="K239" s="139"/>
      <c r="L239" s="139"/>
      <c r="M239" s="139"/>
      <c r="N239" s="139"/>
      <c r="O239" s="139"/>
      <c r="P239" s="139"/>
      <c r="Q239" s="139"/>
      <c r="R239" s="141"/>
      <c r="S239" s="140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8"/>
      <c r="B240" s="139"/>
      <c r="C240" s="139" t="s">
        <v>51</v>
      </c>
      <c r="D240" s="139"/>
      <c r="E240" s="139"/>
      <c r="F240" s="139"/>
      <c r="G240" s="139"/>
      <c r="H240" s="140"/>
      <c r="I240" s="259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8"/>
      <c r="B241" s="139"/>
      <c r="C241" s="139"/>
      <c r="D241" s="139" t="s">
        <v>52</v>
      </c>
      <c r="E241" s="139"/>
      <c r="F241" s="139"/>
      <c r="G241" s="139"/>
      <c r="H241" s="140">
        <f>+H240*(H238-H235)</f>
        <v>0</v>
      </c>
      <c r="I241" s="25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9.5" customHeight="1">
      <c r="A242" s="260"/>
      <c r="B242" s="261"/>
      <c r="C242" s="261"/>
      <c r="D242" s="261"/>
      <c r="E242" s="261"/>
      <c r="F242" s="261"/>
      <c r="G242" s="261"/>
      <c r="H242" s="262"/>
      <c r="I242" s="263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75.0" customHeight="1">
      <c r="A245" s="139"/>
      <c r="B245" s="285" t="s">
        <v>12</v>
      </c>
      <c r="C245" s="285" t="s">
        <v>112</v>
      </c>
      <c r="D245" s="285" t="s">
        <v>113</v>
      </c>
      <c r="E245" s="285" t="s">
        <v>114</v>
      </c>
      <c r="F245" s="285"/>
      <c r="G245" s="285"/>
      <c r="H245" s="285" t="s">
        <v>115</v>
      </c>
      <c r="I245" s="286" t="s">
        <v>116</v>
      </c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7"/>
      <c r="B246" s="162" t="s">
        <v>55</v>
      </c>
      <c r="C246" s="287">
        <f t="shared" ref="C246:C252" si="175">SUMIFS($J$29:$J$49,$B$29:$B$49,B246)</f>
        <v>1694.2306</v>
      </c>
      <c r="D246" s="287">
        <f t="shared" ref="D246:D252" si="176">SUMIFS($J$173:$J$178,$B$173:$B$178,B246)</f>
        <v>0</v>
      </c>
      <c r="E246" s="287"/>
      <c r="F246" s="287"/>
      <c r="G246" s="287"/>
      <c r="H246" s="287">
        <f t="shared" ref="H246:H252" si="177">SUMIFS($J$186:$J$200,$B$186:$B$200,B246)</f>
        <v>33</v>
      </c>
      <c r="I246" s="288">
        <f t="shared" ref="I246:I253" si="178">SUM(C246:H246)</f>
        <v>1727.2306</v>
      </c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75" customHeight="1">
      <c r="A247" s="7"/>
      <c r="B247" s="162" t="s">
        <v>58</v>
      </c>
      <c r="C247" s="287">
        <f t="shared" si="175"/>
        <v>3129.10026</v>
      </c>
      <c r="D247" s="287">
        <f t="shared" si="176"/>
        <v>0</v>
      </c>
      <c r="E247" s="287"/>
      <c r="F247" s="287"/>
      <c r="G247" s="287"/>
      <c r="H247" s="287">
        <f t="shared" si="177"/>
        <v>0</v>
      </c>
      <c r="I247" s="288">
        <f t="shared" si="178"/>
        <v>3129.10026</v>
      </c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75" customHeight="1">
      <c r="A248" s="7"/>
      <c r="B248" s="162" t="s">
        <v>78</v>
      </c>
      <c r="C248" s="287">
        <f t="shared" si="175"/>
        <v>3260.969325</v>
      </c>
      <c r="D248" s="287">
        <f t="shared" si="176"/>
        <v>0</v>
      </c>
      <c r="E248" s="287"/>
      <c r="F248" s="287"/>
      <c r="G248" s="287"/>
      <c r="H248" s="287">
        <f t="shared" si="177"/>
        <v>0</v>
      </c>
      <c r="I248" s="288">
        <f t="shared" si="178"/>
        <v>3260.969325</v>
      </c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75" customHeight="1">
      <c r="A249" s="7"/>
      <c r="B249" s="162" t="s">
        <v>105</v>
      </c>
      <c r="C249" s="287">
        <f t="shared" si="175"/>
        <v>2907.530208</v>
      </c>
      <c r="D249" s="287">
        <f t="shared" si="176"/>
        <v>0</v>
      </c>
      <c r="E249" s="287"/>
      <c r="F249" s="287"/>
      <c r="G249" s="287"/>
      <c r="H249" s="287">
        <f t="shared" si="177"/>
        <v>0</v>
      </c>
      <c r="I249" s="288">
        <f t="shared" si="178"/>
        <v>2907.530208</v>
      </c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75" customHeight="1">
      <c r="A250" s="7"/>
      <c r="B250" s="162" t="s">
        <v>91</v>
      </c>
      <c r="C250" s="287">
        <f t="shared" si="175"/>
        <v>0</v>
      </c>
      <c r="D250" s="287">
        <f t="shared" si="176"/>
        <v>0</v>
      </c>
      <c r="E250" s="287"/>
      <c r="F250" s="287"/>
      <c r="G250" s="287"/>
      <c r="H250" s="287">
        <f t="shared" si="177"/>
        <v>0</v>
      </c>
      <c r="I250" s="288">
        <f t="shared" si="178"/>
        <v>0</v>
      </c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75" customHeight="1">
      <c r="A251" s="7"/>
      <c r="B251" s="162" t="s">
        <v>100</v>
      </c>
      <c r="C251" s="287">
        <f t="shared" si="175"/>
        <v>0</v>
      </c>
      <c r="D251" s="287">
        <f t="shared" si="176"/>
        <v>0</v>
      </c>
      <c r="E251" s="287"/>
      <c r="F251" s="287"/>
      <c r="G251" s="287"/>
      <c r="H251" s="287">
        <f t="shared" si="177"/>
        <v>0</v>
      </c>
      <c r="I251" s="288">
        <f t="shared" si="178"/>
        <v>0</v>
      </c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75" customHeight="1">
      <c r="A252" s="7"/>
      <c r="B252" s="162" t="s">
        <v>111</v>
      </c>
      <c r="C252" s="287">
        <f t="shared" si="175"/>
        <v>0</v>
      </c>
      <c r="D252" s="287">
        <f t="shared" si="176"/>
        <v>0</v>
      </c>
      <c r="E252" s="287"/>
      <c r="F252" s="287"/>
      <c r="G252" s="287"/>
      <c r="H252" s="287">
        <f t="shared" si="177"/>
        <v>0</v>
      </c>
      <c r="I252" s="288">
        <f t="shared" si="178"/>
        <v>0</v>
      </c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75" customHeight="1">
      <c r="A253" s="7"/>
      <c r="B253" s="289" t="s">
        <v>117</v>
      </c>
      <c r="C253" s="290">
        <f t="shared" ref="C253:D253" si="179">SUM(C246:C252)</f>
        <v>10991.83039</v>
      </c>
      <c r="D253" s="290">
        <f t="shared" si="179"/>
        <v>0</v>
      </c>
      <c r="E253" s="290">
        <v>0.0</v>
      </c>
      <c r="F253" s="290"/>
      <c r="G253" s="290"/>
      <c r="H253" s="290">
        <f>SUM(H246:H252)</f>
        <v>33</v>
      </c>
      <c r="I253" s="290">
        <f t="shared" si="178"/>
        <v>11024.83039</v>
      </c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85:E185"/>
    <mergeCell ref="C199:E19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8" width="10.0"/>
    <col customWidth="1" min="29" max="29" width="9.14"/>
    <col customWidth="1" min="30" max="30" width="21.71"/>
    <col customWidth="1" min="31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44537.0</v>
      </c>
      <c r="J4" s="139" t="str">
        <f>+B8&amp;"/"&amp;B9&amp;"/"&amp;B10&amp;"/"&amp;B11&amp;"/"&amp;B12&amp;"/"&amp;B13&amp;"/"&amp;B14&amp;"/"&amp;B15&amp;"/"&amp;B16</f>
        <v>HRD2940/HRD2940/HRD2940/HRD2930/HRD2940/D2470CC///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118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+I239</f>
        <v>0.02578093984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252.8*13</f>
        <v>3286.4</v>
      </c>
      <c r="F8" s="157"/>
      <c r="G8" s="157"/>
      <c r="H8" s="158">
        <v>13.0</v>
      </c>
      <c r="I8" s="159">
        <f t="shared" ref="I8:I20" si="1">+D8*E8</f>
        <v>47.98144</v>
      </c>
      <c r="J8" s="160">
        <f t="shared" ref="J8:J20" si="2">E8-I8</f>
        <v>3238.41856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267" t="s">
        <v>55</v>
      </c>
      <c r="C9" s="155">
        <v>29.5</v>
      </c>
      <c r="D9" s="156">
        <v>0.0146</v>
      </c>
      <c r="E9" s="157">
        <f t="shared" ref="E9:E10" si="3">252.8*22</f>
        <v>5561.6</v>
      </c>
      <c r="F9" s="157"/>
      <c r="G9" s="157"/>
      <c r="H9" s="158">
        <v>22.0</v>
      </c>
      <c r="I9" s="159">
        <f t="shared" si="1"/>
        <v>81.19936</v>
      </c>
      <c r="J9" s="160">
        <f t="shared" si="2"/>
        <v>5480.40064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267" t="s">
        <v>55</v>
      </c>
      <c r="C10" s="155">
        <v>29.5</v>
      </c>
      <c r="D10" s="156">
        <v>0.0146</v>
      </c>
      <c r="E10" s="157">
        <f t="shared" si="3"/>
        <v>5561.6</v>
      </c>
      <c r="F10" s="157"/>
      <c r="G10" s="157"/>
      <c r="H10" s="158">
        <v>22.0</v>
      </c>
      <c r="I10" s="159">
        <f t="shared" si="1"/>
        <v>81.19936</v>
      </c>
      <c r="J10" s="160">
        <f t="shared" si="2"/>
        <v>5480.40064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268" t="s">
        <v>57</v>
      </c>
      <c r="C11" s="155">
        <v>29.5</v>
      </c>
      <c r="D11" s="163">
        <v>0.0155</v>
      </c>
      <c r="E11" s="164">
        <f>253.14*49.5</f>
        <v>12530.43</v>
      </c>
      <c r="F11" s="164"/>
      <c r="G11" s="164"/>
      <c r="H11" s="158">
        <v>49.5</v>
      </c>
      <c r="I11" s="159">
        <f t="shared" si="1"/>
        <v>194.221665</v>
      </c>
      <c r="J11" s="160">
        <f t="shared" si="2"/>
        <v>12336.20834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55</v>
      </c>
      <c r="C12" s="155">
        <v>29.5</v>
      </c>
      <c r="D12" s="163">
        <v>0.0146</v>
      </c>
      <c r="E12" s="164">
        <f>252.8*50.9</f>
        <v>12867.52</v>
      </c>
      <c r="F12" s="164"/>
      <c r="G12" s="164"/>
      <c r="H12" s="158">
        <v>50.9</v>
      </c>
      <c r="I12" s="159">
        <f t="shared" si="1"/>
        <v>187.865792</v>
      </c>
      <c r="J12" s="160">
        <f t="shared" si="2"/>
        <v>12679.65421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7.0</v>
      </c>
      <c r="B13" s="162" t="s">
        <v>119</v>
      </c>
      <c r="C13" s="162">
        <v>24.5</v>
      </c>
      <c r="D13" s="163">
        <v>0.0545</v>
      </c>
      <c r="E13" s="164">
        <f>236.248*22</f>
        <v>5197.456</v>
      </c>
      <c r="F13" s="164"/>
      <c r="G13" s="164"/>
      <c r="H13" s="158">
        <v>22.0</v>
      </c>
      <c r="I13" s="159">
        <f t="shared" si="1"/>
        <v>283.261352</v>
      </c>
      <c r="J13" s="160">
        <f t="shared" si="2"/>
        <v>4914.194648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5"/>
      <c r="B21" s="166"/>
      <c r="C21" s="167"/>
      <c r="D21" s="168"/>
      <c r="E21" s="169">
        <f>SUM(E8:E20)</f>
        <v>45005.006</v>
      </c>
      <c r="F21" s="170"/>
      <c r="G21" s="170"/>
      <c r="H21" s="171"/>
      <c r="I21" s="172">
        <f t="shared" ref="I21:J21" si="4">SUM(I8:I20)</f>
        <v>875.728969</v>
      </c>
      <c r="J21" s="173">
        <f t="shared" si="4"/>
        <v>44129.27703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4"/>
      <c r="B22" s="144"/>
      <c r="C22" s="144"/>
      <c r="D22" s="175"/>
      <c r="E22" s="176"/>
      <c r="F22" s="151"/>
      <c r="G22" s="151"/>
      <c r="H22" s="147"/>
      <c r="I22" s="177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40.5" customHeight="1">
      <c r="A27" s="178"/>
      <c r="B27" s="162" t="s">
        <v>12</v>
      </c>
      <c r="C27" s="179" t="s">
        <v>60</v>
      </c>
      <c r="D27" s="52"/>
      <c r="E27" s="53"/>
      <c r="F27" s="180"/>
      <c r="G27" s="180"/>
      <c r="H27" s="181" t="s">
        <v>14</v>
      </c>
      <c r="I27" s="162" t="s">
        <v>15</v>
      </c>
      <c r="J27" s="162" t="s">
        <v>16</v>
      </c>
      <c r="K27" s="139"/>
      <c r="L27" s="162" t="s">
        <v>17</v>
      </c>
      <c r="M27" s="162" t="s">
        <v>15</v>
      </c>
      <c r="N27" s="178" t="s">
        <v>18</v>
      </c>
      <c r="O27" s="139"/>
      <c r="P27" s="139"/>
      <c r="Q27" s="178" t="s">
        <v>61</v>
      </c>
      <c r="R27" s="182"/>
      <c r="S27" s="162" t="s">
        <v>17</v>
      </c>
      <c r="T27" s="162" t="s">
        <v>15</v>
      </c>
      <c r="U27" s="178" t="s">
        <v>18</v>
      </c>
      <c r="V27" s="139"/>
      <c r="W27" s="178" t="s">
        <v>19</v>
      </c>
      <c r="X27" s="178" t="s">
        <v>20</v>
      </c>
      <c r="Y27" s="178" t="s">
        <v>21</v>
      </c>
      <c r="Z27" s="178" t="s">
        <v>120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2">
        <v>1.0</v>
      </c>
      <c r="B28" s="183" t="s">
        <v>63</v>
      </c>
      <c r="C28" s="184">
        <v>94.0</v>
      </c>
      <c r="D28" s="184">
        <v>203.0</v>
      </c>
      <c r="E28" s="184">
        <v>163.0</v>
      </c>
      <c r="F28" s="184">
        <f t="shared" ref="F28:F179" si="6">VALUE(IF(RIGHT(B28, 1)="%", RIGHT(B28, 3), 0))</f>
        <v>0.8</v>
      </c>
      <c r="G28" s="184">
        <f t="shared" ref="G28:G179" si="7">+R28*C28/100*D28/100*E28/100</f>
        <v>93.31098</v>
      </c>
      <c r="H28" s="185">
        <f t="shared" ref="H28:H179" si="8">IF(F28=0, G28, F28*G28)</f>
        <v>74.648784</v>
      </c>
      <c r="I28" s="184">
        <v>1.0</v>
      </c>
      <c r="J28" s="186">
        <f t="shared" ref="J28:J179" si="9">+I28*H28</f>
        <v>74.648784</v>
      </c>
      <c r="K28" s="187"/>
      <c r="L28" s="188">
        <f>D28*25.4/1000</f>
        <v>5.1562</v>
      </c>
      <c r="M28" s="189">
        <f>+I28</f>
        <v>1</v>
      </c>
      <c r="N28" s="189">
        <f>M28*L28</f>
        <v>5.1562</v>
      </c>
      <c r="O28" s="187"/>
      <c r="P28" s="187"/>
      <c r="Q28" s="188">
        <v>96.0</v>
      </c>
      <c r="R28" s="190">
        <v>30.0</v>
      </c>
      <c r="S28" s="178">
        <f t="shared" ref="S28:S180" si="10">E28/100</f>
        <v>1.63</v>
      </c>
      <c r="T28" s="162">
        <f t="shared" ref="T28:T180" si="11">I28</f>
        <v>1</v>
      </c>
      <c r="U28" s="162">
        <f t="shared" ref="U28:U180" si="12">T28*S28</f>
        <v>1.63</v>
      </c>
      <c r="V28" s="191">
        <f t="shared" ref="V28:V62" si="13">R28*C28/100*D28/100*E28/100</f>
        <v>93.31098</v>
      </c>
      <c r="W28" s="178">
        <f t="shared" ref="W28:X28" si="5">C28/100</f>
        <v>0.94</v>
      </c>
      <c r="X28" s="178">
        <f t="shared" si="5"/>
        <v>2.03</v>
      </c>
      <c r="Y28" s="178">
        <f t="shared" ref="Y28:Y180" si="15">U28</f>
        <v>1.63</v>
      </c>
      <c r="Z28" s="192">
        <f t="shared" ref="Z28:Z180" si="16">W28*X28*Y28</f>
        <v>3.110366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2">
        <v>2.0</v>
      </c>
      <c r="B29" s="183" t="s">
        <v>63</v>
      </c>
      <c r="C29" s="184">
        <v>81.0</v>
      </c>
      <c r="D29" s="184">
        <v>203.0</v>
      </c>
      <c r="E29" s="184">
        <v>175.0</v>
      </c>
      <c r="F29" s="184">
        <f t="shared" si="6"/>
        <v>0.8</v>
      </c>
      <c r="G29" s="184">
        <f t="shared" si="7"/>
        <v>86.32575</v>
      </c>
      <c r="H29" s="185">
        <f t="shared" si="8"/>
        <v>69.0606</v>
      </c>
      <c r="I29" s="184">
        <v>1.0</v>
      </c>
      <c r="J29" s="186">
        <f t="shared" si="9"/>
        <v>69.0606</v>
      </c>
      <c r="K29" s="187"/>
      <c r="L29" s="188"/>
      <c r="M29" s="189"/>
      <c r="N29" s="189"/>
      <c r="O29" s="187"/>
      <c r="P29" s="187"/>
      <c r="Q29" s="188">
        <v>99.0</v>
      </c>
      <c r="R29" s="190">
        <v>30.0</v>
      </c>
      <c r="S29" s="178">
        <f t="shared" si="10"/>
        <v>1.75</v>
      </c>
      <c r="T29" s="162">
        <f t="shared" si="11"/>
        <v>1</v>
      </c>
      <c r="U29" s="162">
        <f t="shared" si="12"/>
        <v>1.75</v>
      </c>
      <c r="V29" s="191">
        <f t="shared" si="13"/>
        <v>86.32575</v>
      </c>
      <c r="W29" s="178">
        <f t="shared" ref="W29:X29" si="14">C29/100</f>
        <v>0.81</v>
      </c>
      <c r="X29" s="178">
        <f t="shared" si="14"/>
        <v>2.03</v>
      </c>
      <c r="Y29" s="178">
        <f t="shared" si="15"/>
        <v>1.75</v>
      </c>
      <c r="Z29" s="192">
        <f t="shared" si="16"/>
        <v>2.877525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3.0</v>
      </c>
      <c r="B30" s="193" t="s">
        <v>55</v>
      </c>
      <c r="C30" s="193">
        <v>102.0</v>
      </c>
      <c r="D30" s="193">
        <v>203.0</v>
      </c>
      <c r="E30" s="193">
        <v>197.0</v>
      </c>
      <c r="F30" s="193">
        <f t="shared" si="6"/>
        <v>0</v>
      </c>
      <c r="G30" s="193">
        <f t="shared" si="7"/>
        <v>122.37246</v>
      </c>
      <c r="H30" s="194">
        <f t="shared" si="8"/>
        <v>122.37246</v>
      </c>
      <c r="I30" s="193">
        <v>1.0</v>
      </c>
      <c r="J30" s="195">
        <f t="shared" si="9"/>
        <v>122.37246</v>
      </c>
      <c r="K30" s="139"/>
      <c r="L30" s="178">
        <f t="shared" ref="L30:L52" si="18">D30*25.4/1000</f>
        <v>5.1562</v>
      </c>
      <c r="M30" s="162">
        <f t="shared" ref="M30:M62" si="19">+I30</f>
        <v>1</v>
      </c>
      <c r="N30" s="162">
        <f t="shared" ref="N30:N52" si="20">M30*L30</f>
        <v>5.1562</v>
      </c>
      <c r="O30" s="139"/>
      <c r="P30" s="139"/>
      <c r="Q30" s="178">
        <v>124.0</v>
      </c>
      <c r="R30" s="190">
        <v>30.0</v>
      </c>
      <c r="S30" s="178">
        <f t="shared" si="10"/>
        <v>1.97</v>
      </c>
      <c r="T30" s="162">
        <f t="shared" si="11"/>
        <v>1</v>
      </c>
      <c r="U30" s="162">
        <f t="shared" si="12"/>
        <v>1.97</v>
      </c>
      <c r="V30" s="191">
        <f t="shared" si="13"/>
        <v>122.37246</v>
      </c>
      <c r="W30" s="178">
        <f t="shared" ref="W30:X30" si="17">C30/100</f>
        <v>1.02</v>
      </c>
      <c r="X30" s="178">
        <f t="shared" si="17"/>
        <v>2.03</v>
      </c>
      <c r="Y30" s="178">
        <f t="shared" si="15"/>
        <v>1.97</v>
      </c>
      <c r="Z30" s="192">
        <f t="shared" si="16"/>
        <v>4.079082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4.0</v>
      </c>
      <c r="B31" s="193" t="s">
        <v>55</v>
      </c>
      <c r="C31" s="193">
        <v>102.0</v>
      </c>
      <c r="D31" s="193">
        <v>203.0</v>
      </c>
      <c r="E31" s="193">
        <v>1858.0</v>
      </c>
      <c r="F31" s="193">
        <f t="shared" si="6"/>
        <v>0</v>
      </c>
      <c r="G31" s="193">
        <f t="shared" si="7"/>
        <v>1154.15244</v>
      </c>
      <c r="H31" s="194">
        <f t="shared" si="8"/>
        <v>1154.15244</v>
      </c>
      <c r="I31" s="193">
        <v>1.0</v>
      </c>
      <c r="J31" s="195">
        <f t="shared" si="9"/>
        <v>1154.15244</v>
      </c>
      <c r="K31" s="139"/>
      <c r="L31" s="178">
        <f t="shared" si="18"/>
        <v>5.1562</v>
      </c>
      <c r="M31" s="162">
        <f t="shared" si="19"/>
        <v>1</v>
      </c>
      <c r="N31" s="162">
        <f t="shared" si="20"/>
        <v>5.1562</v>
      </c>
      <c r="O31" s="139"/>
      <c r="P31" s="139"/>
      <c r="Q31" s="178">
        <v>1125.0</v>
      </c>
      <c r="R31" s="190">
        <v>30.0</v>
      </c>
      <c r="S31" s="178">
        <f t="shared" si="10"/>
        <v>18.58</v>
      </c>
      <c r="T31" s="162">
        <f t="shared" si="11"/>
        <v>1</v>
      </c>
      <c r="U31" s="162">
        <f t="shared" si="12"/>
        <v>18.58</v>
      </c>
      <c r="V31" s="191">
        <f t="shared" si="13"/>
        <v>1154.15244</v>
      </c>
      <c r="W31" s="178">
        <f t="shared" ref="W31:X31" si="21">C31/100</f>
        <v>1.02</v>
      </c>
      <c r="X31" s="178">
        <f t="shared" si="21"/>
        <v>2.03</v>
      </c>
      <c r="Y31" s="178">
        <f t="shared" si="15"/>
        <v>18.58</v>
      </c>
      <c r="Z31" s="192">
        <f t="shared" si="16"/>
        <v>38.471748</v>
      </c>
      <c r="AA31" s="139"/>
      <c r="AB31" s="139"/>
      <c r="AC31" s="26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5.0</v>
      </c>
      <c r="B32" s="193" t="s">
        <v>55</v>
      </c>
      <c r="C32" s="193">
        <v>103.0</v>
      </c>
      <c r="D32" s="193">
        <v>203.0</v>
      </c>
      <c r="E32" s="193">
        <v>2870.0</v>
      </c>
      <c r="F32" s="193">
        <f t="shared" si="6"/>
        <v>0</v>
      </c>
      <c r="G32" s="193">
        <f t="shared" si="7"/>
        <v>1800.2649</v>
      </c>
      <c r="H32" s="194">
        <f t="shared" si="8"/>
        <v>1800.2649</v>
      </c>
      <c r="I32" s="193">
        <v>1.0</v>
      </c>
      <c r="J32" s="195">
        <f t="shared" si="9"/>
        <v>1800.2649</v>
      </c>
      <c r="K32" s="139"/>
      <c r="L32" s="178">
        <f t="shared" si="18"/>
        <v>5.1562</v>
      </c>
      <c r="M32" s="162">
        <f t="shared" si="19"/>
        <v>1</v>
      </c>
      <c r="N32" s="162">
        <f t="shared" si="20"/>
        <v>5.1562</v>
      </c>
      <c r="O32" s="139"/>
      <c r="P32" s="139"/>
      <c r="Q32" s="178">
        <v>1785.0</v>
      </c>
      <c r="R32" s="190">
        <v>30.0</v>
      </c>
      <c r="S32" s="178">
        <f t="shared" si="10"/>
        <v>28.7</v>
      </c>
      <c r="T32" s="162">
        <f t="shared" si="11"/>
        <v>1</v>
      </c>
      <c r="U32" s="162">
        <f t="shared" si="12"/>
        <v>28.7</v>
      </c>
      <c r="V32" s="191">
        <f t="shared" si="13"/>
        <v>1800.2649</v>
      </c>
      <c r="W32" s="178">
        <f t="shared" ref="W32:X32" si="22">C32/100</f>
        <v>1.03</v>
      </c>
      <c r="X32" s="178">
        <f t="shared" si="22"/>
        <v>2.03</v>
      </c>
      <c r="Y32" s="178">
        <f t="shared" si="15"/>
        <v>28.7</v>
      </c>
      <c r="Z32" s="192">
        <f t="shared" si="16"/>
        <v>60.00883</v>
      </c>
      <c r="AA32" s="139"/>
      <c r="AB32" s="139"/>
      <c r="AC32" s="139"/>
      <c r="AD32" s="26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6.0</v>
      </c>
      <c r="B33" s="193" t="s">
        <v>55</v>
      </c>
      <c r="C33" s="193">
        <v>103.0</v>
      </c>
      <c r="D33" s="193">
        <v>203.0</v>
      </c>
      <c r="E33" s="193">
        <v>2872.0</v>
      </c>
      <c r="F33" s="193">
        <f t="shared" si="6"/>
        <v>0</v>
      </c>
      <c r="G33" s="193">
        <f t="shared" si="7"/>
        <v>1801.51944</v>
      </c>
      <c r="H33" s="194">
        <f t="shared" si="8"/>
        <v>1801.51944</v>
      </c>
      <c r="I33" s="193">
        <v>1.0</v>
      </c>
      <c r="J33" s="195">
        <f t="shared" si="9"/>
        <v>1801.51944</v>
      </c>
      <c r="K33" s="139"/>
      <c r="L33" s="178">
        <f t="shared" si="18"/>
        <v>5.1562</v>
      </c>
      <c r="M33" s="162">
        <f t="shared" si="19"/>
        <v>1</v>
      </c>
      <c r="N33" s="162">
        <f t="shared" si="20"/>
        <v>5.1562</v>
      </c>
      <c r="O33" s="139"/>
      <c r="P33" s="139"/>
      <c r="Q33" s="178">
        <v>1790.0</v>
      </c>
      <c r="R33" s="190">
        <v>30.0</v>
      </c>
      <c r="S33" s="178">
        <f t="shared" si="10"/>
        <v>28.72</v>
      </c>
      <c r="T33" s="162">
        <f t="shared" si="11"/>
        <v>1</v>
      </c>
      <c r="U33" s="162">
        <f t="shared" si="12"/>
        <v>28.72</v>
      </c>
      <c r="V33" s="191">
        <f t="shared" si="13"/>
        <v>1801.51944</v>
      </c>
      <c r="W33" s="178">
        <f t="shared" ref="W33:X33" si="23">C33/100</f>
        <v>1.03</v>
      </c>
      <c r="X33" s="178">
        <f t="shared" si="23"/>
        <v>2.03</v>
      </c>
      <c r="Y33" s="178">
        <f t="shared" si="15"/>
        <v>28.72</v>
      </c>
      <c r="Z33" s="192">
        <f t="shared" si="16"/>
        <v>60.050648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7.0</v>
      </c>
      <c r="B34" s="193" t="s">
        <v>55</v>
      </c>
      <c r="C34" s="193">
        <v>103.0</v>
      </c>
      <c r="D34" s="193">
        <v>203.0</v>
      </c>
      <c r="E34" s="193">
        <v>2875.0</v>
      </c>
      <c r="F34" s="193">
        <f t="shared" si="6"/>
        <v>0</v>
      </c>
      <c r="G34" s="193">
        <f t="shared" si="7"/>
        <v>1803.40125</v>
      </c>
      <c r="H34" s="194">
        <f t="shared" si="8"/>
        <v>1803.40125</v>
      </c>
      <c r="I34" s="193">
        <v>1.0</v>
      </c>
      <c r="J34" s="195">
        <f t="shared" si="9"/>
        <v>1803.40125</v>
      </c>
      <c r="K34" s="139"/>
      <c r="L34" s="178">
        <f t="shared" si="18"/>
        <v>5.1562</v>
      </c>
      <c r="M34" s="162">
        <f t="shared" si="19"/>
        <v>1</v>
      </c>
      <c r="N34" s="162">
        <f t="shared" si="20"/>
        <v>5.1562</v>
      </c>
      <c r="O34" s="139"/>
      <c r="P34" s="139"/>
      <c r="Q34" s="178">
        <v>1785.0</v>
      </c>
      <c r="R34" s="190">
        <v>30.0</v>
      </c>
      <c r="S34" s="178">
        <f t="shared" si="10"/>
        <v>28.75</v>
      </c>
      <c r="T34" s="162">
        <f t="shared" si="11"/>
        <v>1</v>
      </c>
      <c r="U34" s="162">
        <f t="shared" si="12"/>
        <v>28.75</v>
      </c>
      <c r="V34" s="191">
        <f t="shared" si="13"/>
        <v>1803.40125</v>
      </c>
      <c r="W34" s="178">
        <f t="shared" ref="W34:X34" si="24">C34/100</f>
        <v>1.03</v>
      </c>
      <c r="X34" s="178">
        <f t="shared" si="24"/>
        <v>2.03</v>
      </c>
      <c r="Y34" s="178">
        <f t="shared" si="15"/>
        <v>28.75</v>
      </c>
      <c r="Z34" s="192">
        <f t="shared" si="16"/>
        <v>60.113375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8.0</v>
      </c>
      <c r="B35" s="193" t="s">
        <v>55</v>
      </c>
      <c r="C35" s="193">
        <v>103.0</v>
      </c>
      <c r="D35" s="193">
        <v>203.0</v>
      </c>
      <c r="E35" s="193">
        <v>2867.0</v>
      </c>
      <c r="F35" s="193">
        <f t="shared" si="6"/>
        <v>0</v>
      </c>
      <c r="G35" s="193">
        <f t="shared" si="7"/>
        <v>1798.38309</v>
      </c>
      <c r="H35" s="194">
        <f t="shared" si="8"/>
        <v>1798.38309</v>
      </c>
      <c r="I35" s="193">
        <v>1.0</v>
      </c>
      <c r="J35" s="195">
        <f t="shared" si="9"/>
        <v>1798.38309</v>
      </c>
      <c r="K35" s="139"/>
      <c r="L35" s="178">
        <f t="shared" si="18"/>
        <v>5.1562</v>
      </c>
      <c r="M35" s="162">
        <f t="shared" si="19"/>
        <v>1</v>
      </c>
      <c r="N35" s="162">
        <f t="shared" si="20"/>
        <v>5.1562</v>
      </c>
      <c r="O35" s="139"/>
      <c r="P35" s="139"/>
      <c r="Q35" s="178">
        <v>1780.0</v>
      </c>
      <c r="R35" s="190">
        <v>30.0</v>
      </c>
      <c r="S35" s="178">
        <f t="shared" si="10"/>
        <v>28.67</v>
      </c>
      <c r="T35" s="162">
        <f t="shared" si="11"/>
        <v>1</v>
      </c>
      <c r="U35" s="162">
        <f t="shared" si="12"/>
        <v>28.67</v>
      </c>
      <c r="V35" s="191">
        <f t="shared" si="13"/>
        <v>1798.38309</v>
      </c>
      <c r="W35" s="178">
        <f t="shared" ref="W35:X35" si="25">C35/100</f>
        <v>1.03</v>
      </c>
      <c r="X35" s="178">
        <f t="shared" si="25"/>
        <v>2.03</v>
      </c>
      <c r="Y35" s="178">
        <f t="shared" si="15"/>
        <v>28.67</v>
      </c>
      <c r="Z35" s="192">
        <f t="shared" si="16"/>
        <v>59.946103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9.0</v>
      </c>
      <c r="B36" s="196" t="s">
        <v>55</v>
      </c>
      <c r="C36" s="193">
        <v>99.0</v>
      </c>
      <c r="D36" s="193">
        <v>203.0</v>
      </c>
      <c r="E36" s="193">
        <v>2868.0</v>
      </c>
      <c r="F36" s="193">
        <f t="shared" si="6"/>
        <v>0</v>
      </c>
      <c r="G36" s="193">
        <f t="shared" si="7"/>
        <v>1729.14588</v>
      </c>
      <c r="H36" s="194">
        <f t="shared" si="8"/>
        <v>1729.14588</v>
      </c>
      <c r="I36" s="193">
        <v>1.0</v>
      </c>
      <c r="J36" s="195">
        <f t="shared" si="9"/>
        <v>1729.14588</v>
      </c>
      <c r="K36" s="139"/>
      <c r="L36" s="178">
        <f t="shared" si="18"/>
        <v>5.1562</v>
      </c>
      <c r="M36" s="162">
        <f t="shared" si="19"/>
        <v>1</v>
      </c>
      <c r="N36" s="162">
        <f t="shared" si="20"/>
        <v>5.1562</v>
      </c>
      <c r="O36" s="139"/>
      <c r="P36" s="139"/>
      <c r="Q36" s="178">
        <v>1705.0</v>
      </c>
      <c r="R36" s="190">
        <v>30.0</v>
      </c>
      <c r="S36" s="178">
        <f t="shared" si="10"/>
        <v>28.68</v>
      </c>
      <c r="T36" s="162">
        <f t="shared" si="11"/>
        <v>1</v>
      </c>
      <c r="U36" s="162">
        <f t="shared" si="12"/>
        <v>28.68</v>
      </c>
      <c r="V36" s="191">
        <f t="shared" si="13"/>
        <v>1729.14588</v>
      </c>
      <c r="W36" s="178">
        <f t="shared" ref="W36:X36" si="26">C36/100</f>
        <v>0.99</v>
      </c>
      <c r="X36" s="178">
        <f t="shared" si="26"/>
        <v>2.03</v>
      </c>
      <c r="Y36" s="178">
        <f t="shared" si="15"/>
        <v>28.68</v>
      </c>
      <c r="Z36" s="192">
        <f t="shared" si="16"/>
        <v>57.638196</v>
      </c>
      <c r="AA36" s="139"/>
      <c r="AB36" s="139"/>
      <c r="AC36" s="139"/>
      <c r="AD36" s="26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10.0</v>
      </c>
      <c r="B37" s="193" t="s">
        <v>55</v>
      </c>
      <c r="C37" s="193">
        <v>98.0</v>
      </c>
      <c r="D37" s="193">
        <v>203.0</v>
      </c>
      <c r="E37" s="193">
        <v>2866.0</v>
      </c>
      <c r="F37" s="193">
        <f t="shared" si="6"/>
        <v>0</v>
      </c>
      <c r="G37" s="193">
        <f t="shared" si="7"/>
        <v>1710.48612</v>
      </c>
      <c r="H37" s="194">
        <f t="shared" si="8"/>
        <v>1710.48612</v>
      </c>
      <c r="I37" s="193">
        <v>1.0</v>
      </c>
      <c r="J37" s="195">
        <f t="shared" si="9"/>
        <v>1710.48612</v>
      </c>
      <c r="K37" s="139"/>
      <c r="L37" s="178">
        <f t="shared" si="18"/>
        <v>5.1562</v>
      </c>
      <c r="M37" s="162">
        <f t="shared" si="19"/>
        <v>1</v>
      </c>
      <c r="N37" s="162">
        <f t="shared" si="20"/>
        <v>5.1562</v>
      </c>
      <c r="O37" s="139"/>
      <c r="P37" s="139"/>
      <c r="Q37" s="178">
        <v>1700.0</v>
      </c>
      <c r="R37" s="190">
        <v>30.0</v>
      </c>
      <c r="S37" s="178">
        <f t="shared" si="10"/>
        <v>28.66</v>
      </c>
      <c r="T37" s="162">
        <f t="shared" si="11"/>
        <v>1</v>
      </c>
      <c r="U37" s="162">
        <f t="shared" si="12"/>
        <v>28.66</v>
      </c>
      <c r="V37" s="191">
        <f t="shared" si="13"/>
        <v>1710.48612</v>
      </c>
      <c r="W37" s="178">
        <f t="shared" ref="W37:X37" si="27">C37/100</f>
        <v>0.98</v>
      </c>
      <c r="X37" s="178">
        <f t="shared" si="27"/>
        <v>2.03</v>
      </c>
      <c r="Y37" s="178">
        <f t="shared" si="15"/>
        <v>28.66</v>
      </c>
      <c r="Z37" s="192">
        <f t="shared" si="16"/>
        <v>57.016204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11.0</v>
      </c>
      <c r="B38" s="193" t="s">
        <v>55</v>
      </c>
      <c r="C38" s="193">
        <v>99.0</v>
      </c>
      <c r="D38" s="193">
        <v>203.0</v>
      </c>
      <c r="E38" s="193">
        <v>2868.0</v>
      </c>
      <c r="F38" s="193">
        <f t="shared" si="6"/>
        <v>0</v>
      </c>
      <c r="G38" s="193">
        <f t="shared" si="7"/>
        <v>1729.14588</v>
      </c>
      <c r="H38" s="194">
        <f t="shared" si="8"/>
        <v>1729.14588</v>
      </c>
      <c r="I38" s="193">
        <v>1.0</v>
      </c>
      <c r="J38" s="195">
        <f t="shared" si="9"/>
        <v>1729.14588</v>
      </c>
      <c r="K38" s="139"/>
      <c r="L38" s="178">
        <f t="shared" si="18"/>
        <v>5.1562</v>
      </c>
      <c r="M38" s="162">
        <f t="shared" si="19"/>
        <v>1</v>
      </c>
      <c r="N38" s="162">
        <f t="shared" si="20"/>
        <v>5.1562</v>
      </c>
      <c r="O38" s="139"/>
      <c r="P38" s="139"/>
      <c r="Q38" s="178">
        <v>1715.0</v>
      </c>
      <c r="R38" s="190">
        <v>30.0</v>
      </c>
      <c r="S38" s="178">
        <f t="shared" si="10"/>
        <v>28.68</v>
      </c>
      <c r="T38" s="162">
        <f t="shared" si="11"/>
        <v>1</v>
      </c>
      <c r="U38" s="162">
        <f t="shared" si="12"/>
        <v>28.68</v>
      </c>
      <c r="V38" s="191">
        <f t="shared" si="13"/>
        <v>1729.14588</v>
      </c>
      <c r="W38" s="178">
        <f t="shared" ref="W38:X38" si="28">C38/100</f>
        <v>0.99</v>
      </c>
      <c r="X38" s="178">
        <f t="shared" si="28"/>
        <v>2.03</v>
      </c>
      <c r="Y38" s="178">
        <f t="shared" si="15"/>
        <v>28.68</v>
      </c>
      <c r="Z38" s="192">
        <f t="shared" si="16"/>
        <v>57.638196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12.0</v>
      </c>
      <c r="B39" s="196" t="s">
        <v>57</v>
      </c>
      <c r="C39" s="193">
        <v>97.0</v>
      </c>
      <c r="D39" s="193">
        <v>203.0</v>
      </c>
      <c r="E39" s="193">
        <v>198.0</v>
      </c>
      <c r="F39" s="193">
        <f t="shared" si="6"/>
        <v>0</v>
      </c>
      <c r="G39" s="193">
        <f t="shared" si="7"/>
        <v>115.015131</v>
      </c>
      <c r="H39" s="194">
        <f t="shared" si="8"/>
        <v>115.015131</v>
      </c>
      <c r="I39" s="193">
        <v>1.0</v>
      </c>
      <c r="J39" s="195">
        <f t="shared" si="9"/>
        <v>115.015131</v>
      </c>
      <c r="K39" s="139"/>
      <c r="L39" s="178">
        <f t="shared" si="18"/>
        <v>5.1562</v>
      </c>
      <c r="M39" s="162">
        <f t="shared" si="19"/>
        <v>1</v>
      </c>
      <c r="N39" s="162">
        <f t="shared" si="20"/>
        <v>5.1562</v>
      </c>
      <c r="O39" s="139"/>
      <c r="P39" s="139"/>
      <c r="Q39" s="178">
        <v>116.0</v>
      </c>
      <c r="R39" s="190">
        <v>29.5</v>
      </c>
      <c r="S39" s="178">
        <f t="shared" si="10"/>
        <v>1.98</v>
      </c>
      <c r="T39" s="162">
        <f t="shared" si="11"/>
        <v>1</v>
      </c>
      <c r="U39" s="162">
        <f t="shared" si="12"/>
        <v>1.98</v>
      </c>
      <c r="V39" s="191">
        <f t="shared" si="13"/>
        <v>115.015131</v>
      </c>
      <c r="W39" s="178">
        <f t="shared" ref="W39:X39" si="29">C39/100</f>
        <v>0.97</v>
      </c>
      <c r="X39" s="178">
        <f t="shared" si="29"/>
        <v>2.03</v>
      </c>
      <c r="Y39" s="178">
        <f t="shared" si="15"/>
        <v>1.98</v>
      </c>
      <c r="Z39" s="192">
        <f t="shared" si="16"/>
        <v>3.898818</v>
      </c>
      <c r="AA39" s="139"/>
      <c r="AB39" s="269"/>
      <c r="AC39" s="139"/>
      <c r="AD39" s="26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13.0</v>
      </c>
      <c r="B40" s="193" t="s">
        <v>57</v>
      </c>
      <c r="C40" s="193">
        <v>98.0</v>
      </c>
      <c r="D40" s="193">
        <v>203.0</v>
      </c>
      <c r="E40" s="193">
        <v>2869.0</v>
      </c>
      <c r="F40" s="193">
        <f t="shared" si="6"/>
        <v>0</v>
      </c>
      <c r="G40" s="193">
        <f t="shared" si="7"/>
        <v>1683.738637</v>
      </c>
      <c r="H40" s="194">
        <f t="shared" si="8"/>
        <v>1683.738637</v>
      </c>
      <c r="I40" s="193">
        <v>1.0</v>
      </c>
      <c r="J40" s="195">
        <f t="shared" si="9"/>
        <v>1683.738637</v>
      </c>
      <c r="K40" s="139"/>
      <c r="L40" s="178">
        <f t="shared" si="18"/>
        <v>5.1562</v>
      </c>
      <c r="M40" s="162">
        <f t="shared" si="19"/>
        <v>1</v>
      </c>
      <c r="N40" s="162">
        <f t="shared" si="20"/>
        <v>5.1562</v>
      </c>
      <c r="O40" s="139"/>
      <c r="P40" s="139"/>
      <c r="Q40" s="178">
        <v>1670.0</v>
      </c>
      <c r="R40" s="190">
        <v>29.5</v>
      </c>
      <c r="S40" s="178">
        <f t="shared" si="10"/>
        <v>28.69</v>
      </c>
      <c r="T40" s="162">
        <f t="shared" si="11"/>
        <v>1</v>
      </c>
      <c r="U40" s="162">
        <f t="shared" si="12"/>
        <v>28.69</v>
      </c>
      <c r="V40" s="191">
        <f t="shared" si="13"/>
        <v>1683.738637</v>
      </c>
      <c r="W40" s="178">
        <f t="shared" ref="W40:X40" si="30">C40/100</f>
        <v>0.98</v>
      </c>
      <c r="X40" s="178">
        <f t="shared" si="30"/>
        <v>2.03</v>
      </c>
      <c r="Y40" s="178">
        <f t="shared" si="15"/>
        <v>28.69</v>
      </c>
      <c r="Z40" s="192">
        <f t="shared" si="16"/>
        <v>57.075886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14.0</v>
      </c>
      <c r="B41" s="193" t="s">
        <v>57</v>
      </c>
      <c r="C41" s="193">
        <v>98.0</v>
      </c>
      <c r="D41" s="193">
        <v>203.0</v>
      </c>
      <c r="E41" s="193">
        <v>2873.0</v>
      </c>
      <c r="F41" s="193">
        <f t="shared" si="6"/>
        <v>0</v>
      </c>
      <c r="G41" s="193">
        <f t="shared" si="7"/>
        <v>1686.086129</v>
      </c>
      <c r="H41" s="194">
        <f t="shared" si="8"/>
        <v>1686.086129</v>
      </c>
      <c r="I41" s="193">
        <v>1.0</v>
      </c>
      <c r="J41" s="195">
        <f t="shared" si="9"/>
        <v>1686.086129</v>
      </c>
      <c r="K41" s="139"/>
      <c r="L41" s="178">
        <f t="shared" si="18"/>
        <v>5.1562</v>
      </c>
      <c r="M41" s="162">
        <f t="shared" si="19"/>
        <v>1</v>
      </c>
      <c r="N41" s="162">
        <f t="shared" si="20"/>
        <v>5.1562</v>
      </c>
      <c r="O41" s="139"/>
      <c r="P41" s="139"/>
      <c r="Q41" s="178">
        <v>1680.0</v>
      </c>
      <c r="R41" s="190">
        <v>29.5</v>
      </c>
      <c r="S41" s="178">
        <f t="shared" si="10"/>
        <v>28.73</v>
      </c>
      <c r="T41" s="162">
        <f t="shared" si="11"/>
        <v>1</v>
      </c>
      <c r="U41" s="162">
        <f t="shared" si="12"/>
        <v>28.73</v>
      </c>
      <c r="V41" s="191">
        <f t="shared" si="13"/>
        <v>1686.086129</v>
      </c>
      <c r="W41" s="178">
        <f t="shared" ref="W41:X41" si="31">C41/100</f>
        <v>0.98</v>
      </c>
      <c r="X41" s="178">
        <f t="shared" si="31"/>
        <v>2.03</v>
      </c>
      <c r="Y41" s="178">
        <f t="shared" si="15"/>
        <v>28.73</v>
      </c>
      <c r="Z41" s="192">
        <f t="shared" si="16"/>
        <v>57.155462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15.0</v>
      </c>
      <c r="B42" s="193" t="s">
        <v>57</v>
      </c>
      <c r="C42" s="193">
        <v>97.0</v>
      </c>
      <c r="D42" s="193">
        <v>203.0</v>
      </c>
      <c r="E42" s="193">
        <v>2866.0</v>
      </c>
      <c r="F42" s="193">
        <f t="shared" si="6"/>
        <v>0</v>
      </c>
      <c r="G42" s="193">
        <f t="shared" si="7"/>
        <v>1664.814977</v>
      </c>
      <c r="H42" s="194">
        <f t="shared" si="8"/>
        <v>1664.814977</v>
      </c>
      <c r="I42" s="193">
        <v>1.0</v>
      </c>
      <c r="J42" s="195">
        <f t="shared" si="9"/>
        <v>1664.814977</v>
      </c>
      <c r="K42" s="139"/>
      <c r="L42" s="178">
        <f t="shared" si="18"/>
        <v>5.1562</v>
      </c>
      <c r="M42" s="162">
        <f t="shared" si="19"/>
        <v>1</v>
      </c>
      <c r="N42" s="162">
        <f t="shared" si="20"/>
        <v>5.1562</v>
      </c>
      <c r="O42" s="139"/>
      <c r="P42" s="139"/>
      <c r="Q42" s="178">
        <v>1675.0</v>
      </c>
      <c r="R42" s="190">
        <v>29.5</v>
      </c>
      <c r="S42" s="178">
        <f t="shared" si="10"/>
        <v>28.66</v>
      </c>
      <c r="T42" s="162">
        <f t="shared" si="11"/>
        <v>1</v>
      </c>
      <c r="U42" s="162">
        <f t="shared" si="12"/>
        <v>28.66</v>
      </c>
      <c r="V42" s="191">
        <f t="shared" si="13"/>
        <v>1664.814977</v>
      </c>
      <c r="W42" s="178">
        <f t="shared" ref="W42:X42" si="32">C42/100</f>
        <v>0.97</v>
      </c>
      <c r="X42" s="178">
        <f t="shared" si="32"/>
        <v>2.03</v>
      </c>
      <c r="Y42" s="178">
        <f t="shared" si="15"/>
        <v>28.66</v>
      </c>
      <c r="Z42" s="192">
        <f t="shared" si="16"/>
        <v>56.434406</v>
      </c>
      <c r="AA42" s="139"/>
      <c r="AB42" s="139"/>
      <c r="AC42" s="139"/>
      <c r="AD42" s="26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16.0</v>
      </c>
      <c r="B43" s="193" t="s">
        <v>57</v>
      </c>
      <c r="C43" s="193">
        <v>97.0</v>
      </c>
      <c r="D43" s="193">
        <v>203.0</v>
      </c>
      <c r="E43" s="193">
        <v>2867.0</v>
      </c>
      <c r="F43" s="193">
        <f t="shared" si="6"/>
        <v>0</v>
      </c>
      <c r="G43" s="193">
        <f t="shared" si="7"/>
        <v>1665.395862</v>
      </c>
      <c r="H43" s="194">
        <f t="shared" si="8"/>
        <v>1665.395862</v>
      </c>
      <c r="I43" s="193">
        <v>1.0</v>
      </c>
      <c r="J43" s="195">
        <f t="shared" si="9"/>
        <v>1665.395862</v>
      </c>
      <c r="K43" s="139"/>
      <c r="L43" s="178">
        <f t="shared" si="18"/>
        <v>5.1562</v>
      </c>
      <c r="M43" s="162">
        <f t="shared" si="19"/>
        <v>1</v>
      </c>
      <c r="N43" s="162">
        <f t="shared" si="20"/>
        <v>5.1562</v>
      </c>
      <c r="O43" s="139"/>
      <c r="P43" s="139"/>
      <c r="Q43" s="178">
        <v>1675.0</v>
      </c>
      <c r="R43" s="190">
        <v>29.5</v>
      </c>
      <c r="S43" s="178">
        <f t="shared" si="10"/>
        <v>28.67</v>
      </c>
      <c r="T43" s="162">
        <f t="shared" si="11"/>
        <v>1</v>
      </c>
      <c r="U43" s="162">
        <f t="shared" si="12"/>
        <v>28.67</v>
      </c>
      <c r="V43" s="191">
        <f t="shared" si="13"/>
        <v>1665.395862</v>
      </c>
      <c r="W43" s="178">
        <f t="shared" ref="W43:X43" si="33">C43/100</f>
        <v>0.97</v>
      </c>
      <c r="X43" s="178">
        <f t="shared" si="33"/>
        <v>2.03</v>
      </c>
      <c r="Y43" s="178">
        <f t="shared" si="15"/>
        <v>28.67</v>
      </c>
      <c r="Z43" s="192">
        <f t="shared" si="16"/>
        <v>56.454097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17.0</v>
      </c>
      <c r="B44" s="193" t="s">
        <v>57</v>
      </c>
      <c r="C44" s="193">
        <v>95.0</v>
      </c>
      <c r="D44" s="193">
        <v>203.0</v>
      </c>
      <c r="E44" s="193">
        <v>2818.0</v>
      </c>
      <c r="F44" s="193">
        <f t="shared" si="6"/>
        <v>0</v>
      </c>
      <c r="G44" s="193">
        <f t="shared" si="7"/>
        <v>1603.181335</v>
      </c>
      <c r="H44" s="194">
        <f t="shared" si="8"/>
        <v>1603.181335</v>
      </c>
      <c r="I44" s="193">
        <v>1.0</v>
      </c>
      <c r="J44" s="195">
        <f t="shared" si="9"/>
        <v>1603.181335</v>
      </c>
      <c r="K44" s="139"/>
      <c r="L44" s="178">
        <f t="shared" si="18"/>
        <v>5.1562</v>
      </c>
      <c r="M44" s="162">
        <f t="shared" si="19"/>
        <v>1</v>
      </c>
      <c r="N44" s="162">
        <f t="shared" si="20"/>
        <v>5.1562</v>
      </c>
      <c r="O44" s="139"/>
      <c r="P44" s="139"/>
      <c r="Q44" s="178">
        <v>1640.0</v>
      </c>
      <c r="R44" s="190">
        <v>29.5</v>
      </c>
      <c r="S44" s="178">
        <f t="shared" si="10"/>
        <v>28.18</v>
      </c>
      <c r="T44" s="162">
        <f t="shared" si="11"/>
        <v>1</v>
      </c>
      <c r="U44" s="162">
        <f t="shared" si="12"/>
        <v>28.18</v>
      </c>
      <c r="V44" s="191">
        <f t="shared" si="13"/>
        <v>1603.181335</v>
      </c>
      <c r="W44" s="178">
        <f t="shared" ref="W44:X44" si="34">C44/100</f>
        <v>0.95</v>
      </c>
      <c r="X44" s="178">
        <f t="shared" si="34"/>
        <v>2.03</v>
      </c>
      <c r="Y44" s="178">
        <f t="shared" si="15"/>
        <v>28.18</v>
      </c>
      <c r="Z44" s="192">
        <f t="shared" si="16"/>
        <v>54.34513</v>
      </c>
      <c r="AA44" s="139"/>
      <c r="AB44" s="139"/>
      <c r="AC44" s="139"/>
      <c r="AD44" s="270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18.0</v>
      </c>
      <c r="B45" s="193" t="s">
        <v>57</v>
      </c>
      <c r="C45" s="193">
        <v>96.0</v>
      </c>
      <c r="D45" s="193">
        <v>203.0</v>
      </c>
      <c r="E45" s="193">
        <v>2867.0</v>
      </c>
      <c r="F45" s="193">
        <f t="shared" si="6"/>
        <v>0</v>
      </c>
      <c r="G45" s="193">
        <f t="shared" si="7"/>
        <v>1648.226832</v>
      </c>
      <c r="H45" s="194">
        <f t="shared" si="8"/>
        <v>1648.226832</v>
      </c>
      <c r="I45" s="193">
        <v>1.0</v>
      </c>
      <c r="J45" s="195">
        <f t="shared" si="9"/>
        <v>1648.226832</v>
      </c>
      <c r="K45" s="139"/>
      <c r="L45" s="178">
        <f t="shared" si="18"/>
        <v>5.1562</v>
      </c>
      <c r="M45" s="162">
        <f t="shared" si="19"/>
        <v>1</v>
      </c>
      <c r="N45" s="162">
        <f t="shared" si="20"/>
        <v>5.1562</v>
      </c>
      <c r="O45" s="139"/>
      <c r="P45" s="139"/>
      <c r="Q45" s="178">
        <v>1670.0</v>
      </c>
      <c r="R45" s="190">
        <v>29.5</v>
      </c>
      <c r="S45" s="178">
        <f t="shared" si="10"/>
        <v>28.67</v>
      </c>
      <c r="T45" s="162">
        <f t="shared" si="11"/>
        <v>1</v>
      </c>
      <c r="U45" s="162">
        <f t="shared" si="12"/>
        <v>28.67</v>
      </c>
      <c r="V45" s="191">
        <f t="shared" si="13"/>
        <v>1648.226832</v>
      </c>
      <c r="W45" s="178">
        <f t="shared" ref="W45:X45" si="35">C45/100</f>
        <v>0.96</v>
      </c>
      <c r="X45" s="178">
        <f t="shared" si="35"/>
        <v>2.03</v>
      </c>
      <c r="Y45" s="178">
        <f t="shared" si="15"/>
        <v>28.67</v>
      </c>
      <c r="Z45" s="192">
        <f t="shared" si="16"/>
        <v>55.872096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19.0</v>
      </c>
      <c r="B46" s="193" t="s">
        <v>57</v>
      </c>
      <c r="C46" s="193">
        <v>96.0</v>
      </c>
      <c r="D46" s="193">
        <v>203.0</v>
      </c>
      <c r="E46" s="193">
        <v>2867.0</v>
      </c>
      <c r="F46" s="193">
        <f t="shared" si="6"/>
        <v>0</v>
      </c>
      <c r="G46" s="193">
        <f t="shared" si="7"/>
        <v>1648.226832</v>
      </c>
      <c r="H46" s="194">
        <f t="shared" si="8"/>
        <v>1648.226832</v>
      </c>
      <c r="I46" s="193">
        <v>1.0</v>
      </c>
      <c r="J46" s="195">
        <f t="shared" si="9"/>
        <v>1648.226832</v>
      </c>
      <c r="K46" s="139"/>
      <c r="L46" s="178">
        <f t="shared" si="18"/>
        <v>5.1562</v>
      </c>
      <c r="M46" s="162">
        <f t="shared" si="19"/>
        <v>1</v>
      </c>
      <c r="N46" s="162">
        <f t="shared" si="20"/>
        <v>5.1562</v>
      </c>
      <c r="O46" s="139"/>
      <c r="P46" s="139"/>
      <c r="Q46" s="178">
        <v>1670.0</v>
      </c>
      <c r="R46" s="190">
        <v>29.5</v>
      </c>
      <c r="S46" s="178">
        <f t="shared" si="10"/>
        <v>28.67</v>
      </c>
      <c r="T46" s="162">
        <f t="shared" si="11"/>
        <v>1</v>
      </c>
      <c r="U46" s="162">
        <f t="shared" si="12"/>
        <v>28.67</v>
      </c>
      <c r="V46" s="191">
        <f t="shared" si="13"/>
        <v>1648.226832</v>
      </c>
      <c r="W46" s="178">
        <f t="shared" ref="W46:X46" si="36">C46/100</f>
        <v>0.96</v>
      </c>
      <c r="X46" s="178">
        <f t="shared" si="36"/>
        <v>2.03</v>
      </c>
      <c r="Y46" s="178">
        <f t="shared" si="15"/>
        <v>28.67</v>
      </c>
      <c r="Z46" s="192">
        <f t="shared" si="16"/>
        <v>55.872096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20.0</v>
      </c>
      <c r="B47" s="272" t="s">
        <v>121</v>
      </c>
      <c r="C47" s="272">
        <v>98.0</v>
      </c>
      <c r="D47" s="272">
        <v>203.0</v>
      </c>
      <c r="E47" s="272">
        <v>152.0</v>
      </c>
      <c r="F47" s="272">
        <f t="shared" si="6"/>
        <v>0.5</v>
      </c>
      <c r="G47" s="272">
        <f t="shared" si="7"/>
        <v>89.204696</v>
      </c>
      <c r="H47" s="273">
        <f t="shared" si="8"/>
        <v>44.602348</v>
      </c>
      <c r="I47" s="272">
        <v>1.0</v>
      </c>
      <c r="J47" s="274">
        <f t="shared" si="9"/>
        <v>44.602348</v>
      </c>
      <c r="K47" s="275"/>
      <c r="L47" s="276">
        <f t="shared" si="18"/>
        <v>5.1562</v>
      </c>
      <c r="M47" s="277">
        <f t="shared" si="19"/>
        <v>1</v>
      </c>
      <c r="N47" s="277">
        <f t="shared" si="20"/>
        <v>5.1562</v>
      </c>
      <c r="O47" s="275"/>
      <c r="P47" s="275"/>
      <c r="Q47" s="276">
        <v>88.0</v>
      </c>
      <c r="R47" s="190">
        <v>29.5</v>
      </c>
      <c r="S47" s="178">
        <f t="shared" si="10"/>
        <v>1.52</v>
      </c>
      <c r="T47" s="162">
        <f t="shared" si="11"/>
        <v>1</v>
      </c>
      <c r="U47" s="162">
        <f t="shared" si="12"/>
        <v>1.52</v>
      </c>
      <c r="V47" s="191">
        <f t="shared" si="13"/>
        <v>89.204696</v>
      </c>
      <c r="W47" s="178">
        <f t="shared" ref="W47:X47" si="37">C47/100</f>
        <v>0.98</v>
      </c>
      <c r="X47" s="178">
        <f t="shared" si="37"/>
        <v>2.03</v>
      </c>
      <c r="Y47" s="178">
        <f t="shared" si="15"/>
        <v>1.52</v>
      </c>
      <c r="Z47" s="192">
        <f t="shared" si="16"/>
        <v>3.023888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21.0</v>
      </c>
      <c r="B48" s="183" t="s">
        <v>63</v>
      </c>
      <c r="C48" s="184">
        <v>88.0</v>
      </c>
      <c r="D48" s="184">
        <v>196.0</v>
      </c>
      <c r="E48" s="184">
        <v>179.0</v>
      </c>
      <c r="F48" s="184">
        <f t="shared" si="6"/>
        <v>0.8</v>
      </c>
      <c r="G48" s="184">
        <f t="shared" si="7"/>
        <v>91.078064</v>
      </c>
      <c r="H48" s="185">
        <f t="shared" si="8"/>
        <v>72.8624512</v>
      </c>
      <c r="I48" s="184">
        <v>1.0</v>
      </c>
      <c r="J48" s="186">
        <f t="shared" si="9"/>
        <v>72.8624512</v>
      </c>
      <c r="K48" s="187"/>
      <c r="L48" s="188">
        <f t="shared" si="18"/>
        <v>4.9784</v>
      </c>
      <c r="M48" s="189">
        <f t="shared" si="19"/>
        <v>1</v>
      </c>
      <c r="N48" s="189">
        <f t="shared" si="20"/>
        <v>4.9784</v>
      </c>
      <c r="O48" s="187"/>
      <c r="P48" s="187"/>
      <c r="Q48" s="188">
        <v>96.0</v>
      </c>
      <c r="R48" s="190">
        <v>29.5</v>
      </c>
      <c r="S48" s="178">
        <f t="shared" si="10"/>
        <v>1.79</v>
      </c>
      <c r="T48" s="162">
        <f t="shared" si="11"/>
        <v>1</v>
      </c>
      <c r="U48" s="162">
        <f t="shared" si="12"/>
        <v>1.79</v>
      </c>
      <c r="V48" s="191">
        <f t="shared" si="13"/>
        <v>91.078064</v>
      </c>
      <c r="W48" s="178">
        <f t="shared" ref="W48:X48" si="38">C48/100</f>
        <v>0.88</v>
      </c>
      <c r="X48" s="178">
        <f t="shared" si="38"/>
        <v>1.96</v>
      </c>
      <c r="Y48" s="178">
        <f t="shared" si="15"/>
        <v>1.79</v>
      </c>
      <c r="Z48" s="192">
        <f t="shared" si="16"/>
        <v>3.087392</v>
      </c>
      <c r="AA48" s="139"/>
      <c r="AB48" s="26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22.0</v>
      </c>
      <c r="B49" s="193" t="s">
        <v>55</v>
      </c>
      <c r="C49" s="193">
        <v>98.0</v>
      </c>
      <c r="D49" s="193">
        <v>196.0</v>
      </c>
      <c r="E49" s="193">
        <v>2760.0</v>
      </c>
      <c r="F49" s="193">
        <f t="shared" si="6"/>
        <v>0</v>
      </c>
      <c r="G49" s="193">
        <f t="shared" si="7"/>
        <v>1563.91536</v>
      </c>
      <c r="H49" s="194">
        <f t="shared" si="8"/>
        <v>1563.91536</v>
      </c>
      <c r="I49" s="193">
        <v>1.0</v>
      </c>
      <c r="J49" s="195">
        <f t="shared" si="9"/>
        <v>1563.91536</v>
      </c>
      <c r="K49" s="139"/>
      <c r="L49" s="178">
        <f t="shared" si="18"/>
        <v>4.9784</v>
      </c>
      <c r="M49" s="162">
        <f t="shared" si="19"/>
        <v>1</v>
      </c>
      <c r="N49" s="162">
        <f t="shared" si="20"/>
        <v>4.9784</v>
      </c>
      <c r="O49" s="139"/>
      <c r="P49" s="139"/>
      <c r="Q49" s="178">
        <v>1560.0</v>
      </c>
      <c r="R49" s="190">
        <v>29.5</v>
      </c>
      <c r="S49" s="178">
        <f t="shared" si="10"/>
        <v>27.6</v>
      </c>
      <c r="T49" s="162">
        <f t="shared" si="11"/>
        <v>1</v>
      </c>
      <c r="U49" s="162">
        <f t="shared" si="12"/>
        <v>27.6</v>
      </c>
      <c r="V49" s="191">
        <f t="shared" si="13"/>
        <v>1563.91536</v>
      </c>
      <c r="W49" s="178">
        <f t="shared" ref="W49:X49" si="39">C49/100</f>
        <v>0.98</v>
      </c>
      <c r="X49" s="178">
        <f t="shared" si="39"/>
        <v>1.96</v>
      </c>
      <c r="Y49" s="178">
        <f t="shared" si="15"/>
        <v>27.6</v>
      </c>
      <c r="Z49" s="192">
        <f t="shared" si="16"/>
        <v>53.01408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23.0</v>
      </c>
      <c r="B50" s="193" t="s">
        <v>55</v>
      </c>
      <c r="C50" s="193">
        <v>99.0</v>
      </c>
      <c r="D50" s="193">
        <v>196.0</v>
      </c>
      <c r="E50" s="193">
        <v>2863.0</v>
      </c>
      <c r="F50" s="193">
        <f t="shared" si="6"/>
        <v>0</v>
      </c>
      <c r="G50" s="193">
        <f t="shared" si="7"/>
        <v>1638.832734</v>
      </c>
      <c r="H50" s="194">
        <f t="shared" si="8"/>
        <v>1638.832734</v>
      </c>
      <c r="I50" s="193">
        <v>1.0</v>
      </c>
      <c r="J50" s="195">
        <f t="shared" si="9"/>
        <v>1638.832734</v>
      </c>
      <c r="K50" s="139"/>
      <c r="L50" s="178">
        <f t="shared" si="18"/>
        <v>4.9784</v>
      </c>
      <c r="M50" s="162">
        <f t="shared" si="19"/>
        <v>1</v>
      </c>
      <c r="N50" s="162">
        <f t="shared" si="20"/>
        <v>4.9784</v>
      </c>
      <c r="O50" s="139"/>
      <c r="P50" s="139"/>
      <c r="Q50" s="178">
        <v>1655.0</v>
      </c>
      <c r="R50" s="190">
        <v>29.5</v>
      </c>
      <c r="S50" s="178">
        <f t="shared" si="10"/>
        <v>28.63</v>
      </c>
      <c r="T50" s="162">
        <f t="shared" si="11"/>
        <v>1</v>
      </c>
      <c r="U50" s="162">
        <f t="shared" si="12"/>
        <v>28.63</v>
      </c>
      <c r="V50" s="191">
        <f t="shared" si="13"/>
        <v>1638.832734</v>
      </c>
      <c r="W50" s="178">
        <f t="shared" ref="W50:X50" si="40">C50/100</f>
        <v>0.99</v>
      </c>
      <c r="X50" s="178">
        <f t="shared" si="40"/>
        <v>1.96</v>
      </c>
      <c r="Y50" s="178">
        <f t="shared" si="15"/>
        <v>28.63</v>
      </c>
      <c r="Z50" s="192">
        <f t="shared" si="16"/>
        <v>55.553652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24.0</v>
      </c>
      <c r="B51" s="196" t="s">
        <v>55</v>
      </c>
      <c r="C51" s="193">
        <v>102.0</v>
      </c>
      <c r="D51" s="193">
        <v>196.0</v>
      </c>
      <c r="E51" s="193">
        <v>191.0</v>
      </c>
      <c r="F51" s="193">
        <f t="shared" si="6"/>
        <v>0</v>
      </c>
      <c r="G51" s="193">
        <f t="shared" si="7"/>
        <v>114.55416</v>
      </c>
      <c r="H51" s="194">
        <f t="shared" si="8"/>
        <v>114.55416</v>
      </c>
      <c r="I51" s="193">
        <v>1.0</v>
      </c>
      <c r="J51" s="195">
        <f t="shared" si="9"/>
        <v>114.55416</v>
      </c>
      <c r="K51" s="139"/>
      <c r="L51" s="178">
        <f t="shared" si="18"/>
        <v>4.9784</v>
      </c>
      <c r="M51" s="162">
        <f t="shared" si="19"/>
        <v>1</v>
      </c>
      <c r="N51" s="162">
        <f t="shared" si="20"/>
        <v>4.9784</v>
      </c>
      <c r="O51" s="139"/>
      <c r="P51" s="139"/>
      <c r="Q51" s="178">
        <v>114.0</v>
      </c>
      <c r="R51" s="190">
        <v>30.0</v>
      </c>
      <c r="S51" s="178">
        <f t="shared" si="10"/>
        <v>1.91</v>
      </c>
      <c r="T51" s="162">
        <f t="shared" si="11"/>
        <v>1</v>
      </c>
      <c r="U51" s="162">
        <f t="shared" si="12"/>
        <v>1.91</v>
      </c>
      <c r="V51" s="191">
        <f t="shared" si="13"/>
        <v>114.55416</v>
      </c>
      <c r="W51" s="178">
        <f t="shared" ref="W51:X51" si="41">C51/100</f>
        <v>1.02</v>
      </c>
      <c r="X51" s="178">
        <f t="shared" si="41"/>
        <v>1.96</v>
      </c>
      <c r="Y51" s="178">
        <f t="shared" si="15"/>
        <v>1.91</v>
      </c>
      <c r="Z51" s="192">
        <f t="shared" si="16"/>
        <v>3.818472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25.0</v>
      </c>
      <c r="B52" s="193" t="s">
        <v>55</v>
      </c>
      <c r="C52" s="193">
        <v>102.0</v>
      </c>
      <c r="D52" s="193">
        <v>196.0</v>
      </c>
      <c r="E52" s="193">
        <v>2874.0</v>
      </c>
      <c r="F52" s="193">
        <f t="shared" si="6"/>
        <v>0</v>
      </c>
      <c r="G52" s="193">
        <f t="shared" si="7"/>
        <v>1723.71024</v>
      </c>
      <c r="H52" s="194">
        <f t="shared" si="8"/>
        <v>1723.71024</v>
      </c>
      <c r="I52" s="193">
        <v>1.0</v>
      </c>
      <c r="J52" s="195">
        <f t="shared" si="9"/>
        <v>1723.71024</v>
      </c>
      <c r="K52" s="139"/>
      <c r="L52" s="178">
        <f t="shared" si="18"/>
        <v>4.9784</v>
      </c>
      <c r="M52" s="162">
        <f t="shared" si="19"/>
        <v>1</v>
      </c>
      <c r="N52" s="162">
        <f t="shared" si="20"/>
        <v>4.9784</v>
      </c>
      <c r="O52" s="139"/>
      <c r="P52" s="139"/>
      <c r="Q52" s="178">
        <v>1740.0</v>
      </c>
      <c r="R52" s="190">
        <v>30.0</v>
      </c>
      <c r="S52" s="178">
        <f t="shared" si="10"/>
        <v>28.74</v>
      </c>
      <c r="T52" s="162">
        <f t="shared" si="11"/>
        <v>1</v>
      </c>
      <c r="U52" s="162">
        <f t="shared" si="12"/>
        <v>28.74</v>
      </c>
      <c r="V52" s="191">
        <f t="shared" si="13"/>
        <v>1723.71024</v>
      </c>
      <c r="W52" s="178">
        <f t="shared" ref="W52:X52" si="42">C52/100</f>
        <v>1.02</v>
      </c>
      <c r="X52" s="178">
        <f t="shared" si="42"/>
        <v>1.96</v>
      </c>
      <c r="Y52" s="178">
        <f t="shared" si="15"/>
        <v>28.74</v>
      </c>
      <c r="Z52" s="192">
        <f t="shared" si="16"/>
        <v>57.457008</v>
      </c>
      <c r="AA52" s="139"/>
      <c r="AB52" s="139"/>
      <c r="AC52" s="26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26.0</v>
      </c>
      <c r="B53" s="193" t="s">
        <v>55</v>
      </c>
      <c r="C53" s="193">
        <v>101.0</v>
      </c>
      <c r="D53" s="193">
        <v>196.0</v>
      </c>
      <c r="E53" s="193">
        <v>2875.0</v>
      </c>
      <c r="F53" s="193">
        <f t="shared" si="6"/>
        <v>0</v>
      </c>
      <c r="G53" s="193">
        <f t="shared" si="7"/>
        <v>1707.405</v>
      </c>
      <c r="H53" s="194">
        <f t="shared" si="8"/>
        <v>1707.405</v>
      </c>
      <c r="I53" s="193">
        <v>1.0</v>
      </c>
      <c r="J53" s="195">
        <f t="shared" si="9"/>
        <v>1707.405</v>
      </c>
      <c r="K53" s="139"/>
      <c r="L53" s="197"/>
      <c r="M53" s="198">
        <f t="shared" si="19"/>
        <v>1</v>
      </c>
      <c r="N53" s="198"/>
      <c r="O53" s="139"/>
      <c r="P53" s="139"/>
      <c r="Q53" s="178">
        <v>1740.0</v>
      </c>
      <c r="R53" s="190">
        <v>30.0</v>
      </c>
      <c r="S53" s="178">
        <f t="shared" si="10"/>
        <v>28.75</v>
      </c>
      <c r="T53" s="162">
        <f t="shared" si="11"/>
        <v>1</v>
      </c>
      <c r="U53" s="162">
        <f t="shared" si="12"/>
        <v>28.75</v>
      </c>
      <c r="V53" s="191">
        <f t="shared" si="13"/>
        <v>1707.405</v>
      </c>
      <c r="W53" s="178">
        <f t="shared" ref="W53:X53" si="43">C53/100</f>
        <v>1.01</v>
      </c>
      <c r="X53" s="178">
        <f t="shared" si="43"/>
        <v>1.96</v>
      </c>
      <c r="Y53" s="178">
        <f t="shared" si="15"/>
        <v>28.75</v>
      </c>
      <c r="Z53" s="192">
        <f t="shared" si="16"/>
        <v>56.9135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27.0</v>
      </c>
      <c r="B54" s="193" t="s">
        <v>55</v>
      </c>
      <c r="C54" s="193">
        <v>101.0</v>
      </c>
      <c r="D54" s="193">
        <v>196.0</v>
      </c>
      <c r="E54" s="193">
        <v>2872.0</v>
      </c>
      <c r="F54" s="193">
        <f t="shared" si="6"/>
        <v>0</v>
      </c>
      <c r="G54" s="193">
        <f t="shared" si="7"/>
        <v>1705.62336</v>
      </c>
      <c r="H54" s="194">
        <f t="shared" si="8"/>
        <v>1705.62336</v>
      </c>
      <c r="I54" s="193">
        <v>1.0</v>
      </c>
      <c r="J54" s="195">
        <f t="shared" si="9"/>
        <v>1705.62336</v>
      </c>
      <c r="K54" s="139"/>
      <c r="L54" s="197"/>
      <c r="M54" s="198">
        <f t="shared" si="19"/>
        <v>1</v>
      </c>
      <c r="N54" s="198"/>
      <c r="O54" s="139"/>
      <c r="P54" s="139"/>
      <c r="Q54" s="178">
        <v>1730.0</v>
      </c>
      <c r="R54" s="190">
        <v>30.0</v>
      </c>
      <c r="S54" s="178">
        <f t="shared" si="10"/>
        <v>28.72</v>
      </c>
      <c r="T54" s="162">
        <f t="shared" si="11"/>
        <v>1</v>
      </c>
      <c r="U54" s="162">
        <f t="shared" si="12"/>
        <v>28.72</v>
      </c>
      <c r="V54" s="191">
        <f t="shared" si="13"/>
        <v>1705.62336</v>
      </c>
      <c r="W54" s="178">
        <f t="shared" ref="W54:X54" si="44">C54/100</f>
        <v>1.01</v>
      </c>
      <c r="X54" s="178">
        <f t="shared" si="44"/>
        <v>1.96</v>
      </c>
      <c r="Y54" s="178">
        <f t="shared" si="15"/>
        <v>28.72</v>
      </c>
      <c r="Z54" s="192">
        <f t="shared" si="16"/>
        <v>56.854112</v>
      </c>
      <c r="AA54" s="139"/>
      <c r="AB54" s="26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28.0</v>
      </c>
      <c r="B55" s="193" t="s">
        <v>55</v>
      </c>
      <c r="C55" s="193">
        <v>103.0</v>
      </c>
      <c r="D55" s="193">
        <v>196.0</v>
      </c>
      <c r="E55" s="193">
        <v>2870.0</v>
      </c>
      <c r="F55" s="193">
        <f t="shared" si="6"/>
        <v>0</v>
      </c>
      <c r="G55" s="193">
        <f t="shared" si="7"/>
        <v>1738.1868</v>
      </c>
      <c r="H55" s="194">
        <f t="shared" si="8"/>
        <v>1738.1868</v>
      </c>
      <c r="I55" s="193">
        <v>1.0</v>
      </c>
      <c r="J55" s="195">
        <f t="shared" si="9"/>
        <v>1738.1868</v>
      </c>
      <c r="K55" s="139"/>
      <c r="L55" s="197"/>
      <c r="M55" s="198">
        <f t="shared" si="19"/>
        <v>1</v>
      </c>
      <c r="N55" s="198"/>
      <c r="O55" s="139"/>
      <c r="P55" s="139"/>
      <c r="Q55" s="178">
        <v>1740.0</v>
      </c>
      <c r="R55" s="190">
        <v>30.0</v>
      </c>
      <c r="S55" s="178">
        <f t="shared" si="10"/>
        <v>28.7</v>
      </c>
      <c r="T55" s="162">
        <f t="shared" si="11"/>
        <v>1</v>
      </c>
      <c r="U55" s="162">
        <f t="shared" si="12"/>
        <v>28.7</v>
      </c>
      <c r="V55" s="191">
        <f t="shared" si="13"/>
        <v>1738.1868</v>
      </c>
      <c r="W55" s="178">
        <f t="shared" ref="W55:X55" si="45">C55/100</f>
        <v>1.03</v>
      </c>
      <c r="X55" s="178">
        <f t="shared" si="45"/>
        <v>1.96</v>
      </c>
      <c r="Y55" s="178">
        <f t="shared" si="15"/>
        <v>28.7</v>
      </c>
      <c r="Z55" s="192">
        <f t="shared" si="16"/>
        <v>57.93956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29.0</v>
      </c>
      <c r="B56" s="193" t="s">
        <v>55</v>
      </c>
      <c r="C56" s="193">
        <v>101.0</v>
      </c>
      <c r="D56" s="193">
        <v>196.0</v>
      </c>
      <c r="E56" s="193">
        <v>2875.0</v>
      </c>
      <c r="F56" s="193">
        <f t="shared" si="6"/>
        <v>0</v>
      </c>
      <c r="G56" s="193">
        <f t="shared" si="7"/>
        <v>1707.405</v>
      </c>
      <c r="H56" s="194">
        <f t="shared" si="8"/>
        <v>1707.405</v>
      </c>
      <c r="I56" s="193">
        <v>1.0</v>
      </c>
      <c r="J56" s="195">
        <f t="shared" si="9"/>
        <v>1707.405</v>
      </c>
      <c r="K56" s="139"/>
      <c r="L56" s="197"/>
      <c r="M56" s="198">
        <f t="shared" si="19"/>
        <v>1</v>
      </c>
      <c r="N56" s="198"/>
      <c r="O56" s="139"/>
      <c r="P56" s="139"/>
      <c r="Q56" s="178">
        <v>1700.0</v>
      </c>
      <c r="R56" s="190">
        <v>30.0</v>
      </c>
      <c r="S56" s="178">
        <f t="shared" si="10"/>
        <v>28.75</v>
      </c>
      <c r="T56" s="162">
        <f t="shared" si="11"/>
        <v>1</v>
      </c>
      <c r="U56" s="162">
        <f t="shared" si="12"/>
        <v>28.75</v>
      </c>
      <c r="V56" s="191">
        <f t="shared" si="13"/>
        <v>1707.405</v>
      </c>
      <c r="W56" s="178">
        <f t="shared" ref="W56:X56" si="46">C56/100</f>
        <v>1.01</v>
      </c>
      <c r="X56" s="178">
        <f t="shared" si="46"/>
        <v>1.96</v>
      </c>
      <c r="Y56" s="178">
        <f t="shared" si="15"/>
        <v>28.75</v>
      </c>
      <c r="Z56" s="192">
        <f t="shared" si="16"/>
        <v>56.9135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30.0</v>
      </c>
      <c r="B57" s="183" t="s">
        <v>122</v>
      </c>
      <c r="C57" s="184">
        <v>83.0</v>
      </c>
      <c r="D57" s="184">
        <v>199.0</v>
      </c>
      <c r="E57" s="184">
        <v>188.0</v>
      </c>
      <c r="F57" s="184">
        <f t="shared" si="6"/>
        <v>0.8</v>
      </c>
      <c r="G57" s="184">
        <f t="shared" si="7"/>
        <v>85.39289</v>
      </c>
      <c r="H57" s="185">
        <f t="shared" si="8"/>
        <v>68.314312</v>
      </c>
      <c r="I57" s="184">
        <v>1.0</v>
      </c>
      <c r="J57" s="186">
        <f t="shared" si="9"/>
        <v>68.314312</v>
      </c>
      <c r="K57" s="187"/>
      <c r="L57" s="188"/>
      <c r="M57" s="189">
        <f t="shared" si="19"/>
        <v>1</v>
      </c>
      <c r="N57" s="189"/>
      <c r="O57" s="187"/>
      <c r="P57" s="187"/>
      <c r="Q57" s="188">
        <v>85.0</v>
      </c>
      <c r="R57" s="190">
        <v>27.5</v>
      </c>
      <c r="S57" s="178">
        <f t="shared" si="10"/>
        <v>1.88</v>
      </c>
      <c r="T57" s="162">
        <f t="shared" si="11"/>
        <v>1</v>
      </c>
      <c r="U57" s="162">
        <f t="shared" si="12"/>
        <v>1.88</v>
      </c>
      <c r="V57" s="191">
        <f t="shared" si="13"/>
        <v>85.39289</v>
      </c>
      <c r="W57" s="178">
        <f t="shared" ref="W57:X57" si="47">C57/100</f>
        <v>0.83</v>
      </c>
      <c r="X57" s="178">
        <f t="shared" si="47"/>
        <v>1.99</v>
      </c>
      <c r="Y57" s="178">
        <f t="shared" si="15"/>
        <v>1.88</v>
      </c>
      <c r="Z57" s="192">
        <f t="shared" si="16"/>
        <v>3.105196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31.0</v>
      </c>
      <c r="B58" s="193" t="s">
        <v>119</v>
      </c>
      <c r="C58" s="193">
        <v>95.0</v>
      </c>
      <c r="D58" s="193">
        <v>199.0</v>
      </c>
      <c r="E58" s="193">
        <v>185.0</v>
      </c>
      <c r="F58" s="193">
        <f t="shared" si="6"/>
        <v>0</v>
      </c>
      <c r="G58" s="193">
        <f t="shared" si="7"/>
        <v>96.1791875</v>
      </c>
      <c r="H58" s="194">
        <f t="shared" si="8"/>
        <v>96.1791875</v>
      </c>
      <c r="I58" s="193">
        <v>1.0</v>
      </c>
      <c r="J58" s="195">
        <f t="shared" si="9"/>
        <v>96.1791875</v>
      </c>
      <c r="K58" s="139"/>
      <c r="L58" s="197"/>
      <c r="M58" s="198">
        <f t="shared" si="19"/>
        <v>1</v>
      </c>
      <c r="N58" s="198"/>
      <c r="O58" s="139"/>
      <c r="P58" s="139"/>
      <c r="Q58" s="178">
        <v>100.0</v>
      </c>
      <c r="R58" s="190">
        <v>27.5</v>
      </c>
      <c r="S58" s="178">
        <f t="shared" si="10"/>
        <v>1.85</v>
      </c>
      <c r="T58" s="162">
        <f t="shared" si="11"/>
        <v>1</v>
      </c>
      <c r="U58" s="162">
        <f t="shared" si="12"/>
        <v>1.85</v>
      </c>
      <c r="V58" s="191">
        <f t="shared" si="13"/>
        <v>96.1791875</v>
      </c>
      <c r="W58" s="178">
        <f t="shared" ref="W58:X58" si="48">C58/100</f>
        <v>0.95</v>
      </c>
      <c r="X58" s="178">
        <f t="shared" si="48"/>
        <v>1.99</v>
      </c>
      <c r="Y58" s="178">
        <f t="shared" si="15"/>
        <v>1.85</v>
      </c>
      <c r="Z58" s="192">
        <f t="shared" si="16"/>
        <v>3.497425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32.0</v>
      </c>
      <c r="B59" s="193" t="s">
        <v>119</v>
      </c>
      <c r="C59" s="193">
        <v>96.0</v>
      </c>
      <c r="D59" s="193">
        <v>199.0</v>
      </c>
      <c r="E59" s="193">
        <v>204.0</v>
      </c>
      <c r="F59" s="193">
        <f t="shared" si="6"/>
        <v>0</v>
      </c>
      <c r="G59" s="193">
        <f t="shared" si="7"/>
        <v>107.17344</v>
      </c>
      <c r="H59" s="194">
        <f t="shared" si="8"/>
        <v>107.17344</v>
      </c>
      <c r="I59" s="193">
        <v>1.0</v>
      </c>
      <c r="J59" s="195">
        <f t="shared" si="9"/>
        <v>107.17344</v>
      </c>
      <c r="K59" s="139"/>
      <c r="L59" s="197"/>
      <c r="M59" s="198">
        <f t="shared" si="19"/>
        <v>1</v>
      </c>
      <c r="N59" s="198"/>
      <c r="O59" s="139"/>
      <c r="P59" s="139"/>
      <c r="Q59" s="178">
        <v>105.0</v>
      </c>
      <c r="R59" s="190">
        <v>27.5</v>
      </c>
      <c r="S59" s="178">
        <f t="shared" si="10"/>
        <v>2.04</v>
      </c>
      <c r="T59" s="162">
        <f t="shared" si="11"/>
        <v>1</v>
      </c>
      <c r="U59" s="162">
        <f t="shared" si="12"/>
        <v>2.04</v>
      </c>
      <c r="V59" s="191">
        <f t="shared" si="13"/>
        <v>107.17344</v>
      </c>
      <c r="W59" s="178">
        <f t="shared" ref="W59:X59" si="49">C59/100</f>
        <v>0.96</v>
      </c>
      <c r="X59" s="178">
        <f t="shared" si="49"/>
        <v>1.99</v>
      </c>
      <c r="Y59" s="178">
        <f t="shared" si="15"/>
        <v>2.04</v>
      </c>
      <c r="Z59" s="192">
        <f t="shared" si="16"/>
        <v>3.897216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33.0</v>
      </c>
      <c r="B60" s="193" t="s">
        <v>119</v>
      </c>
      <c r="C60" s="193">
        <v>96.0</v>
      </c>
      <c r="D60" s="193">
        <v>199.0</v>
      </c>
      <c r="E60" s="193">
        <v>2868.0</v>
      </c>
      <c r="F60" s="193">
        <f t="shared" si="6"/>
        <v>0</v>
      </c>
      <c r="G60" s="193">
        <f t="shared" si="7"/>
        <v>1506.73248</v>
      </c>
      <c r="H60" s="194">
        <f t="shared" si="8"/>
        <v>1506.73248</v>
      </c>
      <c r="I60" s="193">
        <v>1.0</v>
      </c>
      <c r="J60" s="195">
        <f t="shared" si="9"/>
        <v>1506.73248</v>
      </c>
      <c r="K60" s="139"/>
      <c r="L60" s="197"/>
      <c r="M60" s="198">
        <f t="shared" si="19"/>
        <v>1</v>
      </c>
      <c r="N60" s="198"/>
      <c r="O60" s="139"/>
      <c r="P60" s="139"/>
      <c r="Q60" s="178">
        <v>1505.0</v>
      </c>
      <c r="R60" s="190">
        <v>27.5</v>
      </c>
      <c r="S60" s="178">
        <f t="shared" si="10"/>
        <v>28.68</v>
      </c>
      <c r="T60" s="162">
        <f t="shared" si="11"/>
        <v>1</v>
      </c>
      <c r="U60" s="162">
        <f t="shared" si="12"/>
        <v>28.68</v>
      </c>
      <c r="V60" s="191">
        <f t="shared" si="13"/>
        <v>1506.73248</v>
      </c>
      <c r="W60" s="178">
        <f t="shared" ref="W60:X60" si="50">C60/100</f>
        <v>0.96</v>
      </c>
      <c r="X60" s="178">
        <f t="shared" si="50"/>
        <v>1.99</v>
      </c>
      <c r="Y60" s="178">
        <f t="shared" si="15"/>
        <v>28.68</v>
      </c>
      <c r="Z60" s="192">
        <f t="shared" si="16"/>
        <v>54.790272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34.0</v>
      </c>
      <c r="B61" s="193" t="s">
        <v>119</v>
      </c>
      <c r="C61" s="193">
        <v>96.0</v>
      </c>
      <c r="D61" s="193">
        <v>199.0</v>
      </c>
      <c r="E61" s="193">
        <v>2865.0</v>
      </c>
      <c r="F61" s="193">
        <f t="shared" si="6"/>
        <v>0</v>
      </c>
      <c r="G61" s="193">
        <f t="shared" si="7"/>
        <v>1505.1564</v>
      </c>
      <c r="H61" s="194">
        <f t="shared" si="8"/>
        <v>1505.1564</v>
      </c>
      <c r="I61" s="193">
        <v>1.0</v>
      </c>
      <c r="J61" s="195">
        <f t="shared" si="9"/>
        <v>1505.1564</v>
      </c>
      <c r="K61" s="139"/>
      <c r="L61" s="197"/>
      <c r="M61" s="198">
        <f t="shared" si="19"/>
        <v>1</v>
      </c>
      <c r="N61" s="198"/>
      <c r="O61" s="139"/>
      <c r="P61" s="139"/>
      <c r="Q61" s="178">
        <v>1500.0</v>
      </c>
      <c r="R61" s="190">
        <v>27.5</v>
      </c>
      <c r="S61" s="178">
        <f t="shared" si="10"/>
        <v>28.65</v>
      </c>
      <c r="T61" s="162">
        <f t="shared" si="11"/>
        <v>1</v>
      </c>
      <c r="U61" s="162">
        <f t="shared" si="12"/>
        <v>28.65</v>
      </c>
      <c r="V61" s="191">
        <f t="shared" si="13"/>
        <v>1505.1564</v>
      </c>
      <c r="W61" s="178">
        <f t="shared" ref="W61:X61" si="51">C61/100</f>
        <v>0.96</v>
      </c>
      <c r="X61" s="178">
        <f t="shared" si="51"/>
        <v>1.99</v>
      </c>
      <c r="Y61" s="178">
        <f t="shared" si="15"/>
        <v>28.65</v>
      </c>
      <c r="Z61" s="192">
        <f t="shared" si="16"/>
        <v>54.73296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35.0</v>
      </c>
      <c r="B62" s="193" t="s">
        <v>119</v>
      </c>
      <c r="C62" s="193">
        <v>97.0</v>
      </c>
      <c r="D62" s="193">
        <v>199.0</v>
      </c>
      <c r="E62" s="193">
        <v>2863.0</v>
      </c>
      <c r="F62" s="193">
        <f t="shared" si="6"/>
        <v>0</v>
      </c>
      <c r="G62" s="193">
        <f t="shared" si="7"/>
        <v>1519.773448</v>
      </c>
      <c r="H62" s="194">
        <f t="shared" si="8"/>
        <v>1519.773448</v>
      </c>
      <c r="I62" s="193">
        <v>1.0</v>
      </c>
      <c r="J62" s="195">
        <f t="shared" si="9"/>
        <v>1519.773448</v>
      </c>
      <c r="K62" s="139"/>
      <c r="L62" s="197"/>
      <c r="M62" s="198">
        <f t="shared" si="19"/>
        <v>1</v>
      </c>
      <c r="N62" s="198"/>
      <c r="O62" s="139"/>
      <c r="P62" s="139"/>
      <c r="Q62" s="178">
        <v>1505.0</v>
      </c>
      <c r="R62" s="190">
        <v>27.5</v>
      </c>
      <c r="S62" s="178">
        <f t="shared" si="10"/>
        <v>28.63</v>
      </c>
      <c r="T62" s="162">
        <f t="shared" si="11"/>
        <v>1</v>
      </c>
      <c r="U62" s="162">
        <f t="shared" si="12"/>
        <v>28.63</v>
      </c>
      <c r="V62" s="191">
        <f t="shared" si="13"/>
        <v>1519.773448</v>
      </c>
      <c r="W62" s="178">
        <f t="shared" ref="W62:X62" si="52">C62/100</f>
        <v>0.97</v>
      </c>
      <c r="X62" s="178">
        <f t="shared" si="52"/>
        <v>1.99</v>
      </c>
      <c r="Y62" s="178">
        <f t="shared" si="15"/>
        <v>28.63</v>
      </c>
      <c r="Z62" s="192">
        <f t="shared" si="16"/>
        <v>55.264489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hidden="1" customHeight="1">
      <c r="A63" s="162">
        <v>101.0</v>
      </c>
      <c r="B63" s="193"/>
      <c r="C63" s="193"/>
      <c r="D63" s="193"/>
      <c r="E63" s="193"/>
      <c r="F63" s="193">
        <f t="shared" si="6"/>
        <v>0</v>
      </c>
      <c r="G63" s="193">
        <f t="shared" si="7"/>
        <v>0</v>
      </c>
      <c r="H63" s="194">
        <f t="shared" si="8"/>
        <v>0</v>
      </c>
      <c r="I63" s="193"/>
      <c r="J63" s="195">
        <f t="shared" si="9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10"/>
        <v>0</v>
      </c>
      <c r="T63" s="200" t="str">
        <f t="shared" si="11"/>
        <v/>
      </c>
      <c r="U63" s="200">
        <f t="shared" si="12"/>
        <v>0</v>
      </c>
      <c r="V63" s="203"/>
      <c r="W63" s="199">
        <f t="shared" ref="W63:X63" si="53">C63/100</f>
        <v>0</v>
      </c>
      <c r="X63" s="199">
        <f t="shared" si="53"/>
        <v>0</v>
      </c>
      <c r="Y63" s="199">
        <f t="shared" si="15"/>
        <v>0</v>
      </c>
      <c r="Z63" s="202">
        <f t="shared" si="16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hidden="1" customHeight="1">
      <c r="A64" s="162">
        <v>102.0</v>
      </c>
      <c r="B64" s="193"/>
      <c r="C64" s="193"/>
      <c r="D64" s="193"/>
      <c r="E64" s="193"/>
      <c r="F64" s="193">
        <f t="shared" si="6"/>
        <v>0</v>
      </c>
      <c r="G64" s="193">
        <f t="shared" si="7"/>
        <v>0</v>
      </c>
      <c r="H64" s="194">
        <f t="shared" si="8"/>
        <v>0</v>
      </c>
      <c r="I64" s="193"/>
      <c r="J64" s="195">
        <f t="shared" si="9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10"/>
        <v>0</v>
      </c>
      <c r="T64" s="200" t="str">
        <f t="shared" si="11"/>
        <v/>
      </c>
      <c r="U64" s="200">
        <f t="shared" si="12"/>
        <v>0</v>
      </c>
      <c r="V64" s="203"/>
      <c r="W64" s="199">
        <f t="shared" ref="W64:X64" si="54">C64/100</f>
        <v>0</v>
      </c>
      <c r="X64" s="199">
        <f t="shared" si="54"/>
        <v>0</v>
      </c>
      <c r="Y64" s="199">
        <f t="shared" si="15"/>
        <v>0</v>
      </c>
      <c r="Z64" s="202">
        <f t="shared" si="16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hidden="1" customHeight="1">
      <c r="A65" s="162">
        <v>103.0</v>
      </c>
      <c r="B65" s="193"/>
      <c r="C65" s="193"/>
      <c r="D65" s="193"/>
      <c r="E65" s="193"/>
      <c r="F65" s="193">
        <f t="shared" si="6"/>
        <v>0</v>
      </c>
      <c r="G65" s="193">
        <f t="shared" si="7"/>
        <v>0</v>
      </c>
      <c r="H65" s="194">
        <f t="shared" si="8"/>
        <v>0</v>
      </c>
      <c r="I65" s="193"/>
      <c r="J65" s="195">
        <f t="shared" si="9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10"/>
        <v>0</v>
      </c>
      <c r="T65" s="200" t="str">
        <f t="shared" si="11"/>
        <v/>
      </c>
      <c r="U65" s="200">
        <f t="shared" si="12"/>
        <v>0</v>
      </c>
      <c r="V65" s="203"/>
      <c r="W65" s="199">
        <f t="shared" ref="W65:X65" si="55">C65/100</f>
        <v>0</v>
      </c>
      <c r="X65" s="199">
        <f t="shared" si="55"/>
        <v>0</v>
      </c>
      <c r="Y65" s="199">
        <f t="shared" si="15"/>
        <v>0</v>
      </c>
      <c r="Z65" s="202">
        <f t="shared" si="16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2">
        <v>104.0</v>
      </c>
      <c r="B66" s="193"/>
      <c r="C66" s="193"/>
      <c r="D66" s="193"/>
      <c r="E66" s="193"/>
      <c r="F66" s="193">
        <f t="shared" si="6"/>
        <v>0</v>
      </c>
      <c r="G66" s="193">
        <f t="shared" si="7"/>
        <v>0</v>
      </c>
      <c r="H66" s="194">
        <f t="shared" si="8"/>
        <v>0</v>
      </c>
      <c r="I66" s="193"/>
      <c r="J66" s="195">
        <f t="shared" si="9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10"/>
        <v>0</v>
      </c>
      <c r="T66" s="200" t="str">
        <f t="shared" si="11"/>
        <v/>
      </c>
      <c r="U66" s="200">
        <f t="shared" si="12"/>
        <v>0</v>
      </c>
      <c r="V66" s="203"/>
      <c r="W66" s="199">
        <f t="shared" ref="W66:X66" si="56">C66/100</f>
        <v>0</v>
      </c>
      <c r="X66" s="199">
        <f t="shared" si="56"/>
        <v>0</v>
      </c>
      <c r="Y66" s="199">
        <f t="shared" si="15"/>
        <v>0</v>
      </c>
      <c r="Z66" s="202">
        <f t="shared" si="16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2">
        <v>105.0</v>
      </c>
      <c r="B67" s="193"/>
      <c r="C67" s="193"/>
      <c r="D67" s="193"/>
      <c r="E67" s="193"/>
      <c r="F67" s="193">
        <f t="shared" si="6"/>
        <v>0</v>
      </c>
      <c r="G67" s="193">
        <f t="shared" si="7"/>
        <v>0</v>
      </c>
      <c r="H67" s="194">
        <f t="shared" si="8"/>
        <v>0</v>
      </c>
      <c r="I67" s="193"/>
      <c r="J67" s="195">
        <f t="shared" si="9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10"/>
        <v>0</v>
      </c>
      <c r="T67" s="200" t="str">
        <f t="shared" si="11"/>
        <v/>
      </c>
      <c r="U67" s="200">
        <f t="shared" si="12"/>
        <v>0</v>
      </c>
      <c r="V67" s="203"/>
      <c r="W67" s="199">
        <f t="shared" ref="W67:X67" si="57">C67/100</f>
        <v>0</v>
      </c>
      <c r="X67" s="199">
        <f t="shared" si="57"/>
        <v>0</v>
      </c>
      <c r="Y67" s="199">
        <f t="shared" si="15"/>
        <v>0</v>
      </c>
      <c r="Z67" s="202">
        <f t="shared" si="16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2">
        <v>106.0</v>
      </c>
      <c r="B68" s="193"/>
      <c r="C68" s="193"/>
      <c r="D68" s="193"/>
      <c r="E68" s="193"/>
      <c r="F68" s="193">
        <f t="shared" si="6"/>
        <v>0</v>
      </c>
      <c r="G68" s="193">
        <f t="shared" si="7"/>
        <v>0</v>
      </c>
      <c r="H68" s="194">
        <f t="shared" si="8"/>
        <v>0</v>
      </c>
      <c r="I68" s="193"/>
      <c r="J68" s="195">
        <f t="shared" si="9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10"/>
        <v>0</v>
      </c>
      <c r="T68" s="200" t="str">
        <f t="shared" si="11"/>
        <v/>
      </c>
      <c r="U68" s="200">
        <f t="shared" si="12"/>
        <v>0</v>
      </c>
      <c r="V68" s="203"/>
      <c r="W68" s="199">
        <f t="shared" ref="W68:X68" si="58">C68/100</f>
        <v>0</v>
      </c>
      <c r="X68" s="199">
        <f t="shared" si="58"/>
        <v>0</v>
      </c>
      <c r="Y68" s="199">
        <f t="shared" si="15"/>
        <v>0</v>
      </c>
      <c r="Z68" s="202">
        <f t="shared" si="16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2">
        <v>107.0</v>
      </c>
      <c r="B69" s="193"/>
      <c r="C69" s="193"/>
      <c r="D69" s="193"/>
      <c r="E69" s="193"/>
      <c r="F69" s="193">
        <f t="shared" si="6"/>
        <v>0</v>
      </c>
      <c r="G69" s="193">
        <f t="shared" si="7"/>
        <v>0</v>
      </c>
      <c r="H69" s="194">
        <f t="shared" si="8"/>
        <v>0</v>
      </c>
      <c r="I69" s="193"/>
      <c r="J69" s="195">
        <f t="shared" si="9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10"/>
        <v>0</v>
      </c>
      <c r="T69" s="200" t="str">
        <f t="shared" si="11"/>
        <v/>
      </c>
      <c r="U69" s="200">
        <f t="shared" si="12"/>
        <v>0</v>
      </c>
      <c r="V69" s="203"/>
      <c r="W69" s="199">
        <f t="shared" ref="W69:X69" si="59">C69/100</f>
        <v>0</v>
      </c>
      <c r="X69" s="199">
        <f t="shared" si="59"/>
        <v>0</v>
      </c>
      <c r="Y69" s="199">
        <f t="shared" si="15"/>
        <v>0</v>
      </c>
      <c r="Z69" s="202">
        <f t="shared" si="16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2">
        <v>108.0</v>
      </c>
      <c r="B70" s="193"/>
      <c r="C70" s="193"/>
      <c r="D70" s="193"/>
      <c r="E70" s="193"/>
      <c r="F70" s="193">
        <f t="shared" si="6"/>
        <v>0</v>
      </c>
      <c r="G70" s="193">
        <f t="shared" si="7"/>
        <v>0</v>
      </c>
      <c r="H70" s="194">
        <f t="shared" si="8"/>
        <v>0</v>
      </c>
      <c r="I70" s="193"/>
      <c r="J70" s="195">
        <f t="shared" si="9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10"/>
        <v>0</v>
      </c>
      <c r="T70" s="200" t="str">
        <f t="shared" si="11"/>
        <v/>
      </c>
      <c r="U70" s="200">
        <f t="shared" si="12"/>
        <v>0</v>
      </c>
      <c r="V70" s="203"/>
      <c r="W70" s="199">
        <f t="shared" ref="W70:X70" si="60">C70/100</f>
        <v>0</v>
      </c>
      <c r="X70" s="199">
        <f t="shared" si="60"/>
        <v>0</v>
      </c>
      <c r="Y70" s="199">
        <f t="shared" si="15"/>
        <v>0</v>
      </c>
      <c r="Z70" s="202">
        <f t="shared" si="16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2">
        <v>109.0</v>
      </c>
      <c r="B71" s="193"/>
      <c r="C71" s="193"/>
      <c r="D71" s="193"/>
      <c r="E71" s="193"/>
      <c r="F71" s="193">
        <f t="shared" si="6"/>
        <v>0</v>
      </c>
      <c r="G71" s="193">
        <f t="shared" si="7"/>
        <v>0</v>
      </c>
      <c r="H71" s="194">
        <f t="shared" si="8"/>
        <v>0</v>
      </c>
      <c r="I71" s="193"/>
      <c r="J71" s="195">
        <f t="shared" si="9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10"/>
        <v>0</v>
      </c>
      <c r="T71" s="200" t="str">
        <f t="shared" si="11"/>
        <v/>
      </c>
      <c r="U71" s="200">
        <f t="shared" si="12"/>
        <v>0</v>
      </c>
      <c r="V71" s="203"/>
      <c r="W71" s="199">
        <f t="shared" ref="W71:X71" si="61">C71/100</f>
        <v>0</v>
      </c>
      <c r="X71" s="199">
        <f t="shared" si="61"/>
        <v>0</v>
      </c>
      <c r="Y71" s="199">
        <f t="shared" si="15"/>
        <v>0</v>
      </c>
      <c r="Z71" s="202">
        <f t="shared" si="16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2">
        <v>110.0</v>
      </c>
      <c r="B72" s="193"/>
      <c r="C72" s="193"/>
      <c r="D72" s="193"/>
      <c r="E72" s="193"/>
      <c r="F72" s="193">
        <f t="shared" si="6"/>
        <v>0</v>
      </c>
      <c r="G72" s="193">
        <f t="shared" si="7"/>
        <v>0</v>
      </c>
      <c r="H72" s="194">
        <f t="shared" si="8"/>
        <v>0</v>
      </c>
      <c r="I72" s="193"/>
      <c r="J72" s="195">
        <f t="shared" si="9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10"/>
        <v>0</v>
      </c>
      <c r="T72" s="200" t="str">
        <f t="shared" si="11"/>
        <v/>
      </c>
      <c r="U72" s="200">
        <f t="shared" si="12"/>
        <v>0</v>
      </c>
      <c r="V72" s="203"/>
      <c r="W72" s="199">
        <f t="shared" ref="W72:X72" si="62">C72/100</f>
        <v>0</v>
      </c>
      <c r="X72" s="199">
        <f t="shared" si="62"/>
        <v>0</v>
      </c>
      <c r="Y72" s="199">
        <f t="shared" si="15"/>
        <v>0</v>
      </c>
      <c r="Z72" s="202">
        <f t="shared" si="16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111.0</v>
      </c>
      <c r="B73" s="193"/>
      <c r="C73" s="193"/>
      <c r="D73" s="193"/>
      <c r="E73" s="193"/>
      <c r="F73" s="193">
        <f t="shared" si="6"/>
        <v>0</v>
      </c>
      <c r="G73" s="193">
        <f t="shared" si="7"/>
        <v>0</v>
      </c>
      <c r="H73" s="194">
        <f t="shared" si="8"/>
        <v>0</v>
      </c>
      <c r="I73" s="193"/>
      <c r="J73" s="195">
        <f t="shared" si="9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10"/>
        <v>0</v>
      </c>
      <c r="T73" s="200" t="str">
        <f t="shared" si="11"/>
        <v/>
      </c>
      <c r="U73" s="200">
        <f t="shared" si="12"/>
        <v>0</v>
      </c>
      <c r="V73" s="203"/>
      <c r="W73" s="199">
        <f t="shared" ref="W73:X73" si="63">C73/100</f>
        <v>0</v>
      </c>
      <c r="X73" s="199">
        <f t="shared" si="63"/>
        <v>0</v>
      </c>
      <c r="Y73" s="199">
        <f t="shared" si="15"/>
        <v>0</v>
      </c>
      <c r="Z73" s="202">
        <f t="shared" si="16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112.0</v>
      </c>
      <c r="B74" s="193"/>
      <c r="C74" s="193"/>
      <c r="D74" s="193"/>
      <c r="E74" s="193"/>
      <c r="F74" s="193">
        <f t="shared" si="6"/>
        <v>0</v>
      </c>
      <c r="G74" s="193">
        <f t="shared" si="7"/>
        <v>0</v>
      </c>
      <c r="H74" s="194">
        <f t="shared" si="8"/>
        <v>0</v>
      </c>
      <c r="I74" s="193"/>
      <c r="J74" s="195">
        <f t="shared" si="9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10"/>
        <v>0</v>
      </c>
      <c r="T74" s="200" t="str">
        <f t="shared" si="11"/>
        <v/>
      </c>
      <c r="U74" s="200">
        <f t="shared" si="12"/>
        <v>0</v>
      </c>
      <c r="V74" s="203"/>
      <c r="W74" s="199">
        <f t="shared" ref="W74:X74" si="64">C74/100</f>
        <v>0</v>
      </c>
      <c r="X74" s="199">
        <f t="shared" si="64"/>
        <v>0</v>
      </c>
      <c r="Y74" s="199">
        <f t="shared" si="15"/>
        <v>0</v>
      </c>
      <c r="Z74" s="202">
        <f t="shared" si="16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113.0</v>
      </c>
      <c r="B75" s="193"/>
      <c r="C75" s="193"/>
      <c r="D75" s="193"/>
      <c r="E75" s="193"/>
      <c r="F75" s="193">
        <f t="shared" si="6"/>
        <v>0</v>
      </c>
      <c r="G75" s="193">
        <f t="shared" si="7"/>
        <v>0</v>
      </c>
      <c r="H75" s="194">
        <f t="shared" si="8"/>
        <v>0</v>
      </c>
      <c r="I75" s="193"/>
      <c r="J75" s="195">
        <f t="shared" si="9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10"/>
        <v>0</v>
      </c>
      <c r="T75" s="200" t="str">
        <f t="shared" si="11"/>
        <v/>
      </c>
      <c r="U75" s="200">
        <f t="shared" si="12"/>
        <v>0</v>
      </c>
      <c r="V75" s="203"/>
      <c r="W75" s="199">
        <f t="shared" ref="W75:X75" si="65">C75/100</f>
        <v>0</v>
      </c>
      <c r="X75" s="199">
        <f t="shared" si="65"/>
        <v>0</v>
      </c>
      <c r="Y75" s="199">
        <f t="shared" si="15"/>
        <v>0</v>
      </c>
      <c r="Z75" s="202">
        <f t="shared" si="16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114.0</v>
      </c>
      <c r="B76" s="193"/>
      <c r="C76" s="193"/>
      <c r="D76" s="193"/>
      <c r="E76" s="193"/>
      <c r="F76" s="193">
        <f t="shared" si="6"/>
        <v>0</v>
      </c>
      <c r="G76" s="193">
        <f t="shared" si="7"/>
        <v>0</v>
      </c>
      <c r="H76" s="194">
        <f t="shared" si="8"/>
        <v>0</v>
      </c>
      <c r="I76" s="193"/>
      <c r="J76" s="195">
        <f t="shared" si="9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10"/>
        <v>0</v>
      </c>
      <c r="T76" s="200" t="str">
        <f t="shared" si="11"/>
        <v/>
      </c>
      <c r="U76" s="200">
        <f t="shared" si="12"/>
        <v>0</v>
      </c>
      <c r="V76" s="203"/>
      <c r="W76" s="199">
        <f t="shared" ref="W76:X76" si="66">C76/100</f>
        <v>0</v>
      </c>
      <c r="X76" s="199">
        <f t="shared" si="66"/>
        <v>0</v>
      </c>
      <c r="Y76" s="199">
        <f t="shared" si="15"/>
        <v>0</v>
      </c>
      <c r="Z76" s="202">
        <f t="shared" si="16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115.0</v>
      </c>
      <c r="B77" s="193"/>
      <c r="C77" s="193"/>
      <c r="D77" s="193"/>
      <c r="E77" s="193"/>
      <c r="F77" s="193">
        <f t="shared" si="6"/>
        <v>0</v>
      </c>
      <c r="G77" s="193">
        <f t="shared" si="7"/>
        <v>0</v>
      </c>
      <c r="H77" s="194">
        <f t="shared" si="8"/>
        <v>0</v>
      </c>
      <c r="I77" s="193"/>
      <c r="J77" s="195">
        <f t="shared" si="9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10"/>
        <v>0</v>
      </c>
      <c r="T77" s="200" t="str">
        <f t="shared" si="11"/>
        <v/>
      </c>
      <c r="U77" s="200">
        <f t="shared" si="12"/>
        <v>0</v>
      </c>
      <c r="V77" s="203"/>
      <c r="W77" s="199">
        <f t="shared" ref="W77:X77" si="67">C77/100</f>
        <v>0</v>
      </c>
      <c r="X77" s="199">
        <f t="shared" si="67"/>
        <v>0</v>
      </c>
      <c r="Y77" s="199">
        <f t="shared" si="15"/>
        <v>0</v>
      </c>
      <c r="Z77" s="202">
        <f t="shared" si="16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116.0</v>
      </c>
      <c r="B78" s="193"/>
      <c r="C78" s="193"/>
      <c r="D78" s="193"/>
      <c r="E78" s="193"/>
      <c r="F78" s="193">
        <f t="shared" si="6"/>
        <v>0</v>
      </c>
      <c r="G78" s="193">
        <f t="shared" si="7"/>
        <v>0</v>
      </c>
      <c r="H78" s="194">
        <f t="shared" si="8"/>
        <v>0</v>
      </c>
      <c r="I78" s="193"/>
      <c r="J78" s="195">
        <f t="shared" si="9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10"/>
        <v>0</v>
      </c>
      <c r="T78" s="200" t="str">
        <f t="shared" si="11"/>
        <v/>
      </c>
      <c r="U78" s="200">
        <f t="shared" si="12"/>
        <v>0</v>
      </c>
      <c r="V78" s="203"/>
      <c r="W78" s="199">
        <f t="shared" ref="W78:X78" si="68">C78/100</f>
        <v>0</v>
      </c>
      <c r="X78" s="199">
        <f t="shared" si="68"/>
        <v>0</v>
      </c>
      <c r="Y78" s="199">
        <f t="shared" si="15"/>
        <v>0</v>
      </c>
      <c r="Z78" s="202">
        <f t="shared" si="16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117.0</v>
      </c>
      <c r="B79" s="193"/>
      <c r="C79" s="193"/>
      <c r="D79" s="193"/>
      <c r="E79" s="193"/>
      <c r="F79" s="193">
        <f t="shared" si="6"/>
        <v>0</v>
      </c>
      <c r="G79" s="193">
        <f t="shared" si="7"/>
        <v>0</v>
      </c>
      <c r="H79" s="194">
        <f t="shared" si="8"/>
        <v>0</v>
      </c>
      <c r="I79" s="193"/>
      <c r="J79" s="195">
        <f t="shared" si="9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10"/>
        <v>0</v>
      </c>
      <c r="T79" s="200" t="str">
        <f t="shared" si="11"/>
        <v/>
      </c>
      <c r="U79" s="200">
        <f t="shared" si="12"/>
        <v>0</v>
      </c>
      <c r="V79" s="203"/>
      <c r="W79" s="199">
        <f t="shared" ref="W79:X79" si="69">C79/100</f>
        <v>0</v>
      </c>
      <c r="X79" s="199">
        <f t="shared" si="69"/>
        <v>0</v>
      </c>
      <c r="Y79" s="199">
        <f t="shared" si="15"/>
        <v>0</v>
      </c>
      <c r="Z79" s="202">
        <f t="shared" si="16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118.0</v>
      </c>
      <c r="B80" s="193"/>
      <c r="C80" s="193"/>
      <c r="D80" s="193"/>
      <c r="E80" s="193"/>
      <c r="F80" s="193">
        <f t="shared" si="6"/>
        <v>0</v>
      </c>
      <c r="G80" s="193">
        <f t="shared" si="7"/>
        <v>0</v>
      </c>
      <c r="H80" s="194">
        <f t="shared" si="8"/>
        <v>0</v>
      </c>
      <c r="I80" s="193"/>
      <c r="J80" s="195">
        <f t="shared" si="9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10"/>
        <v>0</v>
      </c>
      <c r="T80" s="200" t="str">
        <f t="shared" si="11"/>
        <v/>
      </c>
      <c r="U80" s="200">
        <f t="shared" si="12"/>
        <v>0</v>
      </c>
      <c r="V80" s="203"/>
      <c r="W80" s="199">
        <f t="shared" ref="W80:X80" si="70">C80/100</f>
        <v>0</v>
      </c>
      <c r="X80" s="199">
        <f t="shared" si="70"/>
        <v>0</v>
      </c>
      <c r="Y80" s="199">
        <f t="shared" si="15"/>
        <v>0</v>
      </c>
      <c r="Z80" s="202">
        <f t="shared" si="16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119.0</v>
      </c>
      <c r="B81" s="193"/>
      <c r="C81" s="193"/>
      <c r="D81" s="193"/>
      <c r="E81" s="193"/>
      <c r="F81" s="193">
        <f t="shared" si="6"/>
        <v>0</v>
      </c>
      <c r="G81" s="193">
        <f t="shared" si="7"/>
        <v>0</v>
      </c>
      <c r="H81" s="194">
        <f t="shared" si="8"/>
        <v>0</v>
      </c>
      <c r="I81" s="193"/>
      <c r="J81" s="195">
        <f t="shared" si="9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10"/>
        <v>0</v>
      </c>
      <c r="T81" s="200" t="str">
        <f t="shared" si="11"/>
        <v/>
      </c>
      <c r="U81" s="200">
        <f t="shared" si="12"/>
        <v>0</v>
      </c>
      <c r="V81" s="203"/>
      <c r="W81" s="199">
        <f t="shared" ref="W81:X81" si="71">C81/100</f>
        <v>0</v>
      </c>
      <c r="X81" s="199">
        <f t="shared" si="71"/>
        <v>0</v>
      </c>
      <c r="Y81" s="199">
        <f t="shared" si="15"/>
        <v>0</v>
      </c>
      <c r="Z81" s="202">
        <f t="shared" si="16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120.0</v>
      </c>
      <c r="B82" s="193"/>
      <c r="C82" s="193"/>
      <c r="D82" s="193"/>
      <c r="E82" s="193"/>
      <c r="F82" s="193">
        <f t="shared" si="6"/>
        <v>0</v>
      </c>
      <c r="G82" s="193">
        <f t="shared" si="7"/>
        <v>0</v>
      </c>
      <c r="H82" s="194">
        <f t="shared" si="8"/>
        <v>0</v>
      </c>
      <c r="I82" s="193"/>
      <c r="J82" s="195">
        <f t="shared" si="9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10"/>
        <v>0</v>
      </c>
      <c r="T82" s="200" t="str">
        <f t="shared" si="11"/>
        <v/>
      </c>
      <c r="U82" s="200">
        <f t="shared" si="12"/>
        <v>0</v>
      </c>
      <c r="V82" s="203"/>
      <c r="W82" s="199">
        <f t="shared" ref="W82:X82" si="72">C82/100</f>
        <v>0</v>
      </c>
      <c r="X82" s="199">
        <f t="shared" si="72"/>
        <v>0</v>
      </c>
      <c r="Y82" s="199">
        <f t="shared" si="15"/>
        <v>0</v>
      </c>
      <c r="Z82" s="202">
        <f t="shared" si="16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121.0</v>
      </c>
      <c r="B83" s="193"/>
      <c r="C83" s="193"/>
      <c r="D83" s="193"/>
      <c r="E83" s="193"/>
      <c r="F83" s="193">
        <f t="shared" si="6"/>
        <v>0</v>
      </c>
      <c r="G83" s="193">
        <f t="shared" si="7"/>
        <v>0</v>
      </c>
      <c r="H83" s="194">
        <f t="shared" si="8"/>
        <v>0</v>
      </c>
      <c r="I83" s="193"/>
      <c r="J83" s="195">
        <f t="shared" si="9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10"/>
        <v>0</v>
      </c>
      <c r="T83" s="200" t="str">
        <f t="shared" si="11"/>
        <v/>
      </c>
      <c r="U83" s="200">
        <f t="shared" si="12"/>
        <v>0</v>
      </c>
      <c r="V83" s="203"/>
      <c r="W83" s="199">
        <f t="shared" ref="W83:X83" si="73">C83/100</f>
        <v>0</v>
      </c>
      <c r="X83" s="199">
        <f t="shared" si="73"/>
        <v>0</v>
      </c>
      <c r="Y83" s="199">
        <f t="shared" si="15"/>
        <v>0</v>
      </c>
      <c r="Z83" s="202">
        <f t="shared" si="16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122.0</v>
      </c>
      <c r="B84" s="193"/>
      <c r="C84" s="193"/>
      <c r="D84" s="193"/>
      <c r="E84" s="193"/>
      <c r="F84" s="193">
        <f t="shared" si="6"/>
        <v>0</v>
      </c>
      <c r="G84" s="193">
        <f t="shared" si="7"/>
        <v>0</v>
      </c>
      <c r="H84" s="194">
        <f t="shared" si="8"/>
        <v>0</v>
      </c>
      <c r="I84" s="193"/>
      <c r="J84" s="195">
        <f t="shared" si="9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10"/>
        <v>0</v>
      </c>
      <c r="T84" s="200" t="str">
        <f t="shared" si="11"/>
        <v/>
      </c>
      <c r="U84" s="200">
        <f t="shared" si="12"/>
        <v>0</v>
      </c>
      <c r="V84" s="203"/>
      <c r="W84" s="199">
        <f t="shared" ref="W84:X84" si="74">C84/100</f>
        <v>0</v>
      </c>
      <c r="X84" s="199">
        <f t="shared" si="74"/>
        <v>0</v>
      </c>
      <c r="Y84" s="199">
        <f t="shared" si="15"/>
        <v>0</v>
      </c>
      <c r="Z84" s="202">
        <f t="shared" si="16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123.0</v>
      </c>
      <c r="B85" s="193"/>
      <c r="C85" s="193"/>
      <c r="D85" s="193"/>
      <c r="E85" s="193"/>
      <c r="F85" s="193">
        <f t="shared" si="6"/>
        <v>0</v>
      </c>
      <c r="G85" s="193">
        <f t="shared" si="7"/>
        <v>0</v>
      </c>
      <c r="H85" s="194">
        <f t="shared" si="8"/>
        <v>0</v>
      </c>
      <c r="I85" s="193"/>
      <c r="J85" s="195">
        <f t="shared" si="9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10"/>
        <v>0</v>
      </c>
      <c r="T85" s="200" t="str">
        <f t="shared" si="11"/>
        <v/>
      </c>
      <c r="U85" s="200">
        <f t="shared" si="12"/>
        <v>0</v>
      </c>
      <c r="V85" s="203"/>
      <c r="W85" s="199">
        <f t="shared" ref="W85:X85" si="75">C85/100</f>
        <v>0</v>
      </c>
      <c r="X85" s="199">
        <f t="shared" si="75"/>
        <v>0</v>
      </c>
      <c r="Y85" s="199">
        <f t="shared" si="15"/>
        <v>0</v>
      </c>
      <c r="Z85" s="202">
        <f t="shared" si="16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124.0</v>
      </c>
      <c r="B86" s="193"/>
      <c r="C86" s="193"/>
      <c r="D86" s="193"/>
      <c r="E86" s="193"/>
      <c r="F86" s="193">
        <f t="shared" si="6"/>
        <v>0</v>
      </c>
      <c r="G86" s="193">
        <f t="shared" si="7"/>
        <v>0</v>
      </c>
      <c r="H86" s="194">
        <f t="shared" si="8"/>
        <v>0</v>
      </c>
      <c r="I86" s="193"/>
      <c r="J86" s="195">
        <f t="shared" si="9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10"/>
        <v>0</v>
      </c>
      <c r="T86" s="200" t="str">
        <f t="shared" si="11"/>
        <v/>
      </c>
      <c r="U86" s="200">
        <f t="shared" si="12"/>
        <v>0</v>
      </c>
      <c r="V86" s="203"/>
      <c r="W86" s="199">
        <f t="shared" ref="W86:X86" si="76">C86/100</f>
        <v>0</v>
      </c>
      <c r="X86" s="199">
        <f t="shared" si="76"/>
        <v>0</v>
      </c>
      <c r="Y86" s="199">
        <f t="shared" si="15"/>
        <v>0</v>
      </c>
      <c r="Z86" s="202">
        <f t="shared" si="16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125.0</v>
      </c>
      <c r="B87" s="193"/>
      <c r="C87" s="193"/>
      <c r="D87" s="193"/>
      <c r="E87" s="193"/>
      <c r="F87" s="193">
        <f t="shared" si="6"/>
        <v>0</v>
      </c>
      <c r="G87" s="193">
        <f t="shared" si="7"/>
        <v>0</v>
      </c>
      <c r="H87" s="194">
        <f t="shared" si="8"/>
        <v>0</v>
      </c>
      <c r="I87" s="193"/>
      <c r="J87" s="195">
        <f t="shared" si="9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10"/>
        <v>0</v>
      </c>
      <c r="T87" s="200" t="str">
        <f t="shared" si="11"/>
        <v/>
      </c>
      <c r="U87" s="200">
        <f t="shared" si="12"/>
        <v>0</v>
      </c>
      <c r="V87" s="203"/>
      <c r="W87" s="199">
        <f t="shared" ref="W87:X87" si="77">C87/100</f>
        <v>0</v>
      </c>
      <c r="X87" s="199">
        <f t="shared" si="77"/>
        <v>0</v>
      </c>
      <c r="Y87" s="199">
        <f t="shared" si="15"/>
        <v>0</v>
      </c>
      <c r="Z87" s="202">
        <f t="shared" si="16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126.0</v>
      </c>
      <c r="B88" s="193"/>
      <c r="C88" s="193"/>
      <c r="D88" s="193"/>
      <c r="E88" s="193"/>
      <c r="F88" s="193">
        <f t="shared" si="6"/>
        <v>0</v>
      </c>
      <c r="G88" s="193">
        <f t="shared" si="7"/>
        <v>0</v>
      </c>
      <c r="H88" s="194">
        <f t="shared" si="8"/>
        <v>0</v>
      </c>
      <c r="I88" s="193"/>
      <c r="J88" s="195">
        <f t="shared" si="9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10"/>
        <v>0</v>
      </c>
      <c r="T88" s="200" t="str">
        <f t="shared" si="11"/>
        <v/>
      </c>
      <c r="U88" s="200">
        <f t="shared" si="12"/>
        <v>0</v>
      </c>
      <c r="V88" s="203"/>
      <c r="W88" s="199">
        <f t="shared" ref="W88:X88" si="78">C88/100</f>
        <v>0</v>
      </c>
      <c r="X88" s="199">
        <f t="shared" si="78"/>
        <v>0</v>
      </c>
      <c r="Y88" s="199">
        <f t="shared" si="15"/>
        <v>0</v>
      </c>
      <c r="Z88" s="202">
        <f t="shared" si="16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127.0</v>
      </c>
      <c r="B89" s="193"/>
      <c r="C89" s="193"/>
      <c r="D89" s="193"/>
      <c r="E89" s="193"/>
      <c r="F89" s="193">
        <f t="shared" si="6"/>
        <v>0</v>
      </c>
      <c r="G89" s="193">
        <f t="shared" si="7"/>
        <v>0</v>
      </c>
      <c r="H89" s="194">
        <f t="shared" si="8"/>
        <v>0</v>
      </c>
      <c r="I89" s="193"/>
      <c r="J89" s="195">
        <f t="shared" si="9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10"/>
        <v>0</v>
      </c>
      <c r="T89" s="200" t="str">
        <f t="shared" si="11"/>
        <v/>
      </c>
      <c r="U89" s="200">
        <f t="shared" si="12"/>
        <v>0</v>
      </c>
      <c r="V89" s="203"/>
      <c r="W89" s="199">
        <f t="shared" ref="W89:X89" si="79">C89/100</f>
        <v>0</v>
      </c>
      <c r="X89" s="199">
        <f t="shared" si="79"/>
        <v>0</v>
      </c>
      <c r="Y89" s="199">
        <f t="shared" si="15"/>
        <v>0</v>
      </c>
      <c r="Z89" s="202">
        <f t="shared" si="16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128.0</v>
      </c>
      <c r="B90" s="193"/>
      <c r="C90" s="193"/>
      <c r="D90" s="193"/>
      <c r="E90" s="193"/>
      <c r="F90" s="193">
        <f t="shared" si="6"/>
        <v>0</v>
      </c>
      <c r="G90" s="193">
        <f t="shared" si="7"/>
        <v>0</v>
      </c>
      <c r="H90" s="194">
        <f t="shared" si="8"/>
        <v>0</v>
      </c>
      <c r="I90" s="193"/>
      <c r="J90" s="195">
        <f t="shared" si="9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10"/>
        <v>0</v>
      </c>
      <c r="T90" s="200" t="str">
        <f t="shared" si="11"/>
        <v/>
      </c>
      <c r="U90" s="200">
        <f t="shared" si="12"/>
        <v>0</v>
      </c>
      <c r="V90" s="203"/>
      <c r="W90" s="199">
        <f t="shared" ref="W90:X90" si="80">C90/100</f>
        <v>0</v>
      </c>
      <c r="X90" s="199">
        <f t="shared" si="80"/>
        <v>0</v>
      </c>
      <c r="Y90" s="199">
        <f t="shared" si="15"/>
        <v>0</v>
      </c>
      <c r="Z90" s="202">
        <f t="shared" si="16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129.0</v>
      </c>
      <c r="B91" s="193"/>
      <c r="C91" s="193"/>
      <c r="D91" s="193"/>
      <c r="E91" s="193"/>
      <c r="F91" s="193">
        <f t="shared" si="6"/>
        <v>0</v>
      </c>
      <c r="G91" s="193">
        <f t="shared" si="7"/>
        <v>0</v>
      </c>
      <c r="H91" s="194">
        <f t="shared" si="8"/>
        <v>0</v>
      </c>
      <c r="I91" s="193"/>
      <c r="J91" s="195">
        <f t="shared" si="9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10"/>
        <v>0</v>
      </c>
      <c r="T91" s="200" t="str">
        <f t="shared" si="11"/>
        <v/>
      </c>
      <c r="U91" s="200">
        <f t="shared" si="12"/>
        <v>0</v>
      </c>
      <c r="V91" s="203"/>
      <c r="W91" s="199">
        <f t="shared" ref="W91:X91" si="81">C91/100</f>
        <v>0</v>
      </c>
      <c r="X91" s="199">
        <f t="shared" si="81"/>
        <v>0</v>
      </c>
      <c r="Y91" s="199">
        <f t="shared" si="15"/>
        <v>0</v>
      </c>
      <c r="Z91" s="202">
        <f t="shared" si="16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130.0</v>
      </c>
      <c r="B92" s="193"/>
      <c r="C92" s="193"/>
      <c r="D92" s="193"/>
      <c r="E92" s="193"/>
      <c r="F92" s="193">
        <f t="shared" si="6"/>
        <v>0</v>
      </c>
      <c r="G92" s="193">
        <f t="shared" si="7"/>
        <v>0</v>
      </c>
      <c r="H92" s="194">
        <f t="shared" si="8"/>
        <v>0</v>
      </c>
      <c r="I92" s="193"/>
      <c r="J92" s="195">
        <f t="shared" si="9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10"/>
        <v>0</v>
      </c>
      <c r="T92" s="200" t="str">
        <f t="shared" si="11"/>
        <v/>
      </c>
      <c r="U92" s="200">
        <f t="shared" si="12"/>
        <v>0</v>
      </c>
      <c r="V92" s="203"/>
      <c r="W92" s="199">
        <f t="shared" ref="W92:X92" si="82">C92/100</f>
        <v>0</v>
      </c>
      <c r="X92" s="199">
        <f t="shared" si="82"/>
        <v>0</v>
      </c>
      <c r="Y92" s="199">
        <f t="shared" si="15"/>
        <v>0</v>
      </c>
      <c r="Z92" s="202">
        <f t="shared" si="16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131.0</v>
      </c>
      <c r="B93" s="193"/>
      <c r="C93" s="193"/>
      <c r="D93" s="193"/>
      <c r="E93" s="193"/>
      <c r="F93" s="193">
        <f t="shared" si="6"/>
        <v>0</v>
      </c>
      <c r="G93" s="193">
        <f t="shared" si="7"/>
        <v>0</v>
      </c>
      <c r="H93" s="194">
        <f t="shared" si="8"/>
        <v>0</v>
      </c>
      <c r="I93" s="193"/>
      <c r="J93" s="195">
        <f t="shared" si="9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10"/>
        <v>0</v>
      </c>
      <c r="T93" s="200" t="str">
        <f t="shared" si="11"/>
        <v/>
      </c>
      <c r="U93" s="200">
        <f t="shared" si="12"/>
        <v>0</v>
      </c>
      <c r="V93" s="203"/>
      <c r="W93" s="199">
        <f t="shared" ref="W93:X93" si="83">C93/100</f>
        <v>0</v>
      </c>
      <c r="X93" s="199">
        <f t="shared" si="83"/>
        <v>0</v>
      </c>
      <c r="Y93" s="199">
        <f t="shared" si="15"/>
        <v>0</v>
      </c>
      <c r="Z93" s="202">
        <f t="shared" si="16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132.0</v>
      </c>
      <c r="B94" s="193"/>
      <c r="C94" s="193"/>
      <c r="D94" s="193"/>
      <c r="E94" s="193"/>
      <c r="F94" s="193">
        <f t="shared" si="6"/>
        <v>0</v>
      </c>
      <c r="G94" s="193">
        <f t="shared" si="7"/>
        <v>0</v>
      </c>
      <c r="H94" s="194">
        <f t="shared" si="8"/>
        <v>0</v>
      </c>
      <c r="I94" s="193"/>
      <c r="J94" s="195">
        <f t="shared" si="9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10"/>
        <v>0</v>
      </c>
      <c r="T94" s="200" t="str">
        <f t="shared" si="11"/>
        <v/>
      </c>
      <c r="U94" s="200">
        <f t="shared" si="12"/>
        <v>0</v>
      </c>
      <c r="V94" s="203"/>
      <c r="W94" s="199">
        <f t="shared" ref="W94:X94" si="84">C94/100</f>
        <v>0</v>
      </c>
      <c r="X94" s="199">
        <f t="shared" si="84"/>
        <v>0</v>
      </c>
      <c r="Y94" s="199">
        <f t="shared" si="15"/>
        <v>0</v>
      </c>
      <c r="Z94" s="202">
        <f t="shared" si="16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133.0</v>
      </c>
      <c r="B95" s="193"/>
      <c r="C95" s="193"/>
      <c r="D95" s="193"/>
      <c r="E95" s="193"/>
      <c r="F95" s="193">
        <f t="shared" si="6"/>
        <v>0</v>
      </c>
      <c r="G95" s="193">
        <f t="shared" si="7"/>
        <v>0</v>
      </c>
      <c r="H95" s="194">
        <f t="shared" si="8"/>
        <v>0</v>
      </c>
      <c r="I95" s="193"/>
      <c r="J95" s="195">
        <f t="shared" si="9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10"/>
        <v>0</v>
      </c>
      <c r="T95" s="200" t="str">
        <f t="shared" si="11"/>
        <v/>
      </c>
      <c r="U95" s="200">
        <f t="shared" si="12"/>
        <v>0</v>
      </c>
      <c r="V95" s="203"/>
      <c r="W95" s="199">
        <f t="shared" ref="W95:X95" si="85">C95/100</f>
        <v>0</v>
      </c>
      <c r="X95" s="199">
        <f t="shared" si="85"/>
        <v>0</v>
      </c>
      <c r="Y95" s="199">
        <f t="shared" si="15"/>
        <v>0</v>
      </c>
      <c r="Z95" s="202">
        <f t="shared" si="16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134.0</v>
      </c>
      <c r="B96" s="193"/>
      <c r="C96" s="193"/>
      <c r="D96" s="193"/>
      <c r="E96" s="193"/>
      <c r="F96" s="193">
        <f t="shared" si="6"/>
        <v>0</v>
      </c>
      <c r="G96" s="193">
        <f t="shared" si="7"/>
        <v>0</v>
      </c>
      <c r="H96" s="194">
        <f t="shared" si="8"/>
        <v>0</v>
      </c>
      <c r="I96" s="193"/>
      <c r="J96" s="195">
        <f t="shared" si="9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10"/>
        <v>0</v>
      </c>
      <c r="T96" s="200" t="str">
        <f t="shared" si="11"/>
        <v/>
      </c>
      <c r="U96" s="200">
        <f t="shared" si="12"/>
        <v>0</v>
      </c>
      <c r="V96" s="203"/>
      <c r="W96" s="199">
        <f t="shared" ref="W96:X96" si="86">C96/100</f>
        <v>0</v>
      </c>
      <c r="X96" s="199">
        <f t="shared" si="86"/>
        <v>0</v>
      </c>
      <c r="Y96" s="199">
        <f t="shared" si="15"/>
        <v>0</v>
      </c>
      <c r="Z96" s="202">
        <f t="shared" si="16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135.0</v>
      </c>
      <c r="B97" s="193"/>
      <c r="C97" s="193"/>
      <c r="D97" s="193"/>
      <c r="E97" s="193"/>
      <c r="F97" s="193">
        <f t="shared" si="6"/>
        <v>0</v>
      </c>
      <c r="G97" s="193">
        <f t="shared" si="7"/>
        <v>0</v>
      </c>
      <c r="H97" s="194">
        <f t="shared" si="8"/>
        <v>0</v>
      </c>
      <c r="I97" s="193"/>
      <c r="J97" s="195">
        <f t="shared" si="9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10"/>
        <v>0</v>
      </c>
      <c r="T97" s="200" t="str">
        <f t="shared" si="11"/>
        <v/>
      </c>
      <c r="U97" s="200">
        <f t="shared" si="12"/>
        <v>0</v>
      </c>
      <c r="V97" s="203"/>
      <c r="W97" s="199">
        <f t="shared" ref="W97:X97" si="87">C97/100</f>
        <v>0</v>
      </c>
      <c r="X97" s="199">
        <f t="shared" si="87"/>
        <v>0</v>
      </c>
      <c r="Y97" s="199">
        <f t="shared" si="15"/>
        <v>0</v>
      </c>
      <c r="Z97" s="202">
        <f t="shared" si="16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136.0</v>
      </c>
      <c r="B98" s="193"/>
      <c r="C98" s="193"/>
      <c r="D98" s="193"/>
      <c r="E98" s="193"/>
      <c r="F98" s="193">
        <f t="shared" si="6"/>
        <v>0</v>
      </c>
      <c r="G98" s="193">
        <f t="shared" si="7"/>
        <v>0</v>
      </c>
      <c r="H98" s="194">
        <f t="shared" si="8"/>
        <v>0</v>
      </c>
      <c r="I98" s="193"/>
      <c r="J98" s="195">
        <f t="shared" si="9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10"/>
        <v>0</v>
      </c>
      <c r="T98" s="200" t="str">
        <f t="shared" si="11"/>
        <v/>
      </c>
      <c r="U98" s="200">
        <f t="shared" si="12"/>
        <v>0</v>
      </c>
      <c r="V98" s="203"/>
      <c r="W98" s="199">
        <f t="shared" ref="W98:X98" si="88">C98/100</f>
        <v>0</v>
      </c>
      <c r="X98" s="199">
        <f t="shared" si="88"/>
        <v>0</v>
      </c>
      <c r="Y98" s="199">
        <f t="shared" si="15"/>
        <v>0</v>
      </c>
      <c r="Z98" s="202">
        <f t="shared" si="16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137.0</v>
      </c>
      <c r="B99" s="193"/>
      <c r="C99" s="193"/>
      <c r="D99" s="193"/>
      <c r="E99" s="193"/>
      <c r="F99" s="193">
        <f t="shared" si="6"/>
        <v>0</v>
      </c>
      <c r="G99" s="193">
        <f t="shared" si="7"/>
        <v>0</v>
      </c>
      <c r="H99" s="194">
        <f t="shared" si="8"/>
        <v>0</v>
      </c>
      <c r="I99" s="193"/>
      <c r="J99" s="195">
        <f t="shared" si="9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10"/>
        <v>0</v>
      </c>
      <c r="T99" s="200" t="str">
        <f t="shared" si="11"/>
        <v/>
      </c>
      <c r="U99" s="200">
        <f t="shared" si="12"/>
        <v>0</v>
      </c>
      <c r="V99" s="203"/>
      <c r="W99" s="199">
        <f t="shared" ref="W99:X99" si="89">C99/100</f>
        <v>0</v>
      </c>
      <c r="X99" s="199">
        <f t="shared" si="89"/>
        <v>0</v>
      </c>
      <c r="Y99" s="199">
        <f t="shared" si="15"/>
        <v>0</v>
      </c>
      <c r="Z99" s="202">
        <f t="shared" si="16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138.0</v>
      </c>
      <c r="B100" s="193"/>
      <c r="C100" s="193"/>
      <c r="D100" s="193"/>
      <c r="E100" s="193"/>
      <c r="F100" s="193">
        <f t="shared" si="6"/>
        <v>0</v>
      </c>
      <c r="G100" s="193">
        <f t="shared" si="7"/>
        <v>0</v>
      </c>
      <c r="H100" s="194">
        <f t="shared" si="8"/>
        <v>0</v>
      </c>
      <c r="I100" s="193"/>
      <c r="J100" s="195">
        <f t="shared" si="9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10"/>
        <v>0</v>
      </c>
      <c r="T100" s="200" t="str">
        <f t="shared" si="11"/>
        <v/>
      </c>
      <c r="U100" s="200">
        <f t="shared" si="12"/>
        <v>0</v>
      </c>
      <c r="V100" s="203"/>
      <c r="W100" s="199">
        <f t="shared" ref="W100:X100" si="90">C100/100</f>
        <v>0</v>
      </c>
      <c r="X100" s="199">
        <f t="shared" si="90"/>
        <v>0</v>
      </c>
      <c r="Y100" s="199">
        <f t="shared" si="15"/>
        <v>0</v>
      </c>
      <c r="Z100" s="202">
        <f t="shared" si="16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139.0</v>
      </c>
      <c r="B101" s="193"/>
      <c r="C101" s="193"/>
      <c r="D101" s="193"/>
      <c r="E101" s="193"/>
      <c r="F101" s="193">
        <f t="shared" si="6"/>
        <v>0</v>
      </c>
      <c r="G101" s="193">
        <f t="shared" si="7"/>
        <v>0</v>
      </c>
      <c r="H101" s="194">
        <f t="shared" si="8"/>
        <v>0</v>
      </c>
      <c r="I101" s="193"/>
      <c r="J101" s="195">
        <f t="shared" si="9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10"/>
        <v>0</v>
      </c>
      <c r="T101" s="200" t="str">
        <f t="shared" si="11"/>
        <v/>
      </c>
      <c r="U101" s="200">
        <f t="shared" si="12"/>
        <v>0</v>
      </c>
      <c r="V101" s="203"/>
      <c r="W101" s="199">
        <f t="shared" ref="W101:X101" si="91">C101/100</f>
        <v>0</v>
      </c>
      <c r="X101" s="199">
        <f t="shared" si="91"/>
        <v>0</v>
      </c>
      <c r="Y101" s="199">
        <f t="shared" si="15"/>
        <v>0</v>
      </c>
      <c r="Z101" s="202">
        <f t="shared" si="16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140.0</v>
      </c>
      <c r="B102" s="193"/>
      <c r="C102" s="193"/>
      <c r="D102" s="193"/>
      <c r="E102" s="193"/>
      <c r="F102" s="193">
        <f t="shared" si="6"/>
        <v>0</v>
      </c>
      <c r="G102" s="193">
        <f t="shared" si="7"/>
        <v>0</v>
      </c>
      <c r="H102" s="194">
        <f t="shared" si="8"/>
        <v>0</v>
      </c>
      <c r="I102" s="193"/>
      <c r="J102" s="195">
        <f t="shared" si="9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10"/>
        <v>0</v>
      </c>
      <c r="T102" s="200" t="str">
        <f t="shared" si="11"/>
        <v/>
      </c>
      <c r="U102" s="200">
        <f t="shared" si="12"/>
        <v>0</v>
      </c>
      <c r="V102" s="203"/>
      <c r="W102" s="199">
        <f t="shared" ref="W102:X102" si="92">C102/100</f>
        <v>0</v>
      </c>
      <c r="X102" s="199">
        <f t="shared" si="92"/>
        <v>0</v>
      </c>
      <c r="Y102" s="199">
        <f t="shared" si="15"/>
        <v>0</v>
      </c>
      <c r="Z102" s="202">
        <f t="shared" si="16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141.0</v>
      </c>
      <c r="B103" s="193"/>
      <c r="C103" s="193"/>
      <c r="D103" s="193"/>
      <c r="E103" s="193"/>
      <c r="F103" s="193">
        <f t="shared" si="6"/>
        <v>0</v>
      </c>
      <c r="G103" s="193">
        <f t="shared" si="7"/>
        <v>0</v>
      </c>
      <c r="H103" s="194">
        <f t="shared" si="8"/>
        <v>0</v>
      </c>
      <c r="I103" s="193"/>
      <c r="J103" s="195">
        <f t="shared" si="9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10"/>
        <v>0</v>
      </c>
      <c r="T103" s="200" t="str">
        <f t="shared" si="11"/>
        <v/>
      </c>
      <c r="U103" s="200">
        <f t="shared" si="12"/>
        <v>0</v>
      </c>
      <c r="V103" s="203"/>
      <c r="W103" s="199">
        <f t="shared" ref="W103:X103" si="93">C103/100</f>
        <v>0</v>
      </c>
      <c r="X103" s="199">
        <f t="shared" si="93"/>
        <v>0</v>
      </c>
      <c r="Y103" s="199">
        <f t="shared" si="15"/>
        <v>0</v>
      </c>
      <c r="Z103" s="202">
        <f t="shared" si="16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142.0</v>
      </c>
      <c r="B104" s="193"/>
      <c r="C104" s="193"/>
      <c r="D104" s="193"/>
      <c r="E104" s="193"/>
      <c r="F104" s="193">
        <f t="shared" si="6"/>
        <v>0</v>
      </c>
      <c r="G104" s="193">
        <f t="shared" si="7"/>
        <v>0</v>
      </c>
      <c r="H104" s="194">
        <f t="shared" si="8"/>
        <v>0</v>
      </c>
      <c r="I104" s="193"/>
      <c r="J104" s="195">
        <f t="shared" si="9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10"/>
        <v>0</v>
      </c>
      <c r="T104" s="200" t="str">
        <f t="shared" si="11"/>
        <v/>
      </c>
      <c r="U104" s="200">
        <f t="shared" si="12"/>
        <v>0</v>
      </c>
      <c r="V104" s="203"/>
      <c r="W104" s="199">
        <f t="shared" ref="W104:X104" si="94">C104/100</f>
        <v>0</v>
      </c>
      <c r="X104" s="199">
        <f t="shared" si="94"/>
        <v>0</v>
      </c>
      <c r="Y104" s="199">
        <f t="shared" si="15"/>
        <v>0</v>
      </c>
      <c r="Z104" s="202">
        <f t="shared" si="16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143.0</v>
      </c>
      <c r="B105" s="193"/>
      <c r="C105" s="193"/>
      <c r="D105" s="193"/>
      <c r="E105" s="193"/>
      <c r="F105" s="193">
        <f t="shared" si="6"/>
        <v>0</v>
      </c>
      <c r="G105" s="193">
        <f t="shared" si="7"/>
        <v>0</v>
      </c>
      <c r="H105" s="194">
        <f t="shared" si="8"/>
        <v>0</v>
      </c>
      <c r="I105" s="193"/>
      <c r="J105" s="195">
        <f t="shared" si="9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10"/>
        <v>0</v>
      </c>
      <c r="T105" s="200" t="str">
        <f t="shared" si="11"/>
        <v/>
      </c>
      <c r="U105" s="200">
        <f t="shared" si="12"/>
        <v>0</v>
      </c>
      <c r="V105" s="203"/>
      <c r="W105" s="199">
        <f t="shared" ref="W105:X105" si="95">C105/100</f>
        <v>0</v>
      </c>
      <c r="X105" s="199">
        <f t="shared" si="95"/>
        <v>0</v>
      </c>
      <c r="Y105" s="199">
        <f t="shared" si="15"/>
        <v>0</v>
      </c>
      <c r="Z105" s="202">
        <f t="shared" si="16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144.0</v>
      </c>
      <c r="B106" s="193"/>
      <c r="C106" s="193"/>
      <c r="D106" s="193"/>
      <c r="E106" s="193"/>
      <c r="F106" s="193">
        <f t="shared" si="6"/>
        <v>0</v>
      </c>
      <c r="G106" s="193">
        <f t="shared" si="7"/>
        <v>0</v>
      </c>
      <c r="H106" s="194">
        <f t="shared" si="8"/>
        <v>0</v>
      </c>
      <c r="I106" s="193"/>
      <c r="J106" s="195">
        <f t="shared" si="9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10"/>
        <v>0</v>
      </c>
      <c r="T106" s="200" t="str">
        <f t="shared" si="11"/>
        <v/>
      </c>
      <c r="U106" s="200">
        <f t="shared" si="12"/>
        <v>0</v>
      </c>
      <c r="V106" s="203"/>
      <c r="W106" s="199">
        <f t="shared" ref="W106:X106" si="96">C106/100</f>
        <v>0</v>
      </c>
      <c r="X106" s="199">
        <f t="shared" si="96"/>
        <v>0</v>
      </c>
      <c r="Y106" s="199">
        <f t="shared" si="15"/>
        <v>0</v>
      </c>
      <c r="Z106" s="202">
        <f t="shared" si="16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145.0</v>
      </c>
      <c r="B107" s="193"/>
      <c r="C107" s="193"/>
      <c r="D107" s="193"/>
      <c r="E107" s="193"/>
      <c r="F107" s="193">
        <f t="shared" si="6"/>
        <v>0</v>
      </c>
      <c r="G107" s="193">
        <f t="shared" si="7"/>
        <v>0</v>
      </c>
      <c r="H107" s="194">
        <f t="shared" si="8"/>
        <v>0</v>
      </c>
      <c r="I107" s="193"/>
      <c r="J107" s="195">
        <f t="shared" si="9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10"/>
        <v>0</v>
      </c>
      <c r="T107" s="200" t="str">
        <f t="shared" si="11"/>
        <v/>
      </c>
      <c r="U107" s="200">
        <f t="shared" si="12"/>
        <v>0</v>
      </c>
      <c r="V107" s="203"/>
      <c r="W107" s="199">
        <f t="shared" ref="W107:X107" si="97">C107/100</f>
        <v>0</v>
      </c>
      <c r="X107" s="199">
        <f t="shared" si="97"/>
        <v>0</v>
      </c>
      <c r="Y107" s="199">
        <f t="shared" si="15"/>
        <v>0</v>
      </c>
      <c r="Z107" s="202">
        <f t="shared" si="16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146.0</v>
      </c>
      <c r="B108" s="193"/>
      <c r="C108" s="193"/>
      <c r="D108" s="193"/>
      <c r="E108" s="193"/>
      <c r="F108" s="193">
        <f t="shared" si="6"/>
        <v>0</v>
      </c>
      <c r="G108" s="193">
        <f t="shared" si="7"/>
        <v>0</v>
      </c>
      <c r="H108" s="194">
        <f t="shared" si="8"/>
        <v>0</v>
      </c>
      <c r="I108" s="193"/>
      <c r="J108" s="195">
        <f t="shared" si="9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10"/>
        <v>0</v>
      </c>
      <c r="T108" s="200" t="str">
        <f t="shared" si="11"/>
        <v/>
      </c>
      <c r="U108" s="200">
        <f t="shared" si="12"/>
        <v>0</v>
      </c>
      <c r="V108" s="203"/>
      <c r="W108" s="199">
        <f t="shared" ref="W108:X108" si="98">C108/100</f>
        <v>0</v>
      </c>
      <c r="X108" s="199">
        <f t="shared" si="98"/>
        <v>0</v>
      </c>
      <c r="Y108" s="199">
        <f t="shared" si="15"/>
        <v>0</v>
      </c>
      <c r="Z108" s="202">
        <f t="shared" si="16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147.0</v>
      </c>
      <c r="B109" s="193"/>
      <c r="C109" s="193"/>
      <c r="D109" s="193"/>
      <c r="E109" s="193"/>
      <c r="F109" s="193">
        <f t="shared" si="6"/>
        <v>0</v>
      </c>
      <c r="G109" s="193">
        <f t="shared" si="7"/>
        <v>0</v>
      </c>
      <c r="H109" s="194">
        <f t="shared" si="8"/>
        <v>0</v>
      </c>
      <c r="I109" s="193"/>
      <c r="J109" s="195">
        <f t="shared" si="9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10"/>
        <v>0</v>
      </c>
      <c r="T109" s="200" t="str">
        <f t="shared" si="11"/>
        <v/>
      </c>
      <c r="U109" s="200">
        <f t="shared" si="12"/>
        <v>0</v>
      </c>
      <c r="V109" s="203"/>
      <c r="W109" s="199">
        <f t="shared" ref="W109:X109" si="99">C109/100</f>
        <v>0</v>
      </c>
      <c r="X109" s="199">
        <f t="shared" si="99"/>
        <v>0</v>
      </c>
      <c r="Y109" s="199">
        <f t="shared" si="15"/>
        <v>0</v>
      </c>
      <c r="Z109" s="202">
        <f t="shared" si="16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148.0</v>
      </c>
      <c r="B110" s="193"/>
      <c r="C110" s="193"/>
      <c r="D110" s="193"/>
      <c r="E110" s="193"/>
      <c r="F110" s="193">
        <f t="shared" si="6"/>
        <v>0</v>
      </c>
      <c r="G110" s="193">
        <f t="shared" si="7"/>
        <v>0</v>
      </c>
      <c r="H110" s="194">
        <f t="shared" si="8"/>
        <v>0</v>
      </c>
      <c r="I110" s="193"/>
      <c r="J110" s="195">
        <f t="shared" si="9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10"/>
        <v>0</v>
      </c>
      <c r="T110" s="200" t="str">
        <f t="shared" si="11"/>
        <v/>
      </c>
      <c r="U110" s="200">
        <f t="shared" si="12"/>
        <v>0</v>
      </c>
      <c r="V110" s="203"/>
      <c r="W110" s="199">
        <f t="shared" ref="W110:X110" si="100">C110/100</f>
        <v>0</v>
      </c>
      <c r="X110" s="199">
        <f t="shared" si="100"/>
        <v>0</v>
      </c>
      <c r="Y110" s="199">
        <f t="shared" si="15"/>
        <v>0</v>
      </c>
      <c r="Z110" s="202">
        <f t="shared" si="16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149.0</v>
      </c>
      <c r="B111" s="193"/>
      <c r="C111" s="193"/>
      <c r="D111" s="193"/>
      <c r="E111" s="193"/>
      <c r="F111" s="193">
        <f t="shared" si="6"/>
        <v>0</v>
      </c>
      <c r="G111" s="193">
        <f t="shared" si="7"/>
        <v>0</v>
      </c>
      <c r="H111" s="194">
        <f t="shared" si="8"/>
        <v>0</v>
      </c>
      <c r="I111" s="193"/>
      <c r="J111" s="195">
        <f t="shared" si="9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10"/>
        <v>0</v>
      </c>
      <c r="T111" s="200" t="str">
        <f t="shared" si="11"/>
        <v/>
      </c>
      <c r="U111" s="200">
        <f t="shared" si="12"/>
        <v>0</v>
      </c>
      <c r="V111" s="203"/>
      <c r="W111" s="199">
        <f t="shared" ref="W111:X111" si="101">C111/100</f>
        <v>0</v>
      </c>
      <c r="X111" s="199">
        <f t="shared" si="101"/>
        <v>0</v>
      </c>
      <c r="Y111" s="199">
        <f t="shared" si="15"/>
        <v>0</v>
      </c>
      <c r="Z111" s="202">
        <f t="shared" si="16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150.0</v>
      </c>
      <c r="B112" s="193"/>
      <c r="C112" s="193"/>
      <c r="D112" s="193"/>
      <c r="E112" s="193"/>
      <c r="F112" s="193">
        <f t="shared" si="6"/>
        <v>0</v>
      </c>
      <c r="G112" s="193">
        <f t="shared" si="7"/>
        <v>0</v>
      </c>
      <c r="H112" s="194">
        <f t="shared" si="8"/>
        <v>0</v>
      </c>
      <c r="I112" s="193"/>
      <c r="J112" s="195">
        <f t="shared" si="9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10"/>
        <v>0</v>
      </c>
      <c r="T112" s="200" t="str">
        <f t="shared" si="11"/>
        <v/>
      </c>
      <c r="U112" s="200">
        <f t="shared" si="12"/>
        <v>0</v>
      </c>
      <c r="V112" s="203"/>
      <c r="W112" s="199">
        <f t="shared" ref="W112:X112" si="102">C112/100</f>
        <v>0</v>
      </c>
      <c r="X112" s="199">
        <f t="shared" si="102"/>
        <v>0</v>
      </c>
      <c r="Y112" s="199">
        <f t="shared" si="15"/>
        <v>0</v>
      </c>
      <c r="Z112" s="202">
        <f t="shared" si="16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151.0</v>
      </c>
      <c r="B113" s="193"/>
      <c r="C113" s="193"/>
      <c r="D113" s="193"/>
      <c r="E113" s="193"/>
      <c r="F113" s="193">
        <f t="shared" si="6"/>
        <v>0</v>
      </c>
      <c r="G113" s="193">
        <f t="shared" si="7"/>
        <v>0</v>
      </c>
      <c r="H113" s="194">
        <f t="shared" si="8"/>
        <v>0</v>
      </c>
      <c r="I113" s="193"/>
      <c r="J113" s="195">
        <f t="shared" si="9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10"/>
        <v>0</v>
      </c>
      <c r="T113" s="200" t="str">
        <f t="shared" si="11"/>
        <v/>
      </c>
      <c r="U113" s="200">
        <f t="shared" si="12"/>
        <v>0</v>
      </c>
      <c r="V113" s="203"/>
      <c r="W113" s="199">
        <f t="shared" ref="W113:X113" si="103">C113/100</f>
        <v>0</v>
      </c>
      <c r="X113" s="199">
        <f t="shared" si="103"/>
        <v>0</v>
      </c>
      <c r="Y113" s="199">
        <f t="shared" si="15"/>
        <v>0</v>
      </c>
      <c r="Z113" s="202">
        <f t="shared" si="16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152.0</v>
      </c>
      <c r="B114" s="193"/>
      <c r="C114" s="193"/>
      <c r="D114" s="193"/>
      <c r="E114" s="193"/>
      <c r="F114" s="193">
        <f t="shared" si="6"/>
        <v>0</v>
      </c>
      <c r="G114" s="193">
        <f t="shared" si="7"/>
        <v>0</v>
      </c>
      <c r="H114" s="194">
        <f t="shared" si="8"/>
        <v>0</v>
      </c>
      <c r="I114" s="193"/>
      <c r="J114" s="195">
        <f t="shared" si="9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10"/>
        <v>0</v>
      </c>
      <c r="T114" s="200" t="str">
        <f t="shared" si="11"/>
        <v/>
      </c>
      <c r="U114" s="200">
        <f t="shared" si="12"/>
        <v>0</v>
      </c>
      <c r="V114" s="203"/>
      <c r="W114" s="199">
        <f t="shared" ref="W114:X114" si="104">C114/100</f>
        <v>0</v>
      </c>
      <c r="X114" s="199">
        <f t="shared" si="104"/>
        <v>0</v>
      </c>
      <c r="Y114" s="199">
        <f t="shared" si="15"/>
        <v>0</v>
      </c>
      <c r="Z114" s="202">
        <f t="shared" si="16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153.0</v>
      </c>
      <c r="B115" s="193"/>
      <c r="C115" s="193"/>
      <c r="D115" s="193"/>
      <c r="E115" s="193"/>
      <c r="F115" s="193">
        <f t="shared" si="6"/>
        <v>0</v>
      </c>
      <c r="G115" s="193">
        <f t="shared" si="7"/>
        <v>0</v>
      </c>
      <c r="H115" s="194">
        <f t="shared" si="8"/>
        <v>0</v>
      </c>
      <c r="I115" s="193"/>
      <c r="J115" s="195">
        <f t="shared" si="9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10"/>
        <v>0</v>
      </c>
      <c r="T115" s="200" t="str">
        <f t="shared" si="11"/>
        <v/>
      </c>
      <c r="U115" s="200">
        <f t="shared" si="12"/>
        <v>0</v>
      </c>
      <c r="V115" s="203"/>
      <c r="W115" s="199">
        <f t="shared" ref="W115:X115" si="105">C115/100</f>
        <v>0</v>
      </c>
      <c r="X115" s="199">
        <f t="shared" si="105"/>
        <v>0</v>
      </c>
      <c r="Y115" s="199">
        <f t="shared" si="15"/>
        <v>0</v>
      </c>
      <c r="Z115" s="202">
        <f t="shared" si="16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154.0</v>
      </c>
      <c r="B116" s="193"/>
      <c r="C116" s="193"/>
      <c r="D116" s="193"/>
      <c r="E116" s="193"/>
      <c r="F116" s="193">
        <f t="shared" si="6"/>
        <v>0</v>
      </c>
      <c r="G116" s="193">
        <f t="shared" si="7"/>
        <v>0</v>
      </c>
      <c r="H116" s="194">
        <f t="shared" si="8"/>
        <v>0</v>
      </c>
      <c r="I116" s="193"/>
      <c r="J116" s="195">
        <f t="shared" si="9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10"/>
        <v>0</v>
      </c>
      <c r="T116" s="200" t="str">
        <f t="shared" si="11"/>
        <v/>
      </c>
      <c r="U116" s="200">
        <f t="shared" si="12"/>
        <v>0</v>
      </c>
      <c r="V116" s="203"/>
      <c r="W116" s="199">
        <f t="shared" ref="W116:X116" si="106">C116/100</f>
        <v>0</v>
      </c>
      <c r="X116" s="199">
        <f t="shared" si="106"/>
        <v>0</v>
      </c>
      <c r="Y116" s="199">
        <f t="shared" si="15"/>
        <v>0</v>
      </c>
      <c r="Z116" s="202">
        <f t="shared" si="16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155.0</v>
      </c>
      <c r="B117" s="193"/>
      <c r="C117" s="193"/>
      <c r="D117" s="193"/>
      <c r="E117" s="193"/>
      <c r="F117" s="193">
        <f t="shared" si="6"/>
        <v>0</v>
      </c>
      <c r="G117" s="193">
        <f t="shared" si="7"/>
        <v>0</v>
      </c>
      <c r="H117" s="194">
        <f t="shared" si="8"/>
        <v>0</v>
      </c>
      <c r="I117" s="193"/>
      <c r="J117" s="195">
        <f t="shared" si="9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10"/>
        <v>0</v>
      </c>
      <c r="T117" s="200" t="str">
        <f t="shared" si="11"/>
        <v/>
      </c>
      <c r="U117" s="200">
        <f t="shared" si="12"/>
        <v>0</v>
      </c>
      <c r="V117" s="203"/>
      <c r="W117" s="199">
        <f t="shared" ref="W117:X117" si="107">C117/100</f>
        <v>0</v>
      </c>
      <c r="X117" s="199">
        <f t="shared" si="107"/>
        <v>0</v>
      </c>
      <c r="Y117" s="199">
        <f t="shared" si="15"/>
        <v>0</v>
      </c>
      <c r="Z117" s="202">
        <f t="shared" si="16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156.0</v>
      </c>
      <c r="B118" s="193"/>
      <c r="C118" s="193"/>
      <c r="D118" s="193"/>
      <c r="E118" s="193"/>
      <c r="F118" s="193">
        <f t="shared" si="6"/>
        <v>0</v>
      </c>
      <c r="G118" s="193">
        <f t="shared" si="7"/>
        <v>0</v>
      </c>
      <c r="H118" s="194">
        <f t="shared" si="8"/>
        <v>0</v>
      </c>
      <c r="I118" s="193"/>
      <c r="J118" s="195">
        <f t="shared" si="9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10"/>
        <v>0</v>
      </c>
      <c r="T118" s="200" t="str">
        <f t="shared" si="11"/>
        <v/>
      </c>
      <c r="U118" s="200">
        <f t="shared" si="12"/>
        <v>0</v>
      </c>
      <c r="V118" s="203"/>
      <c r="W118" s="199">
        <f t="shared" ref="W118:X118" si="108">C118/100</f>
        <v>0</v>
      </c>
      <c r="X118" s="199">
        <f t="shared" si="108"/>
        <v>0</v>
      </c>
      <c r="Y118" s="199">
        <f t="shared" si="15"/>
        <v>0</v>
      </c>
      <c r="Z118" s="202">
        <f t="shared" si="16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157.0</v>
      </c>
      <c r="B119" s="193"/>
      <c r="C119" s="193"/>
      <c r="D119" s="193"/>
      <c r="E119" s="193"/>
      <c r="F119" s="193">
        <f t="shared" si="6"/>
        <v>0</v>
      </c>
      <c r="G119" s="193">
        <f t="shared" si="7"/>
        <v>0</v>
      </c>
      <c r="H119" s="194">
        <f t="shared" si="8"/>
        <v>0</v>
      </c>
      <c r="I119" s="193"/>
      <c r="J119" s="195">
        <f t="shared" si="9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10"/>
        <v>0</v>
      </c>
      <c r="T119" s="200" t="str">
        <f t="shared" si="11"/>
        <v/>
      </c>
      <c r="U119" s="200">
        <f t="shared" si="12"/>
        <v>0</v>
      </c>
      <c r="V119" s="203"/>
      <c r="W119" s="199">
        <f t="shared" ref="W119:X119" si="109">C119/100</f>
        <v>0</v>
      </c>
      <c r="X119" s="199">
        <f t="shared" si="109"/>
        <v>0</v>
      </c>
      <c r="Y119" s="199">
        <f t="shared" si="15"/>
        <v>0</v>
      </c>
      <c r="Z119" s="202">
        <f t="shared" si="16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158.0</v>
      </c>
      <c r="B120" s="193"/>
      <c r="C120" s="193"/>
      <c r="D120" s="193"/>
      <c r="E120" s="193"/>
      <c r="F120" s="193">
        <f t="shared" si="6"/>
        <v>0</v>
      </c>
      <c r="G120" s="193">
        <f t="shared" si="7"/>
        <v>0</v>
      </c>
      <c r="H120" s="194">
        <f t="shared" si="8"/>
        <v>0</v>
      </c>
      <c r="I120" s="193"/>
      <c r="J120" s="195">
        <f t="shared" si="9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10"/>
        <v>0</v>
      </c>
      <c r="T120" s="200" t="str">
        <f t="shared" si="11"/>
        <v/>
      </c>
      <c r="U120" s="200">
        <f t="shared" si="12"/>
        <v>0</v>
      </c>
      <c r="V120" s="203"/>
      <c r="W120" s="199">
        <f t="shared" ref="W120:X120" si="110">C120/100</f>
        <v>0</v>
      </c>
      <c r="X120" s="199">
        <f t="shared" si="110"/>
        <v>0</v>
      </c>
      <c r="Y120" s="199">
        <f t="shared" si="15"/>
        <v>0</v>
      </c>
      <c r="Z120" s="202">
        <f t="shared" si="16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159.0</v>
      </c>
      <c r="B121" s="193"/>
      <c r="C121" s="193"/>
      <c r="D121" s="193"/>
      <c r="E121" s="193"/>
      <c r="F121" s="193">
        <f t="shared" si="6"/>
        <v>0</v>
      </c>
      <c r="G121" s="193">
        <f t="shared" si="7"/>
        <v>0</v>
      </c>
      <c r="H121" s="194">
        <f t="shared" si="8"/>
        <v>0</v>
      </c>
      <c r="I121" s="193"/>
      <c r="J121" s="195">
        <f t="shared" si="9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10"/>
        <v>0</v>
      </c>
      <c r="T121" s="200" t="str">
        <f t="shared" si="11"/>
        <v/>
      </c>
      <c r="U121" s="200">
        <f t="shared" si="12"/>
        <v>0</v>
      </c>
      <c r="V121" s="203"/>
      <c r="W121" s="199">
        <f t="shared" ref="W121:X121" si="111">C121/100</f>
        <v>0</v>
      </c>
      <c r="X121" s="199">
        <f t="shared" si="111"/>
        <v>0</v>
      </c>
      <c r="Y121" s="199">
        <f t="shared" si="15"/>
        <v>0</v>
      </c>
      <c r="Z121" s="202">
        <f t="shared" si="16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160.0</v>
      </c>
      <c r="B122" s="193"/>
      <c r="C122" s="193"/>
      <c r="D122" s="193"/>
      <c r="E122" s="193"/>
      <c r="F122" s="193">
        <f t="shared" si="6"/>
        <v>0</v>
      </c>
      <c r="G122" s="193">
        <f t="shared" si="7"/>
        <v>0</v>
      </c>
      <c r="H122" s="194">
        <f t="shared" si="8"/>
        <v>0</v>
      </c>
      <c r="I122" s="193"/>
      <c r="J122" s="195">
        <f t="shared" si="9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10"/>
        <v>0</v>
      </c>
      <c r="T122" s="200" t="str">
        <f t="shared" si="11"/>
        <v/>
      </c>
      <c r="U122" s="200">
        <f t="shared" si="12"/>
        <v>0</v>
      </c>
      <c r="V122" s="203"/>
      <c r="W122" s="199">
        <f t="shared" ref="W122:X122" si="112">C122/100</f>
        <v>0</v>
      </c>
      <c r="X122" s="199">
        <f t="shared" si="112"/>
        <v>0</v>
      </c>
      <c r="Y122" s="199">
        <f t="shared" si="15"/>
        <v>0</v>
      </c>
      <c r="Z122" s="202">
        <f t="shared" si="16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161.0</v>
      </c>
      <c r="B123" s="193"/>
      <c r="C123" s="193"/>
      <c r="D123" s="193"/>
      <c r="E123" s="193"/>
      <c r="F123" s="193">
        <f t="shared" si="6"/>
        <v>0</v>
      </c>
      <c r="G123" s="193">
        <f t="shared" si="7"/>
        <v>0</v>
      </c>
      <c r="H123" s="194">
        <f t="shared" si="8"/>
        <v>0</v>
      </c>
      <c r="I123" s="193"/>
      <c r="J123" s="195">
        <f t="shared" si="9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10"/>
        <v>0</v>
      </c>
      <c r="T123" s="200" t="str">
        <f t="shared" si="11"/>
        <v/>
      </c>
      <c r="U123" s="200">
        <f t="shared" si="12"/>
        <v>0</v>
      </c>
      <c r="V123" s="203"/>
      <c r="W123" s="199">
        <f t="shared" ref="W123:X123" si="113">C123/100</f>
        <v>0</v>
      </c>
      <c r="X123" s="199">
        <f t="shared" si="113"/>
        <v>0</v>
      </c>
      <c r="Y123" s="199">
        <f t="shared" si="15"/>
        <v>0</v>
      </c>
      <c r="Z123" s="202">
        <f t="shared" si="16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162.0</v>
      </c>
      <c r="B124" s="193"/>
      <c r="C124" s="193"/>
      <c r="D124" s="193"/>
      <c r="E124" s="193"/>
      <c r="F124" s="193">
        <f t="shared" si="6"/>
        <v>0</v>
      </c>
      <c r="G124" s="193">
        <f t="shared" si="7"/>
        <v>0</v>
      </c>
      <c r="H124" s="194">
        <f t="shared" si="8"/>
        <v>0</v>
      </c>
      <c r="I124" s="193"/>
      <c r="J124" s="195">
        <f t="shared" si="9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10"/>
        <v>0</v>
      </c>
      <c r="T124" s="200" t="str">
        <f t="shared" si="11"/>
        <v/>
      </c>
      <c r="U124" s="200">
        <f t="shared" si="12"/>
        <v>0</v>
      </c>
      <c r="V124" s="203"/>
      <c r="W124" s="199">
        <f t="shared" ref="W124:X124" si="114">C124/100</f>
        <v>0</v>
      </c>
      <c r="X124" s="199">
        <f t="shared" si="114"/>
        <v>0</v>
      </c>
      <c r="Y124" s="199">
        <f t="shared" si="15"/>
        <v>0</v>
      </c>
      <c r="Z124" s="202">
        <f t="shared" si="16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163.0</v>
      </c>
      <c r="B125" s="193"/>
      <c r="C125" s="193"/>
      <c r="D125" s="193"/>
      <c r="E125" s="193"/>
      <c r="F125" s="193">
        <f t="shared" si="6"/>
        <v>0</v>
      </c>
      <c r="G125" s="193">
        <f t="shared" si="7"/>
        <v>0</v>
      </c>
      <c r="H125" s="194">
        <f t="shared" si="8"/>
        <v>0</v>
      </c>
      <c r="I125" s="193"/>
      <c r="J125" s="195">
        <f t="shared" si="9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10"/>
        <v>0</v>
      </c>
      <c r="T125" s="200" t="str">
        <f t="shared" si="11"/>
        <v/>
      </c>
      <c r="U125" s="200">
        <f t="shared" si="12"/>
        <v>0</v>
      </c>
      <c r="V125" s="203"/>
      <c r="W125" s="199">
        <f t="shared" ref="W125:X125" si="115">C125/100</f>
        <v>0</v>
      </c>
      <c r="X125" s="199">
        <f t="shared" si="115"/>
        <v>0</v>
      </c>
      <c r="Y125" s="199">
        <f t="shared" si="15"/>
        <v>0</v>
      </c>
      <c r="Z125" s="202">
        <f t="shared" si="16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164.0</v>
      </c>
      <c r="B126" s="193"/>
      <c r="C126" s="193"/>
      <c r="D126" s="193"/>
      <c r="E126" s="193"/>
      <c r="F126" s="193">
        <f t="shared" si="6"/>
        <v>0</v>
      </c>
      <c r="G126" s="193">
        <f t="shared" si="7"/>
        <v>0</v>
      </c>
      <c r="H126" s="194">
        <f t="shared" si="8"/>
        <v>0</v>
      </c>
      <c r="I126" s="193"/>
      <c r="J126" s="195">
        <f t="shared" si="9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10"/>
        <v>0</v>
      </c>
      <c r="T126" s="200" t="str">
        <f t="shared" si="11"/>
        <v/>
      </c>
      <c r="U126" s="200">
        <f t="shared" si="12"/>
        <v>0</v>
      </c>
      <c r="V126" s="203"/>
      <c r="W126" s="199">
        <f t="shared" ref="W126:X126" si="116">C126/100</f>
        <v>0</v>
      </c>
      <c r="X126" s="199">
        <f t="shared" si="116"/>
        <v>0</v>
      </c>
      <c r="Y126" s="199">
        <f t="shared" si="15"/>
        <v>0</v>
      </c>
      <c r="Z126" s="202">
        <f t="shared" si="16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165.0</v>
      </c>
      <c r="B127" s="193"/>
      <c r="C127" s="193"/>
      <c r="D127" s="193"/>
      <c r="E127" s="193"/>
      <c r="F127" s="193">
        <f t="shared" si="6"/>
        <v>0</v>
      </c>
      <c r="G127" s="193">
        <f t="shared" si="7"/>
        <v>0</v>
      </c>
      <c r="H127" s="194">
        <f t="shared" si="8"/>
        <v>0</v>
      </c>
      <c r="I127" s="193"/>
      <c r="J127" s="195">
        <f t="shared" si="9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10"/>
        <v>0</v>
      </c>
      <c r="T127" s="200" t="str">
        <f t="shared" si="11"/>
        <v/>
      </c>
      <c r="U127" s="200">
        <f t="shared" si="12"/>
        <v>0</v>
      </c>
      <c r="V127" s="203"/>
      <c r="W127" s="199">
        <f t="shared" ref="W127:X127" si="117">C127/100</f>
        <v>0</v>
      </c>
      <c r="X127" s="199">
        <f t="shared" si="117"/>
        <v>0</v>
      </c>
      <c r="Y127" s="199">
        <f t="shared" si="15"/>
        <v>0</v>
      </c>
      <c r="Z127" s="202">
        <f t="shared" si="16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166.0</v>
      </c>
      <c r="B128" s="193"/>
      <c r="C128" s="193"/>
      <c r="D128" s="193"/>
      <c r="E128" s="193"/>
      <c r="F128" s="193">
        <f t="shared" si="6"/>
        <v>0</v>
      </c>
      <c r="G128" s="193">
        <f t="shared" si="7"/>
        <v>0</v>
      </c>
      <c r="H128" s="194">
        <f t="shared" si="8"/>
        <v>0</v>
      </c>
      <c r="I128" s="193"/>
      <c r="J128" s="195">
        <f t="shared" si="9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10"/>
        <v>0</v>
      </c>
      <c r="T128" s="200" t="str">
        <f t="shared" si="11"/>
        <v/>
      </c>
      <c r="U128" s="200">
        <f t="shared" si="12"/>
        <v>0</v>
      </c>
      <c r="V128" s="203"/>
      <c r="W128" s="199">
        <f t="shared" ref="W128:X128" si="118">C128/100</f>
        <v>0</v>
      </c>
      <c r="X128" s="199">
        <f t="shared" si="118"/>
        <v>0</v>
      </c>
      <c r="Y128" s="199">
        <f t="shared" si="15"/>
        <v>0</v>
      </c>
      <c r="Z128" s="202">
        <f t="shared" si="16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167.0</v>
      </c>
      <c r="B129" s="193"/>
      <c r="C129" s="193"/>
      <c r="D129" s="193"/>
      <c r="E129" s="193"/>
      <c r="F129" s="193">
        <f t="shared" si="6"/>
        <v>0</v>
      </c>
      <c r="G129" s="193">
        <f t="shared" si="7"/>
        <v>0</v>
      </c>
      <c r="H129" s="194">
        <f t="shared" si="8"/>
        <v>0</v>
      </c>
      <c r="I129" s="193"/>
      <c r="J129" s="195">
        <f t="shared" si="9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10"/>
        <v>0</v>
      </c>
      <c r="T129" s="200" t="str">
        <f t="shared" si="11"/>
        <v/>
      </c>
      <c r="U129" s="200">
        <f t="shared" si="12"/>
        <v>0</v>
      </c>
      <c r="V129" s="203"/>
      <c r="W129" s="199">
        <f t="shared" ref="W129:X129" si="119">C129/100</f>
        <v>0</v>
      </c>
      <c r="X129" s="199">
        <f t="shared" si="119"/>
        <v>0</v>
      </c>
      <c r="Y129" s="199">
        <f t="shared" si="15"/>
        <v>0</v>
      </c>
      <c r="Z129" s="202">
        <f t="shared" si="16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168.0</v>
      </c>
      <c r="B130" s="193"/>
      <c r="C130" s="193"/>
      <c r="D130" s="193"/>
      <c r="E130" s="193"/>
      <c r="F130" s="193">
        <f t="shared" si="6"/>
        <v>0</v>
      </c>
      <c r="G130" s="193">
        <f t="shared" si="7"/>
        <v>0</v>
      </c>
      <c r="H130" s="194">
        <f t="shared" si="8"/>
        <v>0</v>
      </c>
      <c r="I130" s="193"/>
      <c r="J130" s="195">
        <f t="shared" si="9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10"/>
        <v>0</v>
      </c>
      <c r="T130" s="200" t="str">
        <f t="shared" si="11"/>
        <v/>
      </c>
      <c r="U130" s="200">
        <f t="shared" si="12"/>
        <v>0</v>
      </c>
      <c r="V130" s="203"/>
      <c r="W130" s="199">
        <f t="shared" ref="W130:X130" si="120">C130/100</f>
        <v>0</v>
      </c>
      <c r="X130" s="199">
        <f t="shared" si="120"/>
        <v>0</v>
      </c>
      <c r="Y130" s="199">
        <f t="shared" si="15"/>
        <v>0</v>
      </c>
      <c r="Z130" s="202">
        <f t="shared" si="16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169.0</v>
      </c>
      <c r="B131" s="193"/>
      <c r="C131" s="193"/>
      <c r="D131" s="193"/>
      <c r="E131" s="193"/>
      <c r="F131" s="193">
        <f t="shared" si="6"/>
        <v>0</v>
      </c>
      <c r="G131" s="193">
        <f t="shared" si="7"/>
        <v>0</v>
      </c>
      <c r="H131" s="194">
        <f t="shared" si="8"/>
        <v>0</v>
      </c>
      <c r="I131" s="193"/>
      <c r="J131" s="195">
        <f t="shared" si="9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10"/>
        <v>0</v>
      </c>
      <c r="T131" s="200" t="str">
        <f t="shared" si="11"/>
        <v/>
      </c>
      <c r="U131" s="200">
        <f t="shared" si="12"/>
        <v>0</v>
      </c>
      <c r="V131" s="203"/>
      <c r="W131" s="199">
        <f t="shared" ref="W131:X131" si="121">C131/100</f>
        <v>0</v>
      </c>
      <c r="X131" s="199">
        <f t="shared" si="121"/>
        <v>0</v>
      </c>
      <c r="Y131" s="199">
        <f t="shared" si="15"/>
        <v>0</v>
      </c>
      <c r="Z131" s="202">
        <f t="shared" si="16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170.0</v>
      </c>
      <c r="B132" s="193"/>
      <c r="C132" s="193"/>
      <c r="D132" s="193"/>
      <c r="E132" s="193"/>
      <c r="F132" s="193">
        <f t="shared" si="6"/>
        <v>0</v>
      </c>
      <c r="G132" s="193">
        <f t="shared" si="7"/>
        <v>0</v>
      </c>
      <c r="H132" s="194">
        <f t="shared" si="8"/>
        <v>0</v>
      </c>
      <c r="I132" s="193"/>
      <c r="J132" s="195">
        <f t="shared" si="9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10"/>
        <v>0</v>
      </c>
      <c r="T132" s="200" t="str">
        <f t="shared" si="11"/>
        <v/>
      </c>
      <c r="U132" s="200">
        <f t="shared" si="12"/>
        <v>0</v>
      </c>
      <c r="V132" s="203"/>
      <c r="W132" s="199">
        <f t="shared" ref="W132:X132" si="122">C132/100</f>
        <v>0</v>
      </c>
      <c r="X132" s="199">
        <f t="shared" si="122"/>
        <v>0</v>
      </c>
      <c r="Y132" s="199">
        <f t="shared" si="15"/>
        <v>0</v>
      </c>
      <c r="Z132" s="202">
        <f t="shared" si="16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171.0</v>
      </c>
      <c r="B133" s="193"/>
      <c r="C133" s="193"/>
      <c r="D133" s="193"/>
      <c r="E133" s="193"/>
      <c r="F133" s="193">
        <f t="shared" si="6"/>
        <v>0</v>
      </c>
      <c r="G133" s="193">
        <f t="shared" si="7"/>
        <v>0</v>
      </c>
      <c r="H133" s="194">
        <f t="shared" si="8"/>
        <v>0</v>
      </c>
      <c r="I133" s="193"/>
      <c r="J133" s="195">
        <f t="shared" si="9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10"/>
        <v>0</v>
      </c>
      <c r="T133" s="200" t="str">
        <f t="shared" si="11"/>
        <v/>
      </c>
      <c r="U133" s="200">
        <f t="shared" si="12"/>
        <v>0</v>
      </c>
      <c r="V133" s="203"/>
      <c r="W133" s="199">
        <f t="shared" ref="W133:X133" si="123">C133/100</f>
        <v>0</v>
      </c>
      <c r="X133" s="199">
        <f t="shared" si="123"/>
        <v>0</v>
      </c>
      <c r="Y133" s="199">
        <f t="shared" si="15"/>
        <v>0</v>
      </c>
      <c r="Z133" s="202">
        <f t="shared" si="16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172.0</v>
      </c>
      <c r="B134" s="193"/>
      <c r="C134" s="193"/>
      <c r="D134" s="193"/>
      <c r="E134" s="193"/>
      <c r="F134" s="193">
        <f t="shared" si="6"/>
        <v>0</v>
      </c>
      <c r="G134" s="193">
        <f t="shared" si="7"/>
        <v>0</v>
      </c>
      <c r="H134" s="194">
        <f t="shared" si="8"/>
        <v>0</v>
      </c>
      <c r="I134" s="193"/>
      <c r="J134" s="195">
        <f t="shared" si="9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10"/>
        <v>0</v>
      </c>
      <c r="T134" s="200" t="str">
        <f t="shared" si="11"/>
        <v/>
      </c>
      <c r="U134" s="200">
        <f t="shared" si="12"/>
        <v>0</v>
      </c>
      <c r="V134" s="203"/>
      <c r="W134" s="199">
        <f t="shared" ref="W134:X134" si="124">C134/100</f>
        <v>0</v>
      </c>
      <c r="X134" s="199">
        <f t="shared" si="124"/>
        <v>0</v>
      </c>
      <c r="Y134" s="199">
        <f t="shared" si="15"/>
        <v>0</v>
      </c>
      <c r="Z134" s="202">
        <f t="shared" si="16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173.0</v>
      </c>
      <c r="B135" s="193"/>
      <c r="C135" s="193"/>
      <c r="D135" s="193"/>
      <c r="E135" s="193"/>
      <c r="F135" s="193">
        <f t="shared" si="6"/>
        <v>0</v>
      </c>
      <c r="G135" s="193">
        <f t="shared" si="7"/>
        <v>0</v>
      </c>
      <c r="H135" s="194">
        <f t="shared" si="8"/>
        <v>0</v>
      </c>
      <c r="I135" s="193"/>
      <c r="J135" s="195">
        <f t="shared" si="9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10"/>
        <v>0</v>
      </c>
      <c r="T135" s="200" t="str">
        <f t="shared" si="11"/>
        <v/>
      </c>
      <c r="U135" s="200">
        <f t="shared" si="12"/>
        <v>0</v>
      </c>
      <c r="V135" s="203"/>
      <c r="W135" s="199">
        <f t="shared" ref="W135:X135" si="125">C135/100</f>
        <v>0</v>
      </c>
      <c r="X135" s="199">
        <f t="shared" si="125"/>
        <v>0</v>
      </c>
      <c r="Y135" s="199">
        <f t="shared" si="15"/>
        <v>0</v>
      </c>
      <c r="Z135" s="202">
        <f t="shared" si="16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174.0</v>
      </c>
      <c r="B136" s="193"/>
      <c r="C136" s="193"/>
      <c r="D136" s="193"/>
      <c r="E136" s="193"/>
      <c r="F136" s="193">
        <f t="shared" si="6"/>
        <v>0</v>
      </c>
      <c r="G136" s="193">
        <f t="shared" si="7"/>
        <v>0</v>
      </c>
      <c r="H136" s="194">
        <f t="shared" si="8"/>
        <v>0</v>
      </c>
      <c r="I136" s="193"/>
      <c r="J136" s="195">
        <f t="shared" si="9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10"/>
        <v>0</v>
      </c>
      <c r="T136" s="200" t="str">
        <f t="shared" si="11"/>
        <v/>
      </c>
      <c r="U136" s="200">
        <f t="shared" si="12"/>
        <v>0</v>
      </c>
      <c r="V136" s="203"/>
      <c r="W136" s="199">
        <f t="shared" ref="W136:X136" si="126">C136/100</f>
        <v>0</v>
      </c>
      <c r="X136" s="199">
        <f t="shared" si="126"/>
        <v>0</v>
      </c>
      <c r="Y136" s="199">
        <f t="shared" si="15"/>
        <v>0</v>
      </c>
      <c r="Z136" s="202">
        <f t="shared" si="16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175.0</v>
      </c>
      <c r="B137" s="193"/>
      <c r="C137" s="193"/>
      <c r="D137" s="193"/>
      <c r="E137" s="193"/>
      <c r="F137" s="193">
        <f t="shared" si="6"/>
        <v>0</v>
      </c>
      <c r="G137" s="193">
        <f t="shared" si="7"/>
        <v>0</v>
      </c>
      <c r="H137" s="194">
        <f t="shared" si="8"/>
        <v>0</v>
      </c>
      <c r="I137" s="193"/>
      <c r="J137" s="195">
        <f t="shared" si="9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10"/>
        <v>0</v>
      </c>
      <c r="T137" s="200" t="str">
        <f t="shared" si="11"/>
        <v/>
      </c>
      <c r="U137" s="200">
        <f t="shared" si="12"/>
        <v>0</v>
      </c>
      <c r="V137" s="203"/>
      <c r="W137" s="199">
        <f t="shared" ref="W137:X137" si="127">C137/100</f>
        <v>0</v>
      </c>
      <c r="X137" s="199">
        <f t="shared" si="127"/>
        <v>0</v>
      </c>
      <c r="Y137" s="199">
        <f t="shared" si="15"/>
        <v>0</v>
      </c>
      <c r="Z137" s="202">
        <f t="shared" si="16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176.0</v>
      </c>
      <c r="B138" s="193"/>
      <c r="C138" s="193"/>
      <c r="D138" s="193"/>
      <c r="E138" s="193"/>
      <c r="F138" s="193">
        <f t="shared" si="6"/>
        <v>0</v>
      </c>
      <c r="G138" s="193">
        <f t="shared" si="7"/>
        <v>0</v>
      </c>
      <c r="H138" s="194">
        <f t="shared" si="8"/>
        <v>0</v>
      </c>
      <c r="I138" s="193"/>
      <c r="J138" s="195">
        <f t="shared" si="9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10"/>
        <v>0</v>
      </c>
      <c r="T138" s="200" t="str">
        <f t="shared" si="11"/>
        <v/>
      </c>
      <c r="U138" s="200">
        <f t="shared" si="12"/>
        <v>0</v>
      </c>
      <c r="V138" s="203"/>
      <c r="W138" s="199">
        <f t="shared" ref="W138:X138" si="128">C138/100</f>
        <v>0</v>
      </c>
      <c r="X138" s="199">
        <f t="shared" si="128"/>
        <v>0</v>
      </c>
      <c r="Y138" s="199">
        <f t="shared" si="15"/>
        <v>0</v>
      </c>
      <c r="Z138" s="202">
        <f t="shared" si="16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177.0</v>
      </c>
      <c r="B139" s="193"/>
      <c r="C139" s="193"/>
      <c r="D139" s="193"/>
      <c r="E139" s="193"/>
      <c r="F139" s="193">
        <f t="shared" si="6"/>
        <v>0</v>
      </c>
      <c r="G139" s="193">
        <f t="shared" si="7"/>
        <v>0</v>
      </c>
      <c r="H139" s="194">
        <f t="shared" si="8"/>
        <v>0</v>
      </c>
      <c r="I139" s="193"/>
      <c r="J139" s="195">
        <f t="shared" si="9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10"/>
        <v>0</v>
      </c>
      <c r="T139" s="200" t="str">
        <f t="shared" si="11"/>
        <v/>
      </c>
      <c r="U139" s="200">
        <f t="shared" si="12"/>
        <v>0</v>
      </c>
      <c r="V139" s="203"/>
      <c r="W139" s="199">
        <f t="shared" ref="W139:X139" si="129">C139/100</f>
        <v>0</v>
      </c>
      <c r="X139" s="199">
        <f t="shared" si="129"/>
        <v>0</v>
      </c>
      <c r="Y139" s="199">
        <f t="shared" si="15"/>
        <v>0</v>
      </c>
      <c r="Z139" s="202">
        <f t="shared" si="16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178.0</v>
      </c>
      <c r="B140" s="193"/>
      <c r="C140" s="193"/>
      <c r="D140" s="193"/>
      <c r="E140" s="193"/>
      <c r="F140" s="193">
        <f t="shared" si="6"/>
        <v>0</v>
      </c>
      <c r="G140" s="193">
        <f t="shared" si="7"/>
        <v>0</v>
      </c>
      <c r="H140" s="194">
        <f t="shared" si="8"/>
        <v>0</v>
      </c>
      <c r="I140" s="193"/>
      <c r="J140" s="195">
        <f t="shared" si="9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10"/>
        <v>0</v>
      </c>
      <c r="T140" s="200" t="str">
        <f t="shared" si="11"/>
        <v/>
      </c>
      <c r="U140" s="200">
        <f t="shared" si="12"/>
        <v>0</v>
      </c>
      <c r="V140" s="203"/>
      <c r="W140" s="199">
        <f t="shared" ref="W140:X140" si="130">C140/100</f>
        <v>0</v>
      </c>
      <c r="X140" s="199">
        <f t="shared" si="130"/>
        <v>0</v>
      </c>
      <c r="Y140" s="199">
        <f t="shared" si="15"/>
        <v>0</v>
      </c>
      <c r="Z140" s="202">
        <f t="shared" si="16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179.0</v>
      </c>
      <c r="B141" s="193"/>
      <c r="C141" s="193"/>
      <c r="D141" s="193"/>
      <c r="E141" s="193"/>
      <c r="F141" s="193">
        <f t="shared" si="6"/>
        <v>0</v>
      </c>
      <c r="G141" s="193">
        <f t="shared" si="7"/>
        <v>0</v>
      </c>
      <c r="H141" s="194">
        <f t="shared" si="8"/>
        <v>0</v>
      </c>
      <c r="I141" s="193"/>
      <c r="J141" s="195">
        <f t="shared" si="9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10"/>
        <v>0</v>
      </c>
      <c r="T141" s="200" t="str">
        <f t="shared" si="11"/>
        <v/>
      </c>
      <c r="U141" s="200">
        <f t="shared" si="12"/>
        <v>0</v>
      </c>
      <c r="V141" s="203"/>
      <c r="W141" s="199">
        <f t="shared" ref="W141:X141" si="131">C141/100</f>
        <v>0</v>
      </c>
      <c r="X141" s="199">
        <f t="shared" si="131"/>
        <v>0</v>
      </c>
      <c r="Y141" s="199">
        <f t="shared" si="15"/>
        <v>0</v>
      </c>
      <c r="Z141" s="202">
        <f t="shared" si="16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180.0</v>
      </c>
      <c r="B142" s="193"/>
      <c r="C142" s="193"/>
      <c r="D142" s="193"/>
      <c r="E142" s="193"/>
      <c r="F142" s="193">
        <f t="shared" si="6"/>
        <v>0</v>
      </c>
      <c r="G142" s="193">
        <f t="shared" si="7"/>
        <v>0</v>
      </c>
      <c r="H142" s="194">
        <f t="shared" si="8"/>
        <v>0</v>
      </c>
      <c r="I142" s="193"/>
      <c r="J142" s="195">
        <f t="shared" si="9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10"/>
        <v>0</v>
      </c>
      <c r="T142" s="200" t="str">
        <f t="shared" si="11"/>
        <v/>
      </c>
      <c r="U142" s="200">
        <f t="shared" si="12"/>
        <v>0</v>
      </c>
      <c r="V142" s="203"/>
      <c r="W142" s="199">
        <f t="shared" ref="W142:X142" si="132">C142/100</f>
        <v>0</v>
      </c>
      <c r="X142" s="199">
        <f t="shared" si="132"/>
        <v>0</v>
      </c>
      <c r="Y142" s="199">
        <f t="shared" si="15"/>
        <v>0</v>
      </c>
      <c r="Z142" s="202">
        <f t="shared" si="16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181.0</v>
      </c>
      <c r="B143" s="193"/>
      <c r="C143" s="193"/>
      <c r="D143" s="193"/>
      <c r="E143" s="193"/>
      <c r="F143" s="193">
        <f t="shared" si="6"/>
        <v>0</v>
      </c>
      <c r="G143" s="193">
        <f t="shared" si="7"/>
        <v>0</v>
      </c>
      <c r="H143" s="194">
        <f t="shared" si="8"/>
        <v>0</v>
      </c>
      <c r="I143" s="193"/>
      <c r="J143" s="195">
        <f t="shared" si="9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10"/>
        <v>0</v>
      </c>
      <c r="T143" s="200" t="str">
        <f t="shared" si="11"/>
        <v/>
      </c>
      <c r="U143" s="200">
        <f t="shared" si="12"/>
        <v>0</v>
      </c>
      <c r="V143" s="203"/>
      <c r="W143" s="199">
        <f t="shared" ref="W143:X143" si="133">C143/100</f>
        <v>0</v>
      </c>
      <c r="X143" s="199">
        <f t="shared" si="133"/>
        <v>0</v>
      </c>
      <c r="Y143" s="199">
        <f t="shared" si="15"/>
        <v>0</v>
      </c>
      <c r="Z143" s="202">
        <f t="shared" si="16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182.0</v>
      </c>
      <c r="B144" s="193"/>
      <c r="C144" s="193"/>
      <c r="D144" s="193"/>
      <c r="E144" s="193"/>
      <c r="F144" s="193">
        <f t="shared" si="6"/>
        <v>0</v>
      </c>
      <c r="G144" s="193">
        <f t="shared" si="7"/>
        <v>0</v>
      </c>
      <c r="H144" s="194">
        <f t="shared" si="8"/>
        <v>0</v>
      </c>
      <c r="I144" s="193"/>
      <c r="J144" s="195">
        <f t="shared" si="9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10"/>
        <v>0</v>
      </c>
      <c r="T144" s="200" t="str">
        <f t="shared" si="11"/>
        <v/>
      </c>
      <c r="U144" s="200">
        <f t="shared" si="12"/>
        <v>0</v>
      </c>
      <c r="V144" s="203"/>
      <c r="W144" s="199">
        <f t="shared" ref="W144:X144" si="134">C144/100</f>
        <v>0</v>
      </c>
      <c r="X144" s="199">
        <f t="shared" si="134"/>
        <v>0</v>
      </c>
      <c r="Y144" s="199">
        <f t="shared" si="15"/>
        <v>0</v>
      </c>
      <c r="Z144" s="202">
        <f t="shared" si="16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183.0</v>
      </c>
      <c r="B145" s="193"/>
      <c r="C145" s="193"/>
      <c r="D145" s="193"/>
      <c r="E145" s="193"/>
      <c r="F145" s="193">
        <f t="shared" si="6"/>
        <v>0</v>
      </c>
      <c r="G145" s="193">
        <f t="shared" si="7"/>
        <v>0</v>
      </c>
      <c r="H145" s="194">
        <f t="shared" si="8"/>
        <v>0</v>
      </c>
      <c r="I145" s="193"/>
      <c r="J145" s="195">
        <f t="shared" si="9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10"/>
        <v>0</v>
      </c>
      <c r="T145" s="200" t="str">
        <f t="shared" si="11"/>
        <v/>
      </c>
      <c r="U145" s="200">
        <f t="shared" si="12"/>
        <v>0</v>
      </c>
      <c r="V145" s="203"/>
      <c r="W145" s="199">
        <f t="shared" ref="W145:X145" si="135">C145/100</f>
        <v>0</v>
      </c>
      <c r="X145" s="199">
        <f t="shared" si="135"/>
        <v>0</v>
      </c>
      <c r="Y145" s="199">
        <f t="shared" si="15"/>
        <v>0</v>
      </c>
      <c r="Z145" s="202">
        <f t="shared" si="16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184.0</v>
      </c>
      <c r="B146" s="193"/>
      <c r="C146" s="193"/>
      <c r="D146" s="193"/>
      <c r="E146" s="193"/>
      <c r="F146" s="193">
        <f t="shared" si="6"/>
        <v>0</v>
      </c>
      <c r="G146" s="193">
        <f t="shared" si="7"/>
        <v>0</v>
      </c>
      <c r="H146" s="194">
        <f t="shared" si="8"/>
        <v>0</v>
      </c>
      <c r="I146" s="193"/>
      <c r="J146" s="195">
        <f t="shared" si="9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10"/>
        <v>0</v>
      </c>
      <c r="T146" s="200" t="str">
        <f t="shared" si="11"/>
        <v/>
      </c>
      <c r="U146" s="200">
        <f t="shared" si="12"/>
        <v>0</v>
      </c>
      <c r="V146" s="203"/>
      <c r="W146" s="199">
        <f t="shared" ref="W146:X146" si="136">C146/100</f>
        <v>0</v>
      </c>
      <c r="X146" s="199">
        <f t="shared" si="136"/>
        <v>0</v>
      </c>
      <c r="Y146" s="199">
        <f t="shared" si="15"/>
        <v>0</v>
      </c>
      <c r="Z146" s="202">
        <f t="shared" si="16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185.0</v>
      </c>
      <c r="B147" s="193"/>
      <c r="C147" s="193"/>
      <c r="D147" s="193"/>
      <c r="E147" s="193"/>
      <c r="F147" s="193">
        <f t="shared" si="6"/>
        <v>0</v>
      </c>
      <c r="G147" s="193">
        <f t="shared" si="7"/>
        <v>0</v>
      </c>
      <c r="H147" s="194">
        <f t="shared" si="8"/>
        <v>0</v>
      </c>
      <c r="I147" s="193"/>
      <c r="J147" s="195">
        <f t="shared" si="9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10"/>
        <v>0</v>
      </c>
      <c r="T147" s="200" t="str">
        <f t="shared" si="11"/>
        <v/>
      </c>
      <c r="U147" s="200">
        <f t="shared" si="12"/>
        <v>0</v>
      </c>
      <c r="V147" s="203"/>
      <c r="W147" s="199">
        <f t="shared" ref="W147:X147" si="137">C147/100</f>
        <v>0</v>
      </c>
      <c r="X147" s="199">
        <f t="shared" si="137"/>
        <v>0</v>
      </c>
      <c r="Y147" s="199">
        <f t="shared" si="15"/>
        <v>0</v>
      </c>
      <c r="Z147" s="202">
        <f t="shared" si="16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186.0</v>
      </c>
      <c r="B148" s="193"/>
      <c r="C148" s="193"/>
      <c r="D148" s="193"/>
      <c r="E148" s="193"/>
      <c r="F148" s="193">
        <f t="shared" si="6"/>
        <v>0</v>
      </c>
      <c r="G148" s="193">
        <f t="shared" si="7"/>
        <v>0</v>
      </c>
      <c r="H148" s="194">
        <f t="shared" si="8"/>
        <v>0</v>
      </c>
      <c r="I148" s="193"/>
      <c r="J148" s="195">
        <f t="shared" si="9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10"/>
        <v>0</v>
      </c>
      <c r="T148" s="200" t="str">
        <f t="shared" si="11"/>
        <v/>
      </c>
      <c r="U148" s="200">
        <f t="shared" si="12"/>
        <v>0</v>
      </c>
      <c r="V148" s="203"/>
      <c r="W148" s="199">
        <f t="shared" ref="W148:X148" si="138">C148/100</f>
        <v>0</v>
      </c>
      <c r="X148" s="199">
        <f t="shared" si="138"/>
        <v>0</v>
      </c>
      <c r="Y148" s="199">
        <f t="shared" si="15"/>
        <v>0</v>
      </c>
      <c r="Z148" s="202">
        <f t="shared" si="16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187.0</v>
      </c>
      <c r="B149" s="193"/>
      <c r="C149" s="193"/>
      <c r="D149" s="193"/>
      <c r="E149" s="193"/>
      <c r="F149" s="193">
        <f t="shared" si="6"/>
        <v>0</v>
      </c>
      <c r="G149" s="193">
        <f t="shared" si="7"/>
        <v>0</v>
      </c>
      <c r="H149" s="194">
        <f t="shared" si="8"/>
        <v>0</v>
      </c>
      <c r="I149" s="193"/>
      <c r="J149" s="195">
        <f t="shared" si="9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10"/>
        <v>0</v>
      </c>
      <c r="T149" s="200" t="str">
        <f t="shared" si="11"/>
        <v/>
      </c>
      <c r="U149" s="200">
        <f t="shared" si="12"/>
        <v>0</v>
      </c>
      <c r="V149" s="203"/>
      <c r="W149" s="199">
        <f t="shared" ref="W149:X149" si="139">C149/100</f>
        <v>0</v>
      </c>
      <c r="X149" s="199">
        <f t="shared" si="139"/>
        <v>0</v>
      </c>
      <c r="Y149" s="199">
        <f t="shared" si="15"/>
        <v>0</v>
      </c>
      <c r="Z149" s="202">
        <f t="shared" si="16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188.0</v>
      </c>
      <c r="B150" s="193"/>
      <c r="C150" s="193"/>
      <c r="D150" s="193"/>
      <c r="E150" s="193"/>
      <c r="F150" s="193">
        <f t="shared" si="6"/>
        <v>0</v>
      </c>
      <c r="G150" s="193">
        <f t="shared" si="7"/>
        <v>0</v>
      </c>
      <c r="H150" s="194">
        <f t="shared" si="8"/>
        <v>0</v>
      </c>
      <c r="I150" s="193"/>
      <c r="J150" s="195">
        <f t="shared" si="9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10"/>
        <v>0</v>
      </c>
      <c r="T150" s="200" t="str">
        <f t="shared" si="11"/>
        <v/>
      </c>
      <c r="U150" s="200">
        <f t="shared" si="12"/>
        <v>0</v>
      </c>
      <c r="V150" s="203"/>
      <c r="W150" s="199">
        <f t="shared" ref="W150:X150" si="140">C150/100</f>
        <v>0</v>
      </c>
      <c r="X150" s="199">
        <f t="shared" si="140"/>
        <v>0</v>
      </c>
      <c r="Y150" s="199">
        <f t="shared" si="15"/>
        <v>0</v>
      </c>
      <c r="Z150" s="202">
        <f t="shared" si="16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189.0</v>
      </c>
      <c r="B151" s="193"/>
      <c r="C151" s="193"/>
      <c r="D151" s="193"/>
      <c r="E151" s="193"/>
      <c r="F151" s="193">
        <f t="shared" si="6"/>
        <v>0</v>
      </c>
      <c r="G151" s="193">
        <f t="shared" si="7"/>
        <v>0</v>
      </c>
      <c r="H151" s="194">
        <f t="shared" si="8"/>
        <v>0</v>
      </c>
      <c r="I151" s="193"/>
      <c r="J151" s="195">
        <f t="shared" si="9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10"/>
        <v>0</v>
      </c>
      <c r="T151" s="200" t="str">
        <f t="shared" si="11"/>
        <v/>
      </c>
      <c r="U151" s="200">
        <f t="shared" si="12"/>
        <v>0</v>
      </c>
      <c r="V151" s="203"/>
      <c r="W151" s="199">
        <f t="shared" ref="W151:X151" si="141">C151/100</f>
        <v>0</v>
      </c>
      <c r="X151" s="199">
        <f t="shared" si="141"/>
        <v>0</v>
      </c>
      <c r="Y151" s="199">
        <f t="shared" si="15"/>
        <v>0</v>
      </c>
      <c r="Z151" s="202">
        <f t="shared" si="16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190.0</v>
      </c>
      <c r="B152" s="193"/>
      <c r="C152" s="193"/>
      <c r="D152" s="193"/>
      <c r="E152" s="193"/>
      <c r="F152" s="193">
        <f t="shared" si="6"/>
        <v>0</v>
      </c>
      <c r="G152" s="193">
        <f t="shared" si="7"/>
        <v>0</v>
      </c>
      <c r="H152" s="194">
        <f t="shared" si="8"/>
        <v>0</v>
      </c>
      <c r="I152" s="193"/>
      <c r="J152" s="195">
        <f t="shared" si="9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10"/>
        <v>0</v>
      </c>
      <c r="T152" s="200" t="str">
        <f t="shared" si="11"/>
        <v/>
      </c>
      <c r="U152" s="200">
        <f t="shared" si="12"/>
        <v>0</v>
      </c>
      <c r="V152" s="203"/>
      <c r="W152" s="199">
        <f t="shared" ref="W152:X152" si="142">C152/100</f>
        <v>0</v>
      </c>
      <c r="X152" s="199">
        <f t="shared" si="142"/>
        <v>0</v>
      </c>
      <c r="Y152" s="199">
        <f t="shared" si="15"/>
        <v>0</v>
      </c>
      <c r="Z152" s="202">
        <f t="shared" si="16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191.0</v>
      </c>
      <c r="B153" s="193"/>
      <c r="C153" s="193"/>
      <c r="D153" s="193"/>
      <c r="E153" s="193"/>
      <c r="F153" s="193">
        <f t="shared" si="6"/>
        <v>0</v>
      </c>
      <c r="G153" s="193">
        <f t="shared" si="7"/>
        <v>0</v>
      </c>
      <c r="H153" s="194">
        <f t="shared" si="8"/>
        <v>0</v>
      </c>
      <c r="I153" s="193"/>
      <c r="J153" s="195">
        <f t="shared" si="9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10"/>
        <v>0</v>
      </c>
      <c r="T153" s="200" t="str">
        <f t="shared" si="11"/>
        <v/>
      </c>
      <c r="U153" s="200">
        <f t="shared" si="12"/>
        <v>0</v>
      </c>
      <c r="V153" s="203"/>
      <c r="W153" s="199">
        <f t="shared" ref="W153:X153" si="143">C153/100</f>
        <v>0</v>
      </c>
      <c r="X153" s="199">
        <f t="shared" si="143"/>
        <v>0</v>
      </c>
      <c r="Y153" s="199">
        <f t="shared" si="15"/>
        <v>0</v>
      </c>
      <c r="Z153" s="202">
        <f t="shared" si="16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192.0</v>
      </c>
      <c r="B154" s="193"/>
      <c r="C154" s="193"/>
      <c r="D154" s="193"/>
      <c r="E154" s="193"/>
      <c r="F154" s="193">
        <f t="shared" si="6"/>
        <v>0</v>
      </c>
      <c r="G154" s="193">
        <f t="shared" si="7"/>
        <v>0</v>
      </c>
      <c r="H154" s="194">
        <f t="shared" si="8"/>
        <v>0</v>
      </c>
      <c r="I154" s="193"/>
      <c r="J154" s="195">
        <f t="shared" si="9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10"/>
        <v>0</v>
      </c>
      <c r="T154" s="200" t="str">
        <f t="shared" si="11"/>
        <v/>
      </c>
      <c r="U154" s="200">
        <f t="shared" si="12"/>
        <v>0</v>
      </c>
      <c r="V154" s="203"/>
      <c r="W154" s="199">
        <f t="shared" ref="W154:X154" si="144">C154/100</f>
        <v>0</v>
      </c>
      <c r="X154" s="199">
        <f t="shared" si="144"/>
        <v>0</v>
      </c>
      <c r="Y154" s="199">
        <f t="shared" si="15"/>
        <v>0</v>
      </c>
      <c r="Z154" s="202">
        <f t="shared" si="16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193.0</v>
      </c>
      <c r="B155" s="193"/>
      <c r="C155" s="193"/>
      <c r="D155" s="193"/>
      <c r="E155" s="193"/>
      <c r="F155" s="193">
        <f t="shared" si="6"/>
        <v>0</v>
      </c>
      <c r="G155" s="193">
        <f t="shared" si="7"/>
        <v>0</v>
      </c>
      <c r="H155" s="194">
        <f t="shared" si="8"/>
        <v>0</v>
      </c>
      <c r="I155" s="193"/>
      <c r="J155" s="195">
        <f t="shared" si="9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10"/>
        <v>0</v>
      </c>
      <c r="T155" s="200" t="str">
        <f t="shared" si="11"/>
        <v/>
      </c>
      <c r="U155" s="200">
        <f t="shared" si="12"/>
        <v>0</v>
      </c>
      <c r="V155" s="203"/>
      <c r="W155" s="199">
        <f t="shared" ref="W155:X155" si="145">C155/100</f>
        <v>0</v>
      </c>
      <c r="X155" s="199">
        <f t="shared" si="145"/>
        <v>0</v>
      </c>
      <c r="Y155" s="199">
        <f t="shared" si="15"/>
        <v>0</v>
      </c>
      <c r="Z155" s="202">
        <f t="shared" si="16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194.0</v>
      </c>
      <c r="B156" s="193"/>
      <c r="C156" s="193"/>
      <c r="D156" s="193"/>
      <c r="E156" s="193"/>
      <c r="F156" s="193">
        <f t="shared" si="6"/>
        <v>0</v>
      </c>
      <c r="G156" s="193">
        <f t="shared" si="7"/>
        <v>0</v>
      </c>
      <c r="H156" s="194">
        <f t="shared" si="8"/>
        <v>0</v>
      </c>
      <c r="I156" s="193"/>
      <c r="J156" s="195">
        <f t="shared" si="9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10"/>
        <v>0</v>
      </c>
      <c r="T156" s="200" t="str">
        <f t="shared" si="11"/>
        <v/>
      </c>
      <c r="U156" s="200">
        <f t="shared" si="12"/>
        <v>0</v>
      </c>
      <c r="V156" s="203"/>
      <c r="W156" s="199">
        <f t="shared" ref="W156:X156" si="146">C156/100</f>
        <v>0</v>
      </c>
      <c r="X156" s="199">
        <f t="shared" si="146"/>
        <v>0</v>
      </c>
      <c r="Y156" s="199">
        <f t="shared" si="15"/>
        <v>0</v>
      </c>
      <c r="Z156" s="202">
        <f t="shared" si="16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195.0</v>
      </c>
      <c r="B157" s="193"/>
      <c r="C157" s="193"/>
      <c r="D157" s="193"/>
      <c r="E157" s="193"/>
      <c r="F157" s="193">
        <f t="shared" si="6"/>
        <v>0</v>
      </c>
      <c r="G157" s="193">
        <f t="shared" si="7"/>
        <v>0</v>
      </c>
      <c r="H157" s="194">
        <f t="shared" si="8"/>
        <v>0</v>
      </c>
      <c r="I157" s="193"/>
      <c r="J157" s="195">
        <f t="shared" si="9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10"/>
        <v>0</v>
      </c>
      <c r="T157" s="200" t="str">
        <f t="shared" si="11"/>
        <v/>
      </c>
      <c r="U157" s="200">
        <f t="shared" si="12"/>
        <v>0</v>
      </c>
      <c r="V157" s="203"/>
      <c r="W157" s="199">
        <f t="shared" ref="W157:X157" si="147">C157/100</f>
        <v>0</v>
      </c>
      <c r="X157" s="199">
        <f t="shared" si="147"/>
        <v>0</v>
      </c>
      <c r="Y157" s="199">
        <f t="shared" si="15"/>
        <v>0</v>
      </c>
      <c r="Z157" s="202">
        <f t="shared" si="16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196.0</v>
      </c>
      <c r="B158" s="193"/>
      <c r="C158" s="193"/>
      <c r="D158" s="193"/>
      <c r="E158" s="193"/>
      <c r="F158" s="193">
        <f t="shared" si="6"/>
        <v>0</v>
      </c>
      <c r="G158" s="193">
        <f t="shared" si="7"/>
        <v>0</v>
      </c>
      <c r="H158" s="194">
        <f t="shared" si="8"/>
        <v>0</v>
      </c>
      <c r="I158" s="193"/>
      <c r="J158" s="195">
        <f t="shared" si="9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10"/>
        <v>0</v>
      </c>
      <c r="T158" s="200" t="str">
        <f t="shared" si="11"/>
        <v/>
      </c>
      <c r="U158" s="200">
        <f t="shared" si="12"/>
        <v>0</v>
      </c>
      <c r="V158" s="203"/>
      <c r="W158" s="199">
        <f t="shared" ref="W158:X158" si="148">C158/100</f>
        <v>0</v>
      </c>
      <c r="X158" s="199">
        <f t="shared" si="148"/>
        <v>0</v>
      </c>
      <c r="Y158" s="199">
        <f t="shared" si="15"/>
        <v>0</v>
      </c>
      <c r="Z158" s="202">
        <f t="shared" si="16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197.0</v>
      </c>
      <c r="B159" s="193"/>
      <c r="C159" s="193"/>
      <c r="D159" s="193"/>
      <c r="E159" s="193"/>
      <c r="F159" s="193">
        <f t="shared" si="6"/>
        <v>0</v>
      </c>
      <c r="G159" s="193">
        <f t="shared" si="7"/>
        <v>0</v>
      </c>
      <c r="H159" s="194">
        <f t="shared" si="8"/>
        <v>0</v>
      </c>
      <c r="I159" s="193"/>
      <c r="J159" s="195">
        <f t="shared" si="9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10"/>
        <v>0</v>
      </c>
      <c r="T159" s="200" t="str">
        <f t="shared" si="11"/>
        <v/>
      </c>
      <c r="U159" s="200">
        <f t="shared" si="12"/>
        <v>0</v>
      </c>
      <c r="V159" s="203"/>
      <c r="W159" s="199">
        <f t="shared" ref="W159:X159" si="149">C159/100</f>
        <v>0</v>
      </c>
      <c r="X159" s="199">
        <f t="shared" si="149"/>
        <v>0</v>
      </c>
      <c r="Y159" s="199">
        <f t="shared" si="15"/>
        <v>0</v>
      </c>
      <c r="Z159" s="202">
        <f t="shared" si="16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198.0</v>
      </c>
      <c r="B160" s="193"/>
      <c r="C160" s="193"/>
      <c r="D160" s="193"/>
      <c r="E160" s="193"/>
      <c r="F160" s="193">
        <f t="shared" si="6"/>
        <v>0</v>
      </c>
      <c r="G160" s="193">
        <f t="shared" si="7"/>
        <v>0</v>
      </c>
      <c r="H160" s="194">
        <f t="shared" si="8"/>
        <v>0</v>
      </c>
      <c r="I160" s="193"/>
      <c r="J160" s="195">
        <f t="shared" si="9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10"/>
        <v>0</v>
      </c>
      <c r="T160" s="200" t="str">
        <f t="shared" si="11"/>
        <v/>
      </c>
      <c r="U160" s="200">
        <f t="shared" si="12"/>
        <v>0</v>
      </c>
      <c r="V160" s="203"/>
      <c r="W160" s="199">
        <f t="shared" ref="W160:X160" si="150">C160/100</f>
        <v>0</v>
      </c>
      <c r="X160" s="199">
        <f t="shared" si="150"/>
        <v>0</v>
      </c>
      <c r="Y160" s="199">
        <f t="shared" si="15"/>
        <v>0</v>
      </c>
      <c r="Z160" s="202">
        <f t="shared" si="16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199.0</v>
      </c>
      <c r="B161" s="193"/>
      <c r="C161" s="193"/>
      <c r="D161" s="193"/>
      <c r="E161" s="193"/>
      <c r="F161" s="193">
        <f t="shared" si="6"/>
        <v>0</v>
      </c>
      <c r="G161" s="193">
        <f t="shared" si="7"/>
        <v>0</v>
      </c>
      <c r="H161" s="194">
        <f t="shared" si="8"/>
        <v>0</v>
      </c>
      <c r="I161" s="193"/>
      <c r="J161" s="195">
        <f t="shared" si="9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10"/>
        <v>0</v>
      </c>
      <c r="T161" s="200" t="str">
        <f t="shared" si="11"/>
        <v/>
      </c>
      <c r="U161" s="200">
        <f t="shared" si="12"/>
        <v>0</v>
      </c>
      <c r="V161" s="203"/>
      <c r="W161" s="199">
        <f t="shared" ref="W161:X161" si="151">C161/100</f>
        <v>0</v>
      </c>
      <c r="X161" s="199">
        <f t="shared" si="151"/>
        <v>0</v>
      </c>
      <c r="Y161" s="199">
        <f t="shared" si="15"/>
        <v>0</v>
      </c>
      <c r="Z161" s="202">
        <f t="shared" si="16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200.0</v>
      </c>
      <c r="B162" s="193"/>
      <c r="C162" s="193"/>
      <c r="D162" s="193"/>
      <c r="E162" s="193"/>
      <c r="F162" s="193">
        <f t="shared" si="6"/>
        <v>0</v>
      </c>
      <c r="G162" s="193">
        <f t="shared" si="7"/>
        <v>0</v>
      </c>
      <c r="H162" s="194">
        <f t="shared" si="8"/>
        <v>0</v>
      </c>
      <c r="I162" s="193"/>
      <c r="J162" s="195">
        <f t="shared" si="9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10"/>
        <v>0</v>
      </c>
      <c r="T162" s="200" t="str">
        <f t="shared" si="11"/>
        <v/>
      </c>
      <c r="U162" s="200">
        <f t="shared" si="12"/>
        <v>0</v>
      </c>
      <c r="V162" s="203"/>
      <c r="W162" s="199">
        <f t="shared" ref="W162:X162" si="152">C162/100</f>
        <v>0</v>
      </c>
      <c r="X162" s="199">
        <f t="shared" si="152"/>
        <v>0</v>
      </c>
      <c r="Y162" s="199">
        <f t="shared" si="15"/>
        <v>0</v>
      </c>
      <c r="Z162" s="202">
        <f t="shared" si="16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201.0</v>
      </c>
      <c r="B163" s="193"/>
      <c r="C163" s="193"/>
      <c r="D163" s="193"/>
      <c r="E163" s="193"/>
      <c r="F163" s="193">
        <f t="shared" si="6"/>
        <v>0</v>
      </c>
      <c r="G163" s="193">
        <f t="shared" si="7"/>
        <v>0</v>
      </c>
      <c r="H163" s="194">
        <f t="shared" si="8"/>
        <v>0</v>
      </c>
      <c r="I163" s="193"/>
      <c r="J163" s="195">
        <f t="shared" si="9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10"/>
        <v>0</v>
      </c>
      <c r="T163" s="200" t="str">
        <f t="shared" si="11"/>
        <v/>
      </c>
      <c r="U163" s="200">
        <f t="shared" si="12"/>
        <v>0</v>
      </c>
      <c r="V163" s="203"/>
      <c r="W163" s="199">
        <f t="shared" ref="W163:X163" si="153">C163/100</f>
        <v>0</v>
      </c>
      <c r="X163" s="199">
        <f t="shared" si="153"/>
        <v>0</v>
      </c>
      <c r="Y163" s="199">
        <f t="shared" si="15"/>
        <v>0</v>
      </c>
      <c r="Z163" s="202">
        <f t="shared" si="16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202.0</v>
      </c>
      <c r="B164" s="193"/>
      <c r="C164" s="193"/>
      <c r="D164" s="193"/>
      <c r="E164" s="193"/>
      <c r="F164" s="193">
        <f t="shared" si="6"/>
        <v>0</v>
      </c>
      <c r="G164" s="193">
        <f t="shared" si="7"/>
        <v>0</v>
      </c>
      <c r="H164" s="194">
        <f t="shared" si="8"/>
        <v>0</v>
      </c>
      <c r="I164" s="193"/>
      <c r="J164" s="195">
        <f t="shared" si="9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10"/>
        <v>0</v>
      </c>
      <c r="T164" s="200" t="str">
        <f t="shared" si="11"/>
        <v/>
      </c>
      <c r="U164" s="200">
        <f t="shared" si="12"/>
        <v>0</v>
      </c>
      <c r="V164" s="203"/>
      <c r="W164" s="199">
        <f t="shared" ref="W164:X164" si="154">C164/100</f>
        <v>0</v>
      </c>
      <c r="X164" s="199">
        <f t="shared" si="154"/>
        <v>0</v>
      </c>
      <c r="Y164" s="199">
        <f t="shared" si="15"/>
        <v>0</v>
      </c>
      <c r="Z164" s="202">
        <f t="shared" si="16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203.0</v>
      </c>
      <c r="B165" s="193"/>
      <c r="C165" s="193"/>
      <c r="D165" s="193"/>
      <c r="E165" s="193"/>
      <c r="F165" s="193">
        <f t="shared" si="6"/>
        <v>0</v>
      </c>
      <c r="G165" s="193">
        <f t="shared" si="7"/>
        <v>0</v>
      </c>
      <c r="H165" s="194">
        <f t="shared" si="8"/>
        <v>0</v>
      </c>
      <c r="I165" s="193"/>
      <c r="J165" s="195">
        <f t="shared" si="9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10"/>
        <v>0</v>
      </c>
      <c r="T165" s="200" t="str">
        <f t="shared" si="11"/>
        <v/>
      </c>
      <c r="U165" s="200">
        <f t="shared" si="12"/>
        <v>0</v>
      </c>
      <c r="V165" s="203"/>
      <c r="W165" s="199">
        <f t="shared" ref="W165:X165" si="155">C165/100</f>
        <v>0</v>
      </c>
      <c r="X165" s="199">
        <f t="shared" si="155"/>
        <v>0</v>
      </c>
      <c r="Y165" s="199">
        <f t="shared" si="15"/>
        <v>0</v>
      </c>
      <c r="Z165" s="202">
        <f t="shared" si="16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204.0</v>
      </c>
      <c r="B166" s="193"/>
      <c r="C166" s="193"/>
      <c r="D166" s="193"/>
      <c r="E166" s="193"/>
      <c r="F166" s="193">
        <f t="shared" si="6"/>
        <v>0</v>
      </c>
      <c r="G166" s="193">
        <f t="shared" si="7"/>
        <v>0</v>
      </c>
      <c r="H166" s="194">
        <f t="shared" si="8"/>
        <v>0</v>
      </c>
      <c r="I166" s="193"/>
      <c r="J166" s="195">
        <f t="shared" si="9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10"/>
        <v>0</v>
      </c>
      <c r="T166" s="200" t="str">
        <f t="shared" si="11"/>
        <v/>
      </c>
      <c r="U166" s="200">
        <f t="shared" si="12"/>
        <v>0</v>
      </c>
      <c r="V166" s="203"/>
      <c r="W166" s="199">
        <f t="shared" ref="W166:X166" si="156">C166/100</f>
        <v>0</v>
      </c>
      <c r="X166" s="199">
        <f t="shared" si="156"/>
        <v>0</v>
      </c>
      <c r="Y166" s="199">
        <f t="shared" si="15"/>
        <v>0</v>
      </c>
      <c r="Z166" s="202">
        <f t="shared" si="16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205.0</v>
      </c>
      <c r="B167" s="193"/>
      <c r="C167" s="193"/>
      <c r="D167" s="193"/>
      <c r="E167" s="193"/>
      <c r="F167" s="193">
        <f t="shared" si="6"/>
        <v>0</v>
      </c>
      <c r="G167" s="193">
        <f t="shared" si="7"/>
        <v>0</v>
      </c>
      <c r="H167" s="194">
        <f t="shared" si="8"/>
        <v>0</v>
      </c>
      <c r="I167" s="193"/>
      <c r="J167" s="195">
        <f t="shared" si="9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10"/>
        <v>0</v>
      </c>
      <c r="T167" s="200" t="str">
        <f t="shared" si="11"/>
        <v/>
      </c>
      <c r="U167" s="200">
        <f t="shared" si="12"/>
        <v>0</v>
      </c>
      <c r="V167" s="203"/>
      <c r="W167" s="199">
        <f t="shared" ref="W167:X167" si="157">C167/100</f>
        <v>0</v>
      </c>
      <c r="X167" s="199">
        <f t="shared" si="157"/>
        <v>0</v>
      </c>
      <c r="Y167" s="199">
        <f t="shared" si="15"/>
        <v>0</v>
      </c>
      <c r="Z167" s="202">
        <f t="shared" si="16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206.0</v>
      </c>
      <c r="B168" s="193"/>
      <c r="C168" s="193"/>
      <c r="D168" s="193"/>
      <c r="E168" s="193"/>
      <c r="F168" s="193">
        <f t="shared" si="6"/>
        <v>0</v>
      </c>
      <c r="G168" s="193">
        <f t="shared" si="7"/>
        <v>0</v>
      </c>
      <c r="H168" s="194">
        <f t="shared" si="8"/>
        <v>0</v>
      </c>
      <c r="I168" s="193"/>
      <c r="J168" s="195">
        <f t="shared" si="9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10"/>
        <v>0</v>
      </c>
      <c r="T168" s="200" t="str">
        <f t="shared" si="11"/>
        <v/>
      </c>
      <c r="U168" s="200">
        <f t="shared" si="12"/>
        <v>0</v>
      </c>
      <c r="V168" s="203"/>
      <c r="W168" s="199">
        <f t="shared" ref="W168:X168" si="158">C168/100</f>
        <v>0</v>
      </c>
      <c r="X168" s="199">
        <f t="shared" si="158"/>
        <v>0</v>
      </c>
      <c r="Y168" s="199">
        <f t="shared" si="15"/>
        <v>0</v>
      </c>
      <c r="Z168" s="202">
        <f t="shared" si="16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207.0</v>
      </c>
      <c r="B169" s="193"/>
      <c r="C169" s="193"/>
      <c r="D169" s="193"/>
      <c r="E169" s="193"/>
      <c r="F169" s="193">
        <f t="shared" si="6"/>
        <v>0</v>
      </c>
      <c r="G169" s="193">
        <f t="shared" si="7"/>
        <v>0</v>
      </c>
      <c r="H169" s="194">
        <f t="shared" si="8"/>
        <v>0</v>
      </c>
      <c r="I169" s="193"/>
      <c r="J169" s="195">
        <f t="shared" si="9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10"/>
        <v>0</v>
      </c>
      <c r="T169" s="200" t="str">
        <f t="shared" si="11"/>
        <v/>
      </c>
      <c r="U169" s="200">
        <f t="shared" si="12"/>
        <v>0</v>
      </c>
      <c r="V169" s="203"/>
      <c r="W169" s="199">
        <f t="shared" ref="W169:X169" si="159">C169/100</f>
        <v>0</v>
      </c>
      <c r="X169" s="199">
        <f t="shared" si="159"/>
        <v>0</v>
      </c>
      <c r="Y169" s="199">
        <f t="shared" si="15"/>
        <v>0</v>
      </c>
      <c r="Z169" s="202">
        <f t="shared" si="16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208.0</v>
      </c>
      <c r="B170" s="193"/>
      <c r="C170" s="193"/>
      <c r="D170" s="193"/>
      <c r="E170" s="193"/>
      <c r="F170" s="193">
        <f t="shared" si="6"/>
        <v>0</v>
      </c>
      <c r="G170" s="193">
        <f t="shared" si="7"/>
        <v>0</v>
      </c>
      <c r="H170" s="194">
        <f t="shared" si="8"/>
        <v>0</v>
      </c>
      <c r="I170" s="193"/>
      <c r="J170" s="195">
        <f t="shared" si="9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10"/>
        <v>0</v>
      </c>
      <c r="T170" s="200" t="str">
        <f t="shared" si="11"/>
        <v/>
      </c>
      <c r="U170" s="200">
        <f t="shared" si="12"/>
        <v>0</v>
      </c>
      <c r="V170" s="203"/>
      <c r="W170" s="199">
        <f t="shared" ref="W170:X170" si="160">C170/100</f>
        <v>0</v>
      </c>
      <c r="X170" s="199">
        <f t="shared" si="160"/>
        <v>0</v>
      </c>
      <c r="Y170" s="199">
        <f t="shared" si="15"/>
        <v>0</v>
      </c>
      <c r="Z170" s="202">
        <f t="shared" si="16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209.0</v>
      </c>
      <c r="B171" s="193"/>
      <c r="C171" s="193"/>
      <c r="D171" s="193"/>
      <c r="E171" s="193"/>
      <c r="F171" s="193">
        <f t="shared" si="6"/>
        <v>0</v>
      </c>
      <c r="G171" s="193">
        <f t="shared" si="7"/>
        <v>0</v>
      </c>
      <c r="H171" s="194">
        <f t="shared" si="8"/>
        <v>0</v>
      </c>
      <c r="I171" s="193"/>
      <c r="J171" s="195">
        <f t="shared" si="9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10"/>
        <v>0</v>
      </c>
      <c r="T171" s="200" t="str">
        <f t="shared" si="11"/>
        <v/>
      </c>
      <c r="U171" s="200">
        <f t="shared" si="12"/>
        <v>0</v>
      </c>
      <c r="V171" s="203"/>
      <c r="W171" s="199">
        <f t="shared" ref="W171:X171" si="161">C171/100</f>
        <v>0</v>
      </c>
      <c r="X171" s="199">
        <f t="shared" si="161"/>
        <v>0</v>
      </c>
      <c r="Y171" s="199">
        <f t="shared" si="15"/>
        <v>0</v>
      </c>
      <c r="Z171" s="202">
        <f t="shared" si="16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210.0</v>
      </c>
      <c r="B172" s="193"/>
      <c r="C172" s="193"/>
      <c r="D172" s="193"/>
      <c r="E172" s="193"/>
      <c r="F172" s="193">
        <f t="shared" si="6"/>
        <v>0</v>
      </c>
      <c r="G172" s="193">
        <f t="shared" si="7"/>
        <v>0</v>
      </c>
      <c r="H172" s="194">
        <f t="shared" si="8"/>
        <v>0</v>
      </c>
      <c r="I172" s="193"/>
      <c r="J172" s="195">
        <f t="shared" si="9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10"/>
        <v>0</v>
      </c>
      <c r="T172" s="200" t="str">
        <f t="shared" si="11"/>
        <v/>
      </c>
      <c r="U172" s="200">
        <f t="shared" si="12"/>
        <v>0</v>
      </c>
      <c r="V172" s="203"/>
      <c r="W172" s="199">
        <f t="shared" ref="W172:X172" si="162">C172/100</f>
        <v>0</v>
      </c>
      <c r="X172" s="199">
        <f t="shared" si="162"/>
        <v>0</v>
      </c>
      <c r="Y172" s="199">
        <f t="shared" si="15"/>
        <v>0</v>
      </c>
      <c r="Z172" s="202">
        <f t="shared" si="16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211.0</v>
      </c>
      <c r="B173" s="193"/>
      <c r="C173" s="193"/>
      <c r="D173" s="193"/>
      <c r="E173" s="193"/>
      <c r="F173" s="193">
        <f t="shared" si="6"/>
        <v>0</v>
      </c>
      <c r="G173" s="193">
        <f t="shared" si="7"/>
        <v>0</v>
      </c>
      <c r="H173" s="194">
        <f t="shared" si="8"/>
        <v>0</v>
      </c>
      <c r="I173" s="193"/>
      <c r="J173" s="195">
        <f t="shared" si="9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10"/>
        <v>0</v>
      </c>
      <c r="T173" s="200" t="str">
        <f t="shared" si="11"/>
        <v/>
      </c>
      <c r="U173" s="200">
        <f t="shared" si="12"/>
        <v>0</v>
      </c>
      <c r="V173" s="203"/>
      <c r="W173" s="199">
        <f t="shared" ref="W173:X173" si="163">C173/100</f>
        <v>0</v>
      </c>
      <c r="X173" s="199">
        <f t="shared" si="163"/>
        <v>0</v>
      </c>
      <c r="Y173" s="199">
        <f t="shared" si="15"/>
        <v>0</v>
      </c>
      <c r="Z173" s="202">
        <f t="shared" si="16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212.0</v>
      </c>
      <c r="B174" s="193"/>
      <c r="C174" s="193"/>
      <c r="D174" s="193"/>
      <c r="E174" s="193"/>
      <c r="F174" s="193">
        <f t="shared" si="6"/>
        <v>0</v>
      </c>
      <c r="G174" s="193">
        <f t="shared" si="7"/>
        <v>0</v>
      </c>
      <c r="H174" s="194">
        <f t="shared" si="8"/>
        <v>0</v>
      </c>
      <c r="I174" s="193"/>
      <c r="J174" s="195">
        <f t="shared" si="9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10"/>
        <v>0</v>
      </c>
      <c r="T174" s="200" t="str">
        <f t="shared" si="11"/>
        <v/>
      </c>
      <c r="U174" s="200">
        <f t="shared" si="12"/>
        <v>0</v>
      </c>
      <c r="V174" s="203"/>
      <c r="W174" s="199">
        <f t="shared" ref="W174:X174" si="164">C174/100</f>
        <v>0</v>
      </c>
      <c r="X174" s="199">
        <f t="shared" si="164"/>
        <v>0</v>
      </c>
      <c r="Y174" s="199">
        <f t="shared" si="15"/>
        <v>0</v>
      </c>
      <c r="Z174" s="202">
        <f t="shared" si="16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213.0</v>
      </c>
      <c r="B175" s="193"/>
      <c r="C175" s="193"/>
      <c r="D175" s="193"/>
      <c r="E175" s="193"/>
      <c r="F175" s="193">
        <f t="shared" si="6"/>
        <v>0</v>
      </c>
      <c r="G175" s="193">
        <f t="shared" si="7"/>
        <v>0</v>
      </c>
      <c r="H175" s="194">
        <f t="shared" si="8"/>
        <v>0</v>
      </c>
      <c r="I175" s="193"/>
      <c r="J175" s="195">
        <f t="shared" si="9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10"/>
        <v>0</v>
      </c>
      <c r="T175" s="200" t="str">
        <f t="shared" si="11"/>
        <v/>
      </c>
      <c r="U175" s="200">
        <f t="shared" si="12"/>
        <v>0</v>
      </c>
      <c r="V175" s="203"/>
      <c r="W175" s="199">
        <f t="shared" ref="W175:X175" si="165">C175/100</f>
        <v>0</v>
      </c>
      <c r="X175" s="199">
        <f t="shared" si="165"/>
        <v>0</v>
      </c>
      <c r="Y175" s="199">
        <f t="shared" si="15"/>
        <v>0</v>
      </c>
      <c r="Z175" s="202">
        <f t="shared" si="16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214.0</v>
      </c>
      <c r="B176" s="193"/>
      <c r="C176" s="193"/>
      <c r="D176" s="193"/>
      <c r="E176" s="193"/>
      <c r="F176" s="193">
        <f t="shared" si="6"/>
        <v>0</v>
      </c>
      <c r="G176" s="193">
        <f t="shared" si="7"/>
        <v>0</v>
      </c>
      <c r="H176" s="194">
        <f t="shared" si="8"/>
        <v>0</v>
      </c>
      <c r="I176" s="193"/>
      <c r="J176" s="195">
        <f t="shared" si="9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10"/>
        <v>0</v>
      </c>
      <c r="T176" s="200" t="str">
        <f t="shared" si="11"/>
        <v/>
      </c>
      <c r="U176" s="200">
        <f t="shared" si="12"/>
        <v>0</v>
      </c>
      <c r="V176" s="203"/>
      <c r="W176" s="199">
        <f t="shared" ref="W176:X176" si="166">C176/100</f>
        <v>0</v>
      </c>
      <c r="X176" s="199">
        <f t="shared" si="166"/>
        <v>0</v>
      </c>
      <c r="Y176" s="199">
        <f t="shared" si="15"/>
        <v>0</v>
      </c>
      <c r="Z176" s="202">
        <f t="shared" si="16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215.0</v>
      </c>
      <c r="B177" s="193"/>
      <c r="C177" s="193"/>
      <c r="D177" s="193"/>
      <c r="E177" s="193"/>
      <c r="F177" s="193">
        <f t="shared" si="6"/>
        <v>0</v>
      </c>
      <c r="G177" s="193">
        <f t="shared" si="7"/>
        <v>0</v>
      </c>
      <c r="H177" s="194">
        <f t="shared" si="8"/>
        <v>0</v>
      </c>
      <c r="I177" s="193"/>
      <c r="J177" s="195">
        <f t="shared" si="9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10"/>
        <v>0</v>
      </c>
      <c r="T177" s="200" t="str">
        <f t="shared" si="11"/>
        <v/>
      </c>
      <c r="U177" s="200">
        <f t="shared" si="12"/>
        <v>0</v>
      </c>
      <c r="V177" s="203"/>
      <c r="W177" s="199">
        <f t="shared" ref="W177:X177" si="167">C177/100</f>
        <v>0</v>
      </c>
      <c r="X177" s="199">
        <f t="shared" si="167"/>
        <v>0</v>
      </c>
      <c r="Y177" s="199">
        <f t="shared" si="15"/>
        <v>0</v>
      </c>
      <c r="Z177" s="202">
        <f t="shared" si="16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216.0</v>
      </c>
      <c r="B178" s="193"/>
      <c r="C178" s="193"/>
      <c r="D178" s="193"/>
      <c r="E178" s="193"/>
      <c r="F178" s="193">
        <f t="shared" si="6"/>
        <v>0</v>
      </c>
      <c r="G178" s="193">
        <f t="shared" si="7"/>
        <v>0</v>
      </c>
      <c r="H178" s="194">
        <f t="shared" si="8"/>
        <v>0</v>
      </c>
      <c r="I178" s="193"/>
      <c r="J178" s="195">
        <f t="shared" si="9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10"/>
        <v>0</v>
      </c>
      <c r="T178" s="200" t="str">
        <f t="shared" si="11"/>
        <v/>
      </c>
      <c r="U178" s="200">
        <f t="shared" si="12"/>
        <v>0</v>
      </c>
      <c r="V178" s="203"/>
      <c r="W178" s="199">
        <f t="shared" ref="W178:X178" si="168">C178/100</f>
        <v>0</v>
      </c>
      <c r="X178" s="199">
        <f t="shared" si="168"/>
        <v>0</v>
      </c>
      <c r="Y178" s="199">
        <f t="shared" si="15"/>
        <v>0</v>
      </c>
      <c r="Z178" s="202">
        <f t="shared" si="16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217.0</v>
      </c>
      <c r="B179" s="193"/>
      <c r="C179" s="193"/>
      <c r="D179" s="193"/>
      <c r="E179" s="193"/>
      <c r="F179" s="193">
        <f t="shared" si="6"/>
        <v>0</v>
      </c>
      <c r="G179" s="193">
        <f t="shared" si="7"/>
        <v>0</v>
      </c>
      <c r="H179" s="194">
        <f t="shared" si="8"/>
        <v>0</v>
      </c>
      <c r="I179" s="193"/>
      <c r="J179" s="195">
        <f t="shared" si="9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10"/>
        <v>0</v>
      </c>
      <c r="T179" s="200" t="str">
        <f t="shared" si="11"/>
        <v/>
      </c>
      <c r="U179" s="200">
        <f t="shared" si="12"/>
        <v>0</v>
      </c>
      <c r="V179" s="203"/>
      <c r="W179" s="199">
        <f t="shared" ref="W179:X179" si="169">C179/100</f>
        <v>0</v>
      </c>
      <c r="X179" s="199">
        <f t="shared" si="169"/>
        <v>0</v>
      </c>
      <c r="Y179" s="199">
        <f t="shared" si="15"/>
        <v>0</v>
      </c>
      <c r="Z179" s="202">
        <f t="shared" si="16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customHeight="1">
      <c r="A180" s="162"/>
      <c r="B180" s="178"/>
      <c r="C180" s="178"/>
      <c r="D180" s="178"/>
      <c r="E180" s="178"/>
      <c r="F180" s="178"/>
      <c r="G180" s="178"/>
      <c r="H180" s="181"/>
      <c r="I180" s="162"/>
      <c r="J180" s="204">
        <f>+Q233</f>
        <v>78.4</v>
      </c>
      <c r="K180" s="139"/>
      <c r="L180" s="139"/>
      <c r="M180" s="139"/>
      <c r="N180" s="139"/>
      <c r="O180" s="139"/>
      <c r="P180" s="139"/>
      <c r="Q180" s="139"/>
      <c r="R180" s="205"/>
      <c r="S180" s="199">
        <f t="shared" si="10"/>
        <v>0</v>
      </c>
      <c r="T180" s="200" t="str">
        <f t="shared" si="11"/>
        <v/>
      </c>
      <c r="U180" s="200">
        <f t="shared" si="12"/>
        <v>0</v>
      </c>
      <c r="V180" s="203"/>
      <c r="W180" s="199">
        <f t="shared" ref="W180:X180" si="170">C180/100</f>
        <v>0</v>
      </c>
      <c r="X180" s="199">
        <f t="shared" si="170"/>
        <v>0</v>
      </c>
      <c r="Y180" s="199">
        <f t="shared" si="15"/>
        <v>0</v>
      </c>
      <c r="Z180" s="202">
        <f t="shared" si="16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customHeight="1">
      <c r="A181" s="162"/>
      <c r="B181" s="206"/>
      <c r="C181" s="206"/>
      <c r="D181" s="206"/>
      <c r="E181" s="206"/>
      <c r="F181" s="206"/>
      <c r="G181" s="206"/>
      <c r="H181" s="207"/>
      <c r="I181" s="208">
        <f>SUM(I28:I179)</f>
        <v>35</v>
      </c>
      <c r="J181" s="209">
        <f>SUM(J28:J180)</f>
        <v>42406.0933</v>
      </c>
      <c r="K181" s="210"/>
      <c r="L181" s="210"/>
      <c r="M181" s="210"/>
      <c r="N181" s="210"/>
      <c r="O181" s="210"/>
      <c r="P181" s="210"/>
      <c r="Q181" s="210"/>
      <c r="R181" s="141"/>
      <c r="S181" s="210">
        <f>SUMIFS($T$28:$T$179,$S$28:$S$179,"&gt;=3")</f>
        <v>25</v>
      </c>
      <c r="T181" s="210">
        <f t="shared" ref="T181:U181" si="171">SUM(T28:T179)</f>
        <v>35</v>
      </c>
      <c r="U181" s="210">
        <f t="shared" si="171"/>
        <v>723.88</v>
      </c>
      <c r="V181" s="210"/>
      <c r="W181" s="210"/>
      <c r="X181" s="210"/>
      <c r="Y181" s="210"/>
      <c r="Z181" s="211">
        <f>SUM(Z28:Z180)</f>
        <v>1437.920986</v>
      </c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203"/>
      <c r="T182" s="139">
        <f>+T181-S181</f>
        <v>10</v>
      </c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205"/>
      <c r="S183" s="139"/>
      <c r="T183" s="139" t="s">
        <v>48</v>
      </c>
      <c r="U183" s="139" t="s">
        <v>68</v>
      </c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9.25" customHeight="1">
      <c r="A184" s="139"/>
      <c r="B184" s="139"/>
      <c r="C184" s="139"/>
      <c r="D184" s="139"/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139" t="s">
        <v>31</v>
      </c>
      <c r="T184" s="210">
        <f>SUMIFS($J$28:$J$179,$S$28:$S$179,"&gt;=3")</f>
        <v>41442.91043</v>
      </c>
      <c r="U184" s="213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9.25" customHeight="1">
      <c r="A185" s="139" t="s">
        <v>32</v>
      </c>
      <c r="B185" s="139"/>
      <c r="C185" s="139"/>
      <c r="D185" s="139" t="s">
        <v>33</v>
      </c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141"/>
      <c r="S185" s="139" t="s">
        <v>34</v>
      </c>
      <c r="T185" s="266">
        <f>J181-T184</f>
        <v>963.1828737</v>
      </c>
      <c r="U185" s="210">
        <f>+SUMIFS($U$28:$U$179,$S$28:$S$179,"&gt;=3")</f>
        <v>705.56</v>
      </c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9.2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05"/>
      <c r="S186" s="139"/>
      <c r="T186" s="214">
        <f>+I181</f>
        <v>35</v>
      </c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39.0" customHeight="1">
      <c r="A187" s="178"/>
      <c r="B187" s="162" t="s">
        <v>12</v>
      </c>
      <c r="C187" s="179" t="s">
        <v>69</v>
      </c>
      <c r="D187" s="52"/>
      <c r="E187" s="53"/>
      <c r="F187" s="180"/>
      <c r="G187" s="180"/>
      <c r="H187" s="181" t="s">
        <v>14</v>
      </c>
      <c r="I187" s="162" t="s">
        <v>15</v>
      </c>
      <c r="J187" s="162" t="s">
        <v>16</v>
      </c>
      <c r="K187" s="139"/>
      <c r="L187" s="139"/>
      <c r="M187" s="139"/>
      <c r="N187" s="139"/>
      <c r="O187" s="139"/>
      <c r="P187" s="139"/>
      <c r="Q187" s="139"/>
      <c r="R187" s="141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customHeight="1">
      <c r="A188" s="155">
        <v>1.0</v>
      </c>
      <c r="B188" s="215" t="s">
        <v>63</v>
      </c>
      <c r="C188" s="215">
        <v>94.0</v>
      </c>
      <c r="D188" s="215">
        <v>203.0</v>
      </c>
      <c r="E188" s="215">
        <v>163.0</v>
      </c>
      <c r="F188" s="215">
        <f t="shared" ref="F188:F201" si="172">1-VALUE(IF(RIGHT(B188, 1)="%", RIGHT(B188, 3), 0))</f>
        <v>0.2</v>
      </c>
      <c r="G188" s="215">
        <f t="shared" ref="G188:G201" si="173">+Q188*C188/100*D188/100*E188/100</f>
        <v>0</v>
      </c>
      <c r="H188" s="216">
        <f t="shared" ref="H188:H201" si="174">IF(F188=0, G188, F188*G188)</f>
        <v>0</v>
      </c>
      <c r="I188" s="215">
        <v>1.0</v>
      </c>
      <c r="J188" s="217">
        <v>93.31098</v>
      </c>
      <c r="K188" s="139"/>
      <c r="L188" s="178">
        <f t="shared" ref="L188:L196" si="175">D188*25.4/1000</f>
        <v>5.1562</v>
      </c>
      <c r="M188" s="162">
        <f t="shared" ref="M188:M192" si="176">+I188</f>
        <v>1</v>
      </c>
      <c r="N188" s="162">
        <f t="shared" ref="N188:N192" si="177">M188*L188</f>
        <v>5.1562</v>
      </c>
      <c r="O188" s="139"/>
      <c r="P188" s="139"/>
      <c r="Q188" s="139"/>
      <c r="R188" s="141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customHeight="1">
      <c r="A189" s="155">
        <v>2.0</v>
      </c>
      <c r="B189" s="215" t="s">
        <v>63</v>
      </c>
      <c r="C189" s="215">
        <v>81.0</v>
      </c>
      <c r="D189" s="215">
        <v>203.0</v>
      </c>
      <c r="E189" s="215">
        <v>175.0</v>
      </c>
      <c r="F189" s="215">
        <f t="shared" si="172"/>
        <v>0.2</v>
      </c>
      <c r="G189" s="215">
        <f t="shared" si="173"/>
        <v>0</v>
      </c>
      <c r="H189" s="216">
        <f t="shared" si="174"/>
        <v>0</v>
      </c>
      <c r="I189" s="215">
        <v>1.0</v>
      </c>
      <c r="J189" s="217">
        <v>86.32575000000001</v>
      </c>
      <c r="K189" s="139"/>
      <c r="L189" s="178">
        <f t="shared" si="175"/>
        <v>5.1562</v>
      </c>
      <c r="M189" s="162">
        <f t="shared" si="176"/>
        <v>1</v>
      </c>
      <c r="N189" s="162">
        <f t="shared" si="177"/>
        <v>5.1562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7.0" customHeight="1">
      <c r="A190" s="155">
        <v>3.0</v>
      </c>
      <c r="B190" s="218" t="s">
        <v>121</v>
      </c>
      <c r="C190" s="218">
        <v>98.0</v>
      </c>
      <c r="D190" s="218">
        <v>203.0</v>
      </c>
      <c r="E190" s="218">
        <v>152.0</v>
      </c>
      <c r="F190" s="218">
        <f t="shared" si="172"/>
        <v>0.5</v>
      </c>
      <c r="G190" s="218">
        <f t="shared" si="173"/>
        <v>0</v>
      </c>
      <c r="H190" s="219">
        <f t="shared" si="174"/>
        <v>0</v>
      </c>
      <c r="I190" s="218">
        <v>1.0</v>
      </c>
      <c r="J190" s="195">
        <v>89.204696</v>
      </c>
      <c r="K190" s="139"/>
      <c r="L190" s="178">
        <f t="shared" si="175"/>
        <v>5.1562</v>
      </c>
      <c r="M190" s="162">
        <f t="shared" si="176"/>
        <v>1</v>
      </c>
      <c r="N190" s="162">
        <f t="shared" si="177"/>
        <v>5.1562</v>
      </c>
      <c r="O190" s="139"/>
      <c r="P190" s="139"/>
      <c r="Q190" s="139"/>
      <c r="R190" s="139"/>
      <c r="S190" s="220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customHeight="1">
      <c r="A191" s="155">
        <v>4.0</v>
      </c>
      <c r="B191" s="218" t="s">
        <v>63</v>
      </c>
      <c r="C191" s="218">
        <v>88.0</v>
      </c>
      <c r="D191" s="218">
        <v>196.0</v>
      </c>
      <c r="E191" s="218">
        <v>179.0</v>
      </c>
      <c r="F191" s="218">
        <f t="shared" si="172"/>
        <v>0.2</v>
      </c>
      <c r="G191" s="218">
        <f t="shared" si="173"/>
        <v>0</v>
      </c>
      <c r="H191" s="219">
        <f t="shared" si="174"/>
        <v>0</v>
      </c>
      <c r="I191" s="218">
        <v>1.0</v>
      </c>
      <c r="J191" s="195">
        <v>91.078064</v>
      </c>
      <c r="K191" s="139"/>
      <c r="L191" s="178">
        <f t="shared" si="175"/>
        <v>4.9784</v>
      </c>
      <c r="M191" s="162">
        <f t="shared" si="176"/>
        <v>1</v>
      </c>
      <c r="N191" s="162">
        <f t="shared" si="177"/>
        <v>4.9784</v>
      </c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customHeight="1">
      <c r="A192" s="155">
        <v>5.0</v>
      </c>
      <c r="B192" s="218" t="s">
        <v>122</v>
      </c>
      <c r="C192" s="218">
        <v>83.0</v>
      </c>
      <c r="D192" s="218">
        <v>199.0</v>
      </c>
      <c r="E192" s="218">
        <v>188.0</v>
      </c>
      <c r="F192" s="218">
        <f t="shared" si="172"/>
        <v>0.2</v>
      </c>
      <c r="G192" s="218">
        <f t="shared" si="173"/>
        <v>0</v>
      </c>
      <c r="H192" s="219">
        <f t="shared" si="174"/>
        <v>0</v>
      </c>
      <c r="I192" s="218">
        <v>1.0</v>
      </c>
      <c r="J192" s="195">
        <v>85.39289000000001</v>
      </c>
      <c r="K192" s="139"/>
      <c r="L192" s="178">
        <f t="shared" si="175"/>
        <v>5.0546</v>
      </c>
      <c r="M192" s="162">
        <f t="shared" si="176"/>
        <v>1</v>
      </c>
      <c r="N192" s="162">
        <f t="shared" si="177"/>
        <v>5.0546</v>
      </c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hidden="1" customHeight="1">
      <c r="A193" s="155">
        <v>6.0</v>
      </c>
      <c r="B193" s="218"/>
      <c r="C193" s="218"/>
      <c r="D193" s="218"/>
      <c r="E193" s="218"/>
      <c r="F193" s="218">
        <f t="shared" si="172"/>
        <v>1</v>
      </c>
      <c r="G193" s="218">
        <f t="shared" si="173"/>
        <v>0</v>
      </c>
      <c r="H193" s="219">
        <f t="shared" si="174"/>
        <v>0</v>
      </c>
      <c r="I193" s="218"/>
      <c r="J193" s="195">
        <f t="shared" ref="J193:J201" si="178">+I193*H193</f>
        <v>0</v>
      </c>
      <c r="K193" s="139"/>
      <c r="L193" s="139">
        <f t="shared" si="175"/>
        <v>0</v>
      </c>
      <c r="M193" s="221"/>
      <c r="N193" s="221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hidden="1" customHeight="1">
      <c r="A194" s="155">
        <v>7.0</v>
      </c>
      <c r="B194" s="218"/>
      <c r="C194" s="218"/>
      <c r="D194" s="218"/>
      <c r="E194" s="218"/>
      <c r="F194" s="218">
        <f t="shared" si="172"/>
        <v>1</v>
      </c>
      <c r="G194" s="218">
        <f t="shared" si="173"/>
        <v>0</v>
      </c>
      <c r="H194" s="219">
        <f t="shared" si="174"/>
        <v>0</v>
      </c>
      <c r="I194" s="218"/>
      <c r="J194" s="195">
        <f t="shared" si="178"/>
        <v>0</v>
      </c>
      <c r="K194" s="139"/>
      <c r="L194" s="139">
        <f t="shared" si="175"/>
        <v>0</v>
      </c>
      <c r="M194" s="221"/>
      <c r="N194" s="221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hidden="1" customHeight="1">
      <c r="A195" s="155">
        <v>8.0</v>
      </c>
      <c r="B195" s="218"/>
      <c r="C195" s="218"/>
      <c r="D195" s="218"/>
      <c r="E195" s="218"/>
      <c r="F195" s="218">
        <f t="shared" si="172"/>
        <v>1</v>
      </c>
      <c r="G195" s="218">
        <f t="shared" si="173"/>
        <v>0</v>
      </c>
      <c r="H195" s="219">
        <f t="shared" si="174"/>
        <v>0</v>
      </c>
      <c r="I195" s="218"/>
      <c r="J195" s="195">
        <f t="shared" si="178"/>
        <v>0</v>
      </c>
      <c r="K195" s="139"/>
      <c r="L195" s="139">
        <f t="shared" si="175"/>
        <v>0</v>
      </c>
      <c r="M195" s="221"/>
      <c r="N195" s="221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hidden="1" customHeight="1">
      <c r="A196" s="155">
        <v>9.0</v>
      </c>
      <c r="B196" s="218"/>
      <c r="C196" s="218"/>
      <c r="D196" s="218"/>
      <c r="E196" s="218"/>
      <c r="F196" s="218">
        <f t="shared" si="172"/>
        <v>1</v>
      </c>
      <c r="G196" s="218">
        <f t="shared" si="173"/>
        <v>0</v>
      </c>
      <c r="H196" s="219">
        <f t="shared" si="174"/>
        <v>0</v>
      </c>
      <c r="I196" s="218"/>
      <c r="J196" s="195">
        <f t="shared" si="178"/>
        <v>0</v>
      </c>
      <c r="K196" s="139"/>
      <c r="L196" s="139">
        <f t="shared" si="175"/>
        <v>0</v>
      </c>
      <c r="M196" s="221"/>
      <c r="N196" s="221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hidden="1" customHeight="1">
      <c r="A197" s="155">
        <v>10.0</v>
      </c>
      <c r="B197" s="193"/>
      <c r="C197" s="193"/>
      <c r="D197" s="193"/>
      <c r="E197" s="193"/>
      <c r="F197" s="193">
        <f t="shared" si="172"/>
        <v>1</v>
      </c>
      <c r="G197" s="193">
        <f t="shared" si="173"/>
        <v>0</v>
      </c>
      <c r="H197" s="194">
        <f t="shared" si="174"/>
        <v>0</v>
      </c>
      <c r="I197" s="193"/>
      <c r="J197" s="195">
        <f t="shared" si="178"/>
        <v>0</v>
      </c>
      <c r="K197" s="139"/>
      <c r="L197" s="139"/>
      <c r="M197" s="221"/>
      <c r="N197" s="221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55">
        <v>11.0</v>
      </c>
      <c r="B198" s="193"/>
      <c r="C198" s="193"/>
      <c r="D198" s="193"/>
      <c r="E198" s="193"/>
      <c r="F198" s="193">
        <f t="shared" si="172"/>
        <v>1</v>
      </c>
      <c r="G198" s="193">
        <f t="shared" si="173"/>
        <v>0</v>
      </c>
      <c r="H198" s="194">
        <f t="shared" si="174"/>
        <v>0</v>
      </c>
      <c r="I198" s="193"/>
      <c r="J198" s="195">
        <f t="shared" si="178"/>
        <v>0</v>
      </c>
      <c r="K198" s="139"/>
      <c r="L198" s="139"/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55">
        <v>12.0</v>
      </c>
      <c r="B199" s="193"/>
      <c r="C199" s="193"/>
      <c r="D199" s="193"/>
      <c r="E199" s="193"/>
      <c r="F199" s="193">
        <f t="shared" si="172"/>
        <v>1</v>
      </c>
      <c r="G199" s="193">
        <f t="shared" si="173"/>
        <v>0</v>
      </c>
      <c r="H199" s="194">
        <f t="shared" si="174"/>
        <v>0</v>
      </c>
      <c r="I199" s="193"/>
      <c r="J199" s="195">
        <f t="shared" si="178"/>
        <v>0</v>
      </c>
      <c r="K199" s="139"/>
      <c r="L199" s="139"/>
      <c r="M199" s="221"/>
      <c r="N199" s="221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55">
        <v>13.0</v>
      </c>
      <c r="B200" s="193"/>
      <c r="C200" s="193"/>
      <c r="D200" s="193"/>
      <c r="E200" s="193"/>
      <c r="F200" s="193">
        <f t="shared" si="172"/>
        <v>1</v>
      </c>
      <c r="G200" s="193">
        <f t="shared" si="173"/>
        <v>0</v>
      </c>
      <c r="H200" s="194">
        <f t="shared" si="174"/>
        <v>0</v>
      </c>
      <c r="I200" s="193"/>
      <c r="J200" s="195">
        <f t="shared" si="178"/>
        <v>0</v>
      </c>
      <c r="K200" s="139"/>
      <c r="L200" s="139"/>
      <c r="M200" s="221"/>
      <c r="N200" s="221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5">
        <v>14.0</v>
      </c>
      <c r="B201" s="193"/>
      <c r="C201" s="193"/>
      <c r="D201" s="193"/>
      <c r="E201" s="193"/>
      <c r="F201" s="193">
        <f t="shared" si="172"/>
        <v>1</v>
      </c>
      <c r="G201" s="193">
        <f t="shared" si="173"/>
        <v>0</v>
      </c>
      <c r="H201" s="194">
        <f t="shared" si="174"/>
        <v>0</v>
      </c>
      <c r="I201" s="193"/>
      <c r="J201" s="195">
        <f t="shared" si="178"/>
        <v>0</v>
      </c>
      <c r="K201" s="139"/>
      <c r="L201" s="139"/>
      <c r="M201" s="221"/>
      <c r="N201" s="221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4.75" customHeight="1">
      <c r="A202" s="162"/>
      <c r="B202" s="197"/>
      <c r="C202" s="197"/>
      <c r="D202" s="197"/>
      <c r="E202" s="197"/>
      <c r="F202" s="197"/>
      <c r="G202" s="197"/>
      <c r="H202" s="222" t="s">
        <v>38</v>
      </c>
      <c r="I202" s="197"/>
      <c r="J202" s="223">
        <f>SUM(J188:J201)</f>
        <v>445.31238</v>
      </c>
      <c r="K202" s="139"/>
      <c r="L202" s="139"/>
      <c r="M202" s="139"/>
      <c r="N202" s="139"/>
      <c r="O202" s="139"/>
      <c r="P202" s="139"/>
      <c r="Q202" s="139"/>
      <c r="R202" s="141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18.75" customHeight="1">
      <c r="A203" s="176"/>
      <c r="B203" s="144"/>
      <c r="C203" s="144"/>
      <c r="D203" s="144"/>
      <c r="E203" s="144"/>
      <c r="F203" s="144"/>
      <c r="G203" s="144"/>
      <c r="H203" s="145"/>
      <c r="I203" s="144"/>
      <c r="J203" s="177"/>
      <c r="K203" s="139"/>
      <c r="L203" s="139"/>
      <c r="M203" s="139"/>
      <c r="N203" s="139"/>
      <c r="O203" s="139"/>
      <c r="P203" s="139"/>
      <c r="Q203" s="139"/>
      <c r="R203" s="141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141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18.7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4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8.75" customHeight="1">
      <c r="A206" s="139" t="s">
        <v>39</v>
      </c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224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42.0" customHeight="1">
      <c r="A208" s="178"/>
      <c r="B208" s="162" t="s">
        <v>12</v>
      </c>
      <c r="C208" s="179" t="s">
        <v>75</v>
      </c>
      <c r="D208" s="52"/>
      <c r="E208" s="53"/>
      <c r="F208" s="225"/>
      <c r="G208" s="225"/>
      <c r="H208" s="181" t="s">
        <v>14</v>
      </c>
      <c r="I208" s="226" t="s">
        <v>15</v>
      </c>
      <c r="J208" s="162" t="s">
        <v>16</v>
      </c>
      <c r="K208" s="139"/>
      <c r="L208" s="139"/>
      <c r="M208" s="139"/>
      <c r="N208" s="139"/>
      <c r="O208" s="139"/>
      <c r="P208" s="139"/>
      <c r="Q208" s="139"/>
      <c r="R208" s="224"/>
      <c r="S208" s="224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4.75" customHeight="1">
      <c r="A209" s="162">
        <v>1.0</v>
      </c>
      <c r="B209" s="183" t="s">
        <v>55</v>
      </c>
      <c r="C209" s="200"/>
      <c r="D209" s="200"/>
      <c r="E209" s="200"/>
      <c r="F209" s="200"/>
      <c r="G209" s="200"/>
      <c r="H209" s="227">
        <v>27.0</v>
      </c>
      <c r="I209" s="200">
        <v>1.0</v>
      </c>
      <c r="J209" s="195">
        <f t="shared" ref="J209:J231" si="179">+I209*H209</f>
        <v>27</v>
      </c>
      <c r="K209" s="178"/>
      <c r="L209" s="178"/>
      <c r="M209" s="178"/>
      <c r="N209" s="178"/>
      <c r="O209" s="178"/>
      <c r="P209" s="178"/>
      <c r="Q209" s="228"/>
      <c r="R209" s="224"/>
      <c r="S209" s="224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78"/>
      <c r="AF209" s="178"/>
      <c r="AG209" s="178"/>
      <c r="AH209" s="178"/>
      <c r="AI209" s="178"/>
      <c r="AJ209" s="178"/>
      <c r="AK209" s="178"/>
    </row>
    <row r="210" ht="24.75" customHeight="1">
      <c r="A210" s="162">
        <v>2.0</v>
      </c>
      <c r="B210" s="193" t="s">
        <v>55</v>
      </c>
      <c r="C210" s="200"/>
      <c r="D210" s="200"/>
      <c r="E210" s="200"/>
      <c r="F210" s="200"/>
      <c r="G210" s="200"/>
      <c r="H210" s="227">
        <v>11.0</v>
      </c>
      <c r="I210" s="200">
        <v>1.0</v>
      </c>
      <c r="J210" s="195">
        <f t="shared" si="179"/>
        <v>11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78"/>
      <c r="AF210" s="178"/>
      <c r="AG210" s="178"/>
      <c r="AH210" s="178"/>
      <c r="AI210" s="178"/>
      <c r="AJ210" s="178"/>
      <c r="AK210" s="178"/>
    </row>
    <row r="211" ht="24.75" customHeight="1">
      <c r="A211" s="162">
        <v>3.0</v>
      </c>
      <c r="B211" s="183" t="s">
        <v>55</v>
      </c>
      <c r="C211" s="200"/>
      <c r="D211" s="200"/>
      <c r="E211" s="200"/>
      <c r="F211" s="200"/>
      <c r="G211" s="200"/>
      <c r="H211" s="227">
        <v>34.0</v>
      </c>
      <c r="I211" s="200">
        <v>1.0</v>
      </c>
      <c r="J211" s="195">
        <f t="shared" si="179"/>
        <v>34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78"/>
      <c r="AF211" s="178"/>
      <c r="AG211" s="178"/>
      <c r="AH211" s="178"/>
      <c r="AI211" s="178"/>
      <c r="AJ211" s="178"/>
      <c r="AK211" s="178"/>
    </row>
    <row r="212" ht="24.75" customHeight="1">
      <c r="A212" s="162">
        <v>4.0</v>
      </c>
      <c r="B212" s="193" t="s">
        <v>57</v>
      </c>
      <c r="C212" s="200"/>
      <c r="D212" s="200"/>
      <c r="E212" s="200"/>
      <c r="F212" s="200"/>
      <c r="G212" s="200"/>
      <c r="H212" s="227">
        <v>17.0</v>
      </c>
      <c r="I212" s="200">
        <v>1.0</v>
      </c>
      <c r="J212" s="195">
        <f t="shared" si="179"/>
        <v>17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78"/>
      <c r="AF212" s="178"/>
      <c r="AG212" s="178"/>
      <c r="AH212" s="178"/>
      <c r="AI212" s="178"/>
      <c r="AJ212" s="178"/>
      <c r="AK212" s="178"/>
    </row>
    <row r="213" ht="24.75" customHeight="1">
      <c r="A213" s="162">
        <v>5.0</v>
      </c>
      <c r="B213" s="183" t="s">
        <v>55</v>
      </c>
      <c r="C213" s="200"/>
      <c r="D213" s="200"/>
      <c r="E213" s="200"/>
      <c r="F213" s="200"/>
      <c r="G213" s="200"/>
      <c r="H213" s="227">
        <v>27.0</v>
      </c>
      <c r="I213" s="200">
        <v>1.0</v>
      </c>
      <c r="J213" s="195">
        <f t="shared" si="179"/>
        <v>27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78"/>
      <c r="AF213" s="178"/>
      <c r="AG213" s="178"/>
      <c r="AH213" s="178"/>
      <c r="AI213" s="178"/>
      <c r="AJ213" s="178"/>
      <c r="AK213" s="178"/>
    </row>
    <row r="214" ht="24.75" customHeight="1">
      <c r="A214" s="162">
        <v>6.0</v>
      </c>
      <c r="B214" s="193" t="s">
        <v>55</v>
      </c>
      <c r="C214" s="200"/>
      <c r="D214" s="200"/>
      <c r="E214" s="200"/>
      <c r="F214" s="200"/>
      <c r="G214" s="200"/>
      <c r="H214" s="227">
        <v>25.0</v>
      </c>
      <c r="I214" s="200">
        <v>1.0</v>
      </c>
      <c r="J214" s="195">
        <f t="shared" si="179"/>
        <v>25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8"/>
      <c r="AF214" s="178"/>
      <c r="AG214" s="178"/>
      <c r="AH214" s="178"/>
      <c r="AI214" s="178"/>
      <c r="AJ214" s="178"/>
      <c r="AK214" s="178"/>
    </row>
    <row r="215" ht="24.75" customHeight="1">
      <c r="A215" s="162">
        <v>7.0</v>
      </c>
      <c r="B215" s="183" t="s">
        <v>119</v>
      </c>
      <c r="C215" s="200"/>
      <c r="D215" s="200"/>
      <c r="E215" s="200"/>
      <c r="F215" s="200"/>
      <c r="G215" s="200"/>
      <c r="H215" s="227">
        <v>29.0</v>
      </c>
      <c r="I215" s="200">
        <v>1.0</v>
      </c>
      <c r="J215" s="195">
        <f t="shared" si="179"/>
        <v>29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8"/>
      <c r="AF215" s="178"/>
      <c r="AG215" s="178"/>
      <c r="AH215" s="178"/>
      <c r="AI215" s="178"/>
      <c r="AJ215" s="178"/>
      <c r="AK215" s="178"/>
    </row>
    <row r="216" ht="24.75" customHeight="1">
      <c r="A216" s="162">
        <v>8.0</v>
      </c>
      <c r="B216" s="193" t="s">
        <v>119</v>
      </c>
      <c r="C216" s="200"/>
      <c r="D216" s="200"/>
      <c r="E216" s="200"/>
      <c r="F216" s="200"/>
      <c r="G216" s="200"/>
      <c r="H216" s="227">
        <v>26.0</v>
      </c>
      <c r="I216" s="200">
        <v>1.0</v>
      </c>
      <c r="J216" s="195">
        <f t="shared" si="179"/>
        <v>26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8"/>
      <c r="AF216" s="178"/>
      <c r="AG216" s="178"/>
      <c r="AH216" s="178"/>
      <c r="AI216" s="178"/>
      <c r="AJ216" s="178"/>
      <c r="AK216" s="178"/>
    </row>
    <row r="217" ht="24.75" hidden="1" customHeight="1">
      <c r="A217" s="162">
        <v>21.0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79"/>
        <v>0</v>
      </c>
      <c r="K217" s="178"/>
      <c r="L217" s="178"/>
      <c r="M217" s="178"/>
      <c r="N217" s="178"/>
      <c r="O217" s="178"/>
      <c r="P217" s="178"/>
      <c r="Q217" s="228"/>
      <c r="R217" s="224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8"/>
      <c r="AF217" s="178"/>
      <c r="AG217" s="178"/>
      <c r="AH217" s="178"/>
      <c r="AI217" s="178"/>
      <c r="AJ217" s="178"/>
      <c r="AK217" s="178"/>
    </row>
    <row r="218" ht="24.75" hidden="1" customHeight="1">
      <c r="A218" s="162">
        <v>22.0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79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8"/>
      <c r="AF218" s="178"/>
      <c r="AG218" s="178"/>
      <c r="AH218" s="178"/>
      <c r="AI218" s="178"/>
      <c r="AJ218" s="178"/>
      <c r="AK218" s="178"/>
    </row>
    <row r="219" ht="24.75" hidden="1" customHeight="1">
      <c r="A219" s="162">
        <v>23.0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79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8"/>
      <c r="AF219" s="178"/>
      <c r="AG219" s="178"/>
      <c r="AH219" s="178"/>
      <c r="AI219" s="178"/>
      <c r="AJ219" s="178"/>
      <c r="AK219" s="178"/>
    </row>
    <row r="220" ht="24.75" hidden="1" customHeight="1">
      <c r="A220" s="162">
        <v>24.0</v>
      </c>
      <c r="B220" s="229"/>
      <c r="C220" s="200"/>
      <c r="D220" s="200"/>
      <c r="E220" s="200"/>
      <c r="F220" s="200"/>
      <c r="G220" s="200"/>
      <c r="H220" s="227"/>
      <c r="I220" s="200"/>
      <c r="J220" s="195">
        <f t="shared" si="179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8"/>
      <c r="AF220" s="178"/>
      <c r="AG220" s="178"/>
      <c r="AH220" s="178"/>
      <c r="AI220" s="178"/>
      <c r="AJ220" s="178"/>
      <c r="AK220" s="178"/>
    </row>
    <row r="221" ht="24.75" hidden="1" customHeight="1">
      <c r="A221" s="162">
        <v>25.0</v>
      </c>
      <c r="B221" s="229"/>
      <c r="C221" s="200"/>
      <c r="D221" s="200"/>
      <c r="E221" s="200"/>
      <c r="F221" s="200"/>
      <c r="G221" s="200"/>
      <c r="H221" s="227"/>
      <c r="I221" s="200"/>
      <c r="J221" s="195">
        <f t="shared" si="179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8"/>
      <c r="AF221" s="178"/>
      <c r="AG221" s="178"/>
      <c r="AH221" s="178"/>
      <c r="AI221" s="178"/>
      <c r="AJ221" s="178"/>
      <c r="AK221" s="178"/>
    </row>
    <row r="222" ht="24.75" hidden="1" customHeight="1">
      <c r="A222" s="162">
        <v>26.0</v>
      </c>
      <c r="B222" s="229"/>
      <c r="C222" s="200"/>
      <c r="D222" s="200"/>
      <c r="E222" s="200"/>
      <c r="F222" s="200"/>
      <c r="G222" s="200"/>
      <c r="H222" s="227"/>
      <c r="I222" s="200"/>
      <c r="J222" s="195">
        <f t="shared" si="179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8"/>
      <c r="AF222" s="178"/>
      <c r="AG222" s="178"/>
      <c r="AH222" s="178"/>
      <c r="AI222" s="178"/>
      <c r="AJ222" s="178"/>
      <c r="AK222" s="178"/>
    </row>
    <row r="223" ht="24.75" hidden="1" customHeight="1">
      <c r="A223" s="162">
        <v>27.0</v>
      </c>
      <c r="B223" s="229"/>
      <c r="C223" s="200"/>
      <c r="D223" s="200"/>
      <c r="E223" s="200"/>
      <c r="F223" s="200"/>
      <c r="G223" s="200"/>
      <c r="H223" s="200"/>
      <c r="I223" s="200"/>
      <c r="J223" s="195">
        <f t="shared" si="179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8"/>
      <c r="AF223" s="178"/>
      <c r="AG223" s="178"/>
      <c r="AH223" s="178"/>
      <c r="AI223" s="178"/>
      <c r="AJ223" s="178"/>
      <c r="AK223" s="178"/>
    </row>
    <row r="224" ht="24.75" hidden="1" customHeight="1">
      <c r="A224" s="162">
        <v>28.0</v>
      </c>
      <c r="B224" s="229"/>
      <c r="C224" s="200"/>
      <c r="D224" s="200"/>
      <c r="E224" s="200"/>
      <c r="F224" s="200"/>
      <c r="G224" s="200"/>
      <c r="H224" s="200"/>
      <c r="I224" s="200"/>
      <c r="J224" s="195">
        <f t="shared" si="179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8"/>
      <c r="AF224" s="178"/>
      <c r="AG224" s="178"/>
      <c r="AH224" s="178"/>
      <c r="AI224" s="178"/>
      <c r="AJ224" s="178"/>
      <c r="AK224" s="178"/>
    </row>
    <row r="225" ht="24.75" hidden="1" customHeight="1">
      <c r="A225" s="162">
        <v>29.0</v>
      </c>
      <c r="B225" s="230"/>
      <c r="C225" s="200"/>
      <c r="D225" s="200"/>
      <c r="E225" s="200"/>
      <c r="F225" s="200"/>
      <c r="G225" s="200"/>
      <c r="H225" s="200"/>
      <c r="I225" s="200"/>
      <c r="J225" s="195">
        <f t="shared" si="179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8"/>
      <c r="AF225" s="178"/>
      <c r="AG225" s="178"/>
      <c r="AH225" s="178"/>
      <c r="AI225" s="178"/>
      <c r="AJ225" s="178"/>
      <c r="AK225" s="178"/>
    </row>
    <row r="226" ht="24.75" hidden="1" customHeight="1">
      <c r="A226" s="162">
        <v>30.0</v>
      </c>
      <c r="B226" s="230"/>
      <c r="C226" s="200"/>
      <c r="D226" s="200"/>
      <c r="E226" s="200"/>
      <c r="F226" s="200"/>
      <c r="G226" s="200"/>
      <c r="H226" s="227"/>
      <c r="I226" s="200"/>
      <c r="J226" s="195">
        <f t="shared" si="179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8"/>
      <c r="AF226" s="178"/>
      <c r="AG226" s="178"/>
      <c r="AH226" s="178"/>
      <c r="AI226" s="178"/>
      <c r="AJ226" s="178"/>
      <c r="AK226" s="178"/>
    </row>
    <row r="227" ht="24.75" hidden="1" customHeight="1">
      <c r="A227" s="162">
        <v>31.0</v>
      </c>
      <c r="B227" s="218"/>
      <c r="C227" s="200"/>
      <c r="D227" s="200"/>
      <c r="E227" s="200"/>
      <c r="F227" s="200"/>
      <c r="G227" s="200"/>
      <c r="H227" s="227"/>
      <c r="I227" s="200"/>
      <c r="J227" s="195">
        <f t="shared" si="179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8"/>
      <c r="AF227" s="178"/>
      <c r="AG227" s="178"/>
      <c r="AH227" s="178"/>
      <c r="AI227" s="178"/>
      <c r="AJ227" s="178"/>
      <c r="AK227" s="178"/>
    </row>
    <row r="228" ht="24.75" hidden="1" customHeight="1">
      <c r="A228" s="162">
        <v>32.0</v>
      </c>
      <c r="B228" s="218"/>
      <c r="C228" s="162"/>
      <c r="D228" s="162"/>
      <c r="E228" s="162"/>
      <c r="F228" s="162"/>
      <c r="G228" s="162"/>
      <c r="H228" s="162"/>
      <c r="I228" s="162"/>
      <c r="J228" s="195">
        <f t="shared" si="179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78"/>
      <c r="AF228" s="178"/>
      <c r="AG228" s="178"/>
      <c r="AH228" s="178"/>
      <c r="AI228" s="178"/>
      <c r="AJ228" s="178"/>
      <c r="AK228" s="178"/>
    </row>
    <row r="229" ht="24.75" hidden="1" customHeight="1">
      <c r="A229" s="162">
        <v>33.0</v>
      </c>
      <c r="B229" s="230"/>
      <c r="C229" s="162"/>
      <c r="D229" s="162"/>
      <c r="E229" s="162"/>
      <c r="F229" s="162"/>
      <c r="G229" s="162"/>
      <c r="H229" s="162"/>
      <c r="I229" s="162"/>
      <c r="J229" s="195">
        <f t="shared" si="179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78"/>
      <c r="AF229" s="178"/>
      <c r="AG229" s="178"/>
      <c r="AH229" s="178"/>
      <c r="AI229" s="178"/>
      <c r="AJ229" s="178"/>
      <c r="AK229" s="178"/>
    </row>
    <row r="230" ht="24.75" hidden="1" customHeight="1">
      <c r="A230" s="162">
        <v>34.0</v>
      </c>
      <c r="B230" s="231"/>
      <c r="C230" s="162"/>
      <c r="D230" s="162"/>
      <c r="E230" s="162"/>
      <c r="F230" s="162"/>
      <c r="G230" s="162"/>
      <c r="H230" s="162"/>
      <c r="I230" s="162"/>
      <c r="J230" s="195">
        <f t="shared" si="179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78"/>
      <c r="AF230" s="178"/>
      <c r="AG230" s="178"/>
      <c r="AH230" s="178"/>
      <c r="AI230" s="178"/>
      <c r="AJ230" s="178"/>
      <c r="AK230" s="178"/>
    </row>
    <row r="231" ht="24.75" hidden="1" customHeight="1">
      <c r="A231" s="162">
        <v>35.0</v>
      </c>
      <c r="B231" s="232"/>
      <c r="C231" s="162"/>
      <c r="D231" s="162"/>
      <c r="E231" s="162"/>
      <c r="F231" s="162"/>
      <c r="G231" s="162"/>
      <c r="H231" s="162"/>
      <c r="I231" s="162"/>
      <c r="J231" s="195">
        <f t="shared" si="179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 t="s">
        <v>38</v>
      </c>
      <c r="I232" s="139"/>
      <c r="J232" s="233">
        <f>SUM(J209:J231)</f>
        <v>196</v>
      </c>
      <c r="K232" s="234"/>
      <c r="L232" s="234"/>
      <c r="M232" s="234"/>
      <c r="N232" s="234"/>
      <c r="O232" s="234"/>
      <c r="P232" s="234"/>
      <c r="Q232" s="234"/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18.75" customHeight="1">
      <c r="A233" s="144"/>
      <c r="B233" s="144"/>
      <c r="C233" s="144"/>
      <c r="D233" s="144"/>
      <c r="E233" s="144"/>
      <c r="F233" s="144"/>
      <c r="G233" s="144"/>
      <c r="H233" s="145"/>
      <c r="I233" s="175"/>
      <c r="J233" s="206">
        <f>+J232*60%</f>
        <v>117.6</v>
      </c>
      <c r="K233" s="206"/>
      <c r="L233" s="206"/>
      <c r="M233" s="206"/>
      <c r="N233" s="206"/>
      <c r="O233" s="206"/>
      <c r="P233" s="206"/>
      <c r="Q233" s="206">
        <f>+J232*40%</f>
        <v>78.4</v>
      </c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18.7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19.5" customHeight="1">
      <c r="A236" s="235" t="s">
        <v>41</v>
      </c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57.0" customHeight="1">
      <c r="A237" s="236"/>
      <c r="B237" s="237" t="s">
        <v>42</v>
      </c>
      <c r="C237" s="237" t="s">
        <v>43</v>
      </c>
      <c r="D237" s="237" t="s">
        <v>44</v>
      </c>
      <c r="E237" s="237" t="s">
        <v>45</v>
      </c>
      <c r="F237" s="237"/>
      <c r="G237" s="237"/>
      <c r="H237" s="238" t="s">
        <v>46</v>
      </c>
      <c r="I237" s="239" t="s">
        <v>47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18.75" customHeight="1">
      <c r="A238" s="240" t="s">
        <v>48</v>
      </c>
      <c r="B238" s="241">
        <f>+E21</f>
        <v>45005.006</v>
      </c>
      <c r="C238" s="242">
        <f>+J181</f>
        <v>42406.0933</v>
      </c>
      <c r="D238" s="242">
        <f>+J202</f>
        <v>445.31238</v>
      </c>
      <c r="E238" s="243">
        <f>J233</f>
        <v>117.6</v>
      </c>
      <c r="F238" s="243"/>
      <c r="G238" s="243"/>
      <c r="H238" s="244">
        <f>+I21</f>
        <v>875.728969</v>
      </c>
      <c r="I238" s="245">
        <f>+B238-C238-D238-E238-H238</f>
        <v>1160.271352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19.5" customHeight="1">
      <c r="A239" s="246" t="s">
        <v>49</v>
      </c>
      <c r="B239" s="247"/>
      <c r="C239" s="248">
        <f>+C238/B238</f>
        <v>0.9422528085</v>
      </c>
      <c r="D239" s="248">
        <f>+D238/B238</f>
        <v>0.009894729933</v>
      </c>
      <c r="E239" s="248">
        <f>+E238/B238</f>
        <v>0.002613042647</v>
      </c>
      <c r="F239" s="248"/>
      <c r="G239" s="248"/>
      <c r="H239" s="249">
        <f>+H238/B238</f>
        <v>0.01945847911</v>
      </c>
      <c r="I239" s="250">
        <f>+I238/B238</f>
        <v>0.02578093984</v>
      </c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19.5" customHeight="1">
      <c r="A240" s="165"/>
      <c r="B240" s="221"/>
      <c r="C240" s="251"/>
      <c r="D240" s="251"/>
      <c r="E240" s="251"/>
      <c r="F240" s="251"/>
      <c r="G240" s="251"/>
      <c r="H240" s="252"/>
      <c r="I240" s="253"/>
      <c r="J240" s="139"/>
      <c r="K240" s="139"/>
      <c r="L240" s="139"/>
      <c r="M240" s="139"/>
      <c r="N240" s="139"/>
      <c r="O240" s="139"/>
      <c r="P240" s="139"/>
      <c r="Q240" s="139"/>
      <c r="R240" s="141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8.75" customHeight="1">
      <c r="A241" s="254"/>
      <c r="B241" s="255"/>
      <c r="C241" s="255"/>
      <c r="D241" s="255" t="s">
        <v>50</v>
      </c>
      <c r="E241" s="255" t="s">
        <v>48</v>
      </c>
      <c r="F241" s="255"/>
      <c r="G241" s="255"/>
      <c r="H241" s="256">
        <f>+D238+E238+H238+I238</f>
        <v>2598.912701</v>
      </c>
      <c r="I241" s="257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18.75" customHeight="1">
      <c r="A242" s="258"/>
      <c r="B242" s="139"/>
      <c r="C242" s="139"/>
      <c r="D242" s="139"/>
      <c r="E242" s="139" t="s">
        <v>49</v>
      </c>
      <c r="F242" s="139"/>
      <c r="G242" s="139"/>
      <c r="H242" s="252">
        <f>+H241/B238</f>
        <v>0.05774719153</v>
      </c>
      <c r="I242" s="259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258"/>
      <c r="B243" s="139"/>
      <c r="C243" s="139" t="s">
        <v>51</v>
      </c>
      <c r="D243" s="139"/>
      <c r="E243" s="139"/>
      <c r="F243" s="139"/>
      <c r="G243" s="139"/>
      <c r="H243" s="140"/>
      <c r="I243" s="259"/>
      <c r="J243" s="139"/>
      <c r="K243" s="139"/>
      <c r="L243" s="139"/>
      <c r="M243" s="139"/>
      <c r="N243" s="139"/>
      <c r="O243" s="139"/>
      <c r="P243" s="139"/>
      <c r="Q243" s="139"/>
      <c r="R243" s="141"/>
      <c r="S243" s="140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258"/>
      <c r="B244" s="139"/>
      <c r="C244" s="139"/>
      <c r="D244" s="139" t="s">
        <v>52</v>
      </c>
      <c r="E244" s="139"/>
      <c r="F244" s="139"/>
      <c r="G244" s="139"/>
      <c r="H244" s="140">
        <f>+H243*(H241-H238)</f>
        <v>0</v>
      </c>
      <c r="I244" s="25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9.5" customHeight="1">
      <c r="A245" s="260"/>
      <c r="B245" s="261"/>
      <c r="C245" s="261"/>
      <c r="D245" s="261"/>
      <c r="E245" s="261"/>
      <c r="F245" s="261"/>
      <c r="G245" s="261"/>
      <c r="H245" s="262"/>
      <c r="I245" s="263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87:E187"/>
    <mergeCell ref="C208:E208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44538.0</v>
      </c>
      <c r="J4" s="139" t="str">
        <f>+B8&amp;"/"&amp;B9&amp;"/"&amp;B10&amp;"/"&amp;B11&amp;"/"&amp;B12&amp;"/"&amp;B13&amp;"/"&amp;B14&amp;"/"&amp;B15&amp;"/"&amp;B16</f>
        <v>D2550GT/D2850CC/HRD2940/HRD2930/HRD2940/D1650CC///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123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+I236</f>
        <v>0.01925382747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78</v>
      </c>
      <c r="C8" s="155">
        <v>25.5</v>
      </c>
      <c r="D8" s="156">
        <v>0.0577</v>
      </c>
      <c r="E8" s="157">
        <f>262.536*13.8</f>
        <v>3622.9968</v>
      </c>
      <c r="F8" s="157"/>
      <c r="G8" s="157"/>
      <c r="H8" s="158">
        <v>13.8</v>
      </c>
      <c r="I8" s="159">
        <f t="shared" ref="I8:I20" si="1">+D8*E8</f>
        <v>209.0469154</v>
      </c>
      <c r="J8" s="160">
        <f t="shared" ref="J8:J20" si="2">E8-I8</f>
        <v>3413.949885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124</v>
      </c>
      <c r="C9" s="155">
        <v>28.5</v>
      </c>
      <c r="D9" s="156">
        <v>0.0472</v>
      </c>
      <c r="E9" s="157">
        <f>256.838*2.8</f>
        <v>719.1464</v>
      </c>
      <c r="F9" s="157"/>
      <c r="G9" s="157"/>
      <c r="H9" s="158">
        <v>2.8</v>
      </c>
      <c r="I9" s="159">
        <f t="shared" si="1"/>
        <v>33.94371008</v>
      </c>
      <c r="J9" s="160">
        <f t="shared" si="2"/>
        <v>685.2026899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267" t="s">
        <v>55</v>
      </c>
      <c r="C10" s="155">
        <v>29.5</v>
      </c>
      <c r="D10" s="156">
        <v>0.0146</v>
      </c>
      <c r="E10" s="157">
        <f>252.8*52.8</f>
        <v>13347.84</v>
      </c>
      <c r="F10" s="157"/>
      <c r="G10" s="157"/>
      <c r="H10" s="158">
        <v>52.8</v>
      </c>
      <c r="I10" s="159">
        <f t="shared" si="1"/>
        <v>194.878464</v>
      </c>
      <c r="J10" s="160">
        <f t="shared" si="2"/>
        <v>13152.96154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268" t="s">
        <v>57</v>
      </c>
      <c r="C11" s="155">
        <v>29.5</v>
      </c>
      <c r="D11" s="163">
        <v>0.0155</v>
      </c>
      <c r="E11" s="164">
        <f>252.14*56.9</f>
        <v>14346.766</v>
      </c>
      <c r="F11" s="164"/>
      <c r="G11" s="164"/>
      <c r="H11" s="158">
        <v>56.9</v>
      </c>
      <c r="I11" s="159">
        <f t="shared" si="1"/>
        <v>222.374873</v>
      </c>
      <c r="J11" s="160">
        <f t="shared" si="2"/>
        <v>14124.39113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55</v>
      </c>
      <c r="C12" s="155">
        <v>29.5</v>
      </c>
      <c r="D12" s="163">
        <v>0.0146</v>
      </c>
      <c r="E12" s="164">
        <f>252.8*36.9</f>
        <v>9328.32</v>
      </c>
      <c r="F12" s="164"/>
      <c r="G12" s="164"/>
      <c r="H12" s="158">
        <v>36.9</v>
      </c>
      <c r="I12" s="159">
        <f t="shared" si="1"/>
        <v>136.193472</v>
      </c>
      <c r="J12" s="160">
        <f t="shared" si="2"/>
        <v>9192.126528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125</v>
      </c>
      <c r="C13" s="162">
        <v>16.5</v>
      </c>
      <c r="D13" s="163">
        <v>0.0997</v>
      </c>
      <c r="E13" s="164">
        <f>208.109*6.8</f>
        <v>1415.1412</v>
      </c>
      <c r="F13" s="164"/>
      <c r="G13" s="164"/>
      <c r="H13" s="158">
        <v>6.8</v>
      </c>
      <c r="I13" s="159">
        <f t="shared" si="1"/>
        <v>141.0895776</v>
      </c>
      <c r="J13" s="160">
        <f t="shared" si="2"/>
        <v>1274.051622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5"/>
      <c r="B21" s="166"/>
      <c r="C21" s="167"/>
      <c r="D21" s="168"/>
      <c r="E21" s="169">
        <f>SUM(E8:E20)</f>
        <v>42780.2104</v>
      </c>
      <c r="F21" s="170"/>
      <c r="G21" s="170"/>
      <c r="H21" s="171"/>
      <c r="I21" s="172">
        <f t="shared" ref="I21:J21" si="3">SUM(I8:I20)</f>
        <v>937.5270121</v>
      </c>
      <c r="J21" s="173">
        <f t="shared" si="3"/>
        <v>41842.68339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4"/>
      <c r="B22" s="144"/>
      <c r="C22" s="144"/>
      <c r="D22" s="175"/>
      <c r="E22" s="176"/>
      <c r="F22" s="151"/>
      <c r="G22" s="151"/>
      <c r="H22" s="147"/>
      <c r="I22" s="177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8"/>
      <c r="B27" s="162" t="s">
        <v>12</v>
      </c>
      <c r="C27" s="179" t="s">
        <v>60</v>
      </c>
      <c r="D27" s="52"/>
      <c r="E27" s="53"/>
      <c r="F27" s="180"/>
      <c r="G27" s="180"/>
      <c r="H27" s="181" t="s">
        <v>14</v>
      </c>
      <c r="I27" s="162" t="s">
        <v>15</v>
      </c>
      <c r="J27" s="162" t="s">
        <v>16</v>
      </c>
      <c r="K27" s="139"/>
      <c r="L27" s="162" t="s">
        <v>17</v>
      </c>
      <c r="M27" s="162" t="s">
        <v>15</v>
      </c>
      <c r="N27" s="178" t="s">
        <v>18</v>
      </c>
      <c r="O27" s="139"/>
      <c r="P27" s="139"/>
      <c r="Q27" s="178" t="s">
        <v>61</v>
      </c>
      <c r="R27" s="182"/>
      <c r="S27" s="162" t="s">
        <v>17</v>
      </c>
      <c r="T27" s="162" t="s">
        <v>15</v>
      </c>
      <c r="U27" s="178" t="s">
        <v>18</v>
      </c>
      <c r="V27" s="139"/>
      <c r="W27" s="178" t="s">
        <v>19</v>
      </c>
      <c r="X27" s="178" t="s">
        <v>20</v>
      </c>
      <c r="Y27" s="178" t="s">
        <v>21</v>
      </c>
      <c r="Z27" s="178" t="s">
        <v>126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1.0</v>
      </c>
      <c r="B28" s="183" t="s">
        <v>85</v>
      </c>
      <c r="C28" s="184">
        <v>93.0</v>
      </c>
      <c r="D28" s="184">
        <v>203.0</v>
      </c>
      <c r="E28" s="184">
        <v>180.0</v>
      </c>
      <c r="F28" s="184">
        <f t="shared" ref="F28:F182" si="5">VALUE(IF(RIGHT(B28, 1)="%", RIGHT(B28, 3), 0))</f>
        <v>0.8</v>
      </c>
      <c r="G28" s="184">
        <f t="shared" ref="G28:G182" si="6">+R28*C28/100*D28/100*E28/100</f>
        <v>84.9555</v>
      </c>
      <c r="H28" s="185">
        <f t="shared" ref="H28:H182" si="7">IF(F28=0, G28, F28*G28)</f>
        <v>67.9644</v>
      </c>
      <c r="I28" s="184">
        <v>1.0</v>
      </c>
      <c r="J28" s="186">
        <f t="shared" ref="J28:J182" si="8">+I28*H28</f>
        <v>67.9644</v>
      </c>
      <c r="K28" s="187"/>
      <c r="L28" s="188">
        <f>D28*25.4/1000</f>
        <v>5.1562</v>
      </c>
      <c r="M28" s="189">
        <f>+I28</f>
        <v>1</v>
      </c>
      <c r="N28" s="189">
        <f>M28*L28</f>
        <v>5.1562</v>
      </c>
      <c r="O28" s="187"/>
      <c r="P28" s="187"/>
      <c r="Q28" s="188">
        <v>93.0</v>
      </c>
      <c r="R28" s="190">
        <v>25.0</v>
      </c>
      <c r="S28" s="178">
        <f t="shared" ref="S28:S183" si="9">E28/100</f>
        <v>1.8</v>
      </c>
      <c r="T28" s="162">
        <f t="shared" ref="T28:T183" si="10">I28</f>
        <v>1</v>
      </c>
      <c r="U28" s="162">
        <f t="shared" ref="U28:U183" si="11">T28*S28</f>
        <v>1.8</v>
      </c>
      <c r="V28" s="191">
        <f t="shared" ref="V28:V65" si="12">R28*C28/100*D28/100*E28/100</f>
        <v>84.9555</v>
      </c>
      <c r="W28" s="178">
        <f t="shared" ref="W28:X28" si="4">C28/100</f>
        <v>0.93</v>
      </c>
      <c r="X28" s="178">
        <f t="shared" si="4"/>
        <v>2.03</v>
      </c>
      <c r="Y28" s="178">
        <f t="shared" ref="Y28:Y183" si="14">U28</f>
        <v>1.8</v>
      </c>
      <c r="Z28" s="192">
        <f t="shared" ref="Z28:Z183" si="15">W28*X28*Y28</f>
        <v>3.39822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2.0</v>
      </c>
      <c r="B29" s="193" t="s">
        <v>78</v>
      </c>
      <c r="C29" s="193">
        <v>103.0</v>
      </c>
      <c r="D29" s="193">
        <v>203.0</v>
      </c>
      <c r="E29" s="193">
        <v>200.0</v>
      </c>
      <c r="F29" s="193">
        <f t="shared" si="5"/>
        <v>0</v>
      </c>
      <c r="G29" s="193">
        <f t="shared" si="6"/>
        <v>104.545</v>
      </c>
      <c r="H29" s="194">
        <f t="shared" si="7"/>
        <v>104.545</v>
      </c>
      <c r="I29" s="193">
        <v>1.0</v>
      </c>
      <c r="J29" s="195">
        <f t="shared" si="8"/>
        <v>104.545</v>
      </c>
      <c r="K29" s="139"/>
      <c r="L29" s="178"/>
      <c r="M29" s="162"/>
      <c r="N29" s="162"/>
      <c r="O29" s="139"/>
      <c r="P29" s="139"/>
      <c r="Q29" s="178">
        <v>108.0</v>
      </c>
      <c r="R29" s="190">
        <v>25.0</v>
      </c>
      <c r="S29" s="178">
        <f t="shared" si="9"/>
        <v>2</v>
      </c>
      <c r="T29" s="162">
        <f t="shared" si="10"/>
        <v>1</v>
      </c>
      <c r="U29" s="162">
        <f t="shared" si="11"/>
        <v>2</v>
      </c>
      <c r="V29" s="191">
        <f t="shared" si="12"/>
        <v>104.545</v>
      </c>
      <c r="W29" s="178">
        <f t="shared" ref="W29:X29" si="13">C29/100</f>
        <v>1.03</v>
      </c>
      <c r="X29" s="178">
        <f t="shared" si="13"/>
        <v>2.03</v>
      </c>
      <c r="Y29" s="178">
        <f t="shared" si="14"/>
        <v>2</v>
      </c>
      <c r="Z29" s="192">
        <f t="shared" si="15"/>
        <v>4.1818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3.0</v>
      </c>
      <c r="B30" s="193" t="s">
        <v>78</v>
      </c>
      <c r="C30" s="193">
        <v>103.0</v>
      </c>
      <c r="D30" s="193">
        <v>203.0</v>
      </c>
      <c r="E30" s="193">
        <v>2870.0</v>
      </c>
      <c r="F30" s="193">
        <f t="shared" si="5"/>
        <v>0</v>
      </c>
      <c r="G30" s="193">
        <f t="shared" si="6"/>
        <v>1500.22075</v>
      </c>
      <c r="H30" s="194">
        <f t="shared" si="7"/>
        <v>1500.22075</v>
      </c>
      <c r="I30" s="193">
        <v>1.0</v>
      </c>
      <c r="J30" s="195">
        <f t="shared" si="8"/>
        <v>1500.22075</v>
      </c>
      <c r="K30" s="139"/>
      <c r="L30" s="178">
        <f t="shared" ref="L30:L52" si="17">D30*25.4/1000</f>
        <v>5.1562</v>
      </c>
      <c r="M30" s="162">
        <f t="shared" ref="M30:M65" si="18">+I30</f>
        <v>1</v>
      </c>
      <c r="N30" s="162">
        <f t="shared" ref="N30:N52" si="19">M30*L30</f>
        <v>5.1562</v>
      </c>
      <c r="O30" s="139"/>
      <c r="P30" s="139"/>
      <c r="Q30" s="178">
        <v>1505.0</v>
      </c>
      <c r="R30" s="190">
        <v>25.0</v>
      </c>
      <c r="S30" s="178">
        <f t="shared" si="9"/>
        <v>28.7</v>
      </c>
      <c r="T30" s="162">
        <f t="shared" si="10"/>
        <v>1</v>
      </c>
      <c r="U30" s="162">
        <f t="shared" si="11"/>
        <v>28.7</v>
      </c>
      <c r="V30" s="191">
        <f t="shared" si="12"/>
        <v>1500.22075</v>
      </c>
      <c r="W30" s="178">
        <f t="shared" ref="W30:X30" si="16">C30/100</f>
        <v>1.03</v>
      </c>
      <c r="X30" s="178">
        <f t="shared" si="16"/>
        <v>2.03</v>
      </c>
      <c r="Y30" s="178">
        <f t="shared" si="14"/>
        <v>28.7</v>
      </c>
      <c r="Z30" s="192">
        <f t="shared" si="15"/>
        <v>60.00883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4.0</v>
      </c>
      <c r="B31" s="193" t="s">
        <v>78</v>
      </c>
      <c r="C31" s="193">
        <v>105.0</v>
      </c>
      <c r="D31" s="193">
        <v>203.0</v>
      </c>
      <c r="E31" s="193">
        <v>2863.0</v>
      </c>
      <c r="F31" s="193">
        <f t="shared" si="5"/>
        <v>0</v>
      </c>
      <c r="G31" s="193">
        <f t="shared" si="6"/>
        <v>1525.621125</v>
      </c>
      <c r="H31" s="194">
        <f t="shared" si="7"/>
        <v>1525.621125</v>
      </c>
      <c r="I31" s="193">
        <v>1.0</v>
      </c>
      <c r="J31" s="195">
        <f t="shared" si="8"/>
        <v>1525.621125</v>
      </c>
      <c r="K31" s="139"/>
      <c r="L31" s="178">
        <f t="shared" si="17"/>
        <v>5.1562</v>
      </c>
      <c r="M31" s="162">
        <f t="shared" si="18"/>
        <v>1</v>
      </c>
      <c r="N31" s="162">
        <f t="shared" si="19"/>
        <v>5.1562</v>
      </c>
      <c r="O31" s="139"/>
      <c r="P31" s="139"/>
      <c r="Q31" s="178">
        <v>1505.0</v>
      </c>
      <c r="R31" s="190">
        <v>25.0</v>
      </c>
      <c r="S31" s="178">
        <f t="shared" si="9"/>
        <v>28.63</v>
      </c>
      <c r="T31" s="162">
        <f t="shared" si="10"/>
        <v>1</v>
      </c>
      <c r="U31" s="162">
        <f t="shared" si="11"/>
        <v>28.63</v>
      </c>
      <c r="V31" s="191">
        <f t="shared" si="12"/>
        <v>1525.621125</v>
      </c>
      <c r="W31" s="178">
        <f t="shared" ref="W31:X31" si="20">C31/100</f>
        <v>1.05</v>
      </c>
      <c r="X31" s="178">
        <f t="shared" si="20"/>
        <v>2.03</v>
      </c>
      <c r="Y31" s="178">
        <f t="shared" si="14"/>
        <v>28.63</v>
      </c>
      <c r="Z31" s="192">
        <f t="shared" si="15"/>
        <v>61.024845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5.0</v>
      </c>
      <c r="B32" s="183" t="s">
        <v>127</v>
      </c>
      <c r="C32" s="184">
        <v>91.0</v>
      </c>
      <c r="D32" s="184">
        <v>203.0</v>
      </c>
      <c r="E32" s="184">
        <v>199.0</v>
      </c>
      <c r="F32" s="184">
        <f t="shared" si="5"/>
        <v>0.8</v>
      </c>
      <c r="G32" s="184">
        <f t="shared" si="6"/>
        <v>113.959937</v>
      </c>
      <c r="H32" s="185">
        <f t="shared" si="7"/>
        <v>91.1679496</v>
      </c>
      <c r="I32" s="184">
        <v>1.0</v>
      </c>
      <c r="J32" s="186">
        <f t="shared" si="8"/>
        <v>91.1679496</v>
      </c>
      <c r="K32" s="187"/>
      <c r="L32" s="188">
        <f t="shared" si="17"/>
        <v>5.1562</v>
      </c>
      <c r="M32" s="189">
        <f t="shared" si="18"/>
        <v>1</v>
      </c>
      <c r="N32" s="189">
        <f t="shared" si="19"/>
        <v>5.1562</v>
      </c>
      <c r="O32" s="187"/>
      <c r="P32" s="187"/>
      <c r="Q32" s="188">
        <v>67.0</v>
      </c>
      <c r="R32" s="190">
        <v>31.0</v>
      </c>
      <c r="S32" s="178">
        <f t="shared" si="9"/>
        <v>1.99</v>
      </c>
      <c r="T32" s="162">
        <f t="shared" si="10"/>
        <v>1</v>
      </c>
      <c r="U32" s="162">
        <f t="shared" si="11"/>
        <v>1.99</v>
      </c>
      <c r="V32" s="191">
        <f t="shared" si="12"/>
        <v>113.959937</v>
      </c>
      <c r="W32" s="178">
        <f t="shared" ref="W32:X32" si="21">C32/100</f>
        <v>0.91</v>
      </c>
      <c r="X32" s="178">
        <f t="shared" si="21"/>
        <v>2.03</v>
      </c>
      <c r="Y32" s="178">
        <f t="shared" si="14"/>
        <v>1.99</v>
      </c>
      <c r="Z32" s="192">
        <f t="shared" si="15"/>
        <v>3.676127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6.0</v>
      </c>
      <c r="B33" s="193" t="s">
        <v>124</v>
      </c>
      <c r="C33" s="193">
        <v>94.0</v>
      </c>
      <c r="D33" s="193">
        <v>203.0</v>
      </c>
      <c r="E33" s="193">
        <v>177.0</v>
      </c>
      <c r="F33" s="193">
        <f t="shared" si="5"/>
        <v>0</v>
      </c>
      <c r="G33" s="193">
        <f t="shared" si="6"/>
        <v>104.702934</v>
      </c>
      <c r="H33" s="194">
        <f t="shared" si="7"/>
        <v>104.702934</v>
      </c>
      <c r="I33" s="193">
        <v>1.0</v>
      </c>
      <c r="J33" s="195">
        <f t="shared" si="8"/>
        <v>104.702934</v>
      </c>
      <c r="K33" s="139"/>
      <c r="L33" s="178">
        <f t="shared" si="17"/>
        <v>5.1562</v>
      </c>
      <c r="M33" s="162">
        <f t="shared" si="18"/>
        <v>1</v>
      </c>
      <c r="N33" s="162">
        <f t="shared" si="19"/>
        <v>5.1562</v>
      </c>
      <c r="O33" s="139"/>
      <c r="P33" s="139"/>
      <c r="Q33" s="178">
        <v>104.0</v>
      </c>
      <c r="R33" s="190">
        <v>31.0</v>
      </c>
      <c r="S33" s="178">
        <f t="shared" si="9"/>
        <v>1.77</v>
      </c>
      <c r="T33" s="162">
        <f t="shared" si="10"/>
        <v>1</v>
      </c>
      <c r="U33" s="162">
        <f t="shared" si="11"/>
        <v>1.77</v>
      </c>
      <c r="V33" s="191">
        <f t="shared" si="12"/>
        <v>104.702934</v>
      </c>
      <c r="W33" s="178">
        <f t="shared" ref="W33:X33" si="22">C33/100</f>
        <v>0.94</v>
      </c>
      <c r="X33" s="178">
        <f t="shared" si="22"/>
        <v>2.03</v>
      </c>
      <c r="Y33" s="178">
        <f t="shared" si="14"/>
        <v>1.77</v>
      </c>
      <c r="Z33" s="192">
        <f t="shared" si="15"/>
        <v>3.377514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7.0</v>
      </c>
      <c r="B34" s="193" t="s">
        <v>124</v>
      </c>
      <c r="C34" s="193">
        <v>95.0</v>
      </c>
      <c r="D34" s="193">
        <v>203.0</v>
      </c>
      <c r="E34" s="193">
        <v>196.0</v>
      </c>
      <c r="F34" s="193">
        <f t="shared" si="5"/>
        <v>0</v>
      </c>
      <c r="G34" s="193">
        <f t="shared" si="6"/>
        <v>117.17566</v>
      </c>
      <c r="H34" s="194">
        <f t="shared" si="7"/>
        <v>117.17566</v>
      </c>
      <c r="I34" s="193">
        <v>1.0</v>
      </c>
      <c r="J34" s="195">
        <f t="shared" si="8"/>
        <v>117.17566</v>
      </c>
      <c r="K34" s="139"/>
      <c r="L34" s="178">
        <f t="shared" si="17"/>
        <v>5.1562</v>
      </c>
      <c r="M34" s="162">
        <f t="shared" si="18"/>
        <v>1</v>
      </c>
      <c r="N34" s="162">
        <f t="shared" si="19"/>
        <v>5.1562</v>
      </c>
      <c r="O34" s="139"/>
      <c r="P34" s="139"/>
      <c r="Q34" s="178">
        <v>118.0</v>
      </c>
      <c r="R34" s="190">
        <v>31.0</v>
      </c>
      <c r="S34" s="178">
        <f t="shared" si="9"/>
        <v>1.96</v>
      </c>
      <c r="T34" s="162">
        <f t="shared" si="10"/>
        <v>1</v>
      </c>
      <c r="U34" s="162">
        <f t="shared" si="11"/>
        <v>1.96</v>
      </c>
      <c r="V34" s="191">
        <f t="shared" si="12"/>
        <v>117.17566</v>
      </c>
      <c r="W34" s="178">
        <f t="shared" ref="W34:X34" si="23">C34/100</f>
        <v>0.95</v>
      </c>
      <c r="X34" s="178">
        <f t="shared" si="23"/>
        <v>2.03</v>
      </c>
      <c r="Y34" s="178">
        <f t="shared" si="14"/>
        <v>1.96</v>
      </c>
      <c r="Z34" s="192">
        <f t="shared" si="15"/>
        <v>3.77986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8.0</v>
      </c>
      <c r="B35" s="193" t="s">
        <v>124</v>
      </c>
      <c r="C35" s="193">
        <v>95.0</v>
      </c>
      <c r="D35" s="193">
        <v>203.0</v>
      </c>
      <c r="E35" s="193">
        <v>198.0</v>
      </c>
      <c r="F35" s="193">
        <f t="shared" si="5"/>
        <v>0</v>
      </c>
      <c r="G35" s="193">
        <f t="shared" si="6"/>
        <v>118.37133</v>
      </c>
      <c r="H35" s="194">
        <f t="shared" si="7"/>
        <v>118.37133</v>
      </c>
      <c r="I35" s="193">
        <v>1.0</v>
      </c>
      <c r="J35" s="195">
        <f t="shared" si="8"/>
        <v>118.37133</v>
      </c>
      <c r="K35" s="139"/>
      <c r="L35" s="178">
        <f t="shared" si="17"/>
        <v>5.1562</v>
      </c>
      <c r="M35" s="162">
        <f t="shared" si="18"/>
        <v>1</v>
      </c>
      <c r="N35" s="162">
        <f t="shared" si="19"/>
        <v>5.1562</v>
      </c>
      <c r="O35" s="139"/>
      <c r="P35" s="139"/>
      <c r="Q35" s="178">
        <v>120.0</v>
      </c>
      <c r="R35" s="190">
        <v>31.0</v>
      </c>
      <c r="S35" s="178">
        <f t="shared" si="9"/>
        <v>1.98</v>
      </c>
      <c r="T35" s="162">
        <f t="shared" si="10"/>
        <v>1</v>
      </c>
      <c r="U35" s="162">
        <f t="shared" si="11"/>
        <v>1.98</v>
      </c>
      <c r="V35" s="191">
        <f t="shared" si="12"/>
        <v>118.37133</v>
      </c>
      <c r="W35" s="178">
        <f t="shared" ref="W35:X35" si="24">C35/100</f>
        <v>0.95</v>
      </c>
      <c r="X35" s="178">
        <f t="shared" si="24"/>
        <v>2.03</v>
      </c>
      <c r="Y35" s="178">
        <f t="shared" si="14"/>
        <v>1.98</v>
      </c>
      <c r="Z35" s="192">
        <f t="shared" si="15"/>
        <v>3.81843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9.0</v>
      </c>
      <c r="B36" s="193" t="s">
        <v>124</v>
      </c>
      <c r="C36" s="193">
        <v>91.0</v>
      </c>
      <c r="D36" s="193">
        <v>203.0</v>
      </c>
      <c r="E36" s="193">
        <v>199.0</v>
      </c>
      <c r="F36" s="193">
        <f t="shared" si="5"/>
        <v>0</v>
      </c>
      <c r="G36" s="193">
        <f t="shared" si="6"/>
        <v>113.959937</v>
      </c>
      <c r="H36" s="194">
        <f t="shared" si="7"/>
        <v>113.959937</v>
      </c>
      <c r="I36" s="193">
        <v>1.0</v>
      </c>
      <c r="J36" s="195">
        <f t="shared" si="8"/>
        <v>113.959937</v>
      </c>
      <c r="K36" s="139"/>
      <c r="L36" s="178">
        <f t="shared" si="17"/>
        <v>5.1562</v>
      </c>
      <c r="M36" s="162">
        <f t="shared" si="18"/>
        <v>1</v>
      </c>
      <c r="N36" s="162">
        <f t="shared" si="19"/>
        <v>5.1562</v>
      </c>
      <c r="O36" s="139"/>
      <c r="P36" s="139"/>
      <c r="Q36" s="178">
        <v>117.0</v>
      </c>
      <c r="R36" s="190">
        <v>31.0</v>
      </c>
      <c r="S36" s="178">
        <f t="shared" si="9"/>
        <v>1.99</v>
      </c>
      <c r="T36" s="162">
        <f t="shared" si="10"/>
        <v>1</v>
      </c>
      <c r="U36" s="162">
        <f t="shared" si="11"/>
        <v>1.99</v>
      </c>
      <c r="V36" s="191">
        <f t="shared" si="12"/>
        <v>113.959937</v>
      </c>
      <c r="W36" s="178">
        <f t="shared" ref="W36:X36" si="25">C36/100</f>
        <v>0.91</v>
      </c>
      <c r="X36" s="178">
        <f t="shared" si="25"/>
        <v>2.03</v>
      </c>
      <c r="Y36" s="178">
        <f t="shared" si="14"/>
        <v>1.99</v>
      </c>
      <c r="Z36" s="192">
        <f t="shared" si="15"/>
        <v>3.676127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10.0</v>
      </c>
      <c r="B37" s="193" t="s">
        <v>124</v>
      </c>
      <c r="C37" s="193">
        <v>95.0</v>
      </c>
      <c r="D37" s="193">
        <v>203.0</v>
      </c>
      <c r="E37" s="193">
        <v>195.0</v>
      </c>
      <c r="F37" s="193">
        <f t="shared" si="5"/>
        <v>0</v>
      </c>
      <c r="G37" s="193">
        <f t="shared" si="6"/>
        <v>116.577825</v>
      </c>
      <c r="H37" s="194">
        <f t="shared" si="7"/>
        <v>116.577825</v>
      </c>
      <c r="I37" s="193">
        <v>1.0</v>
      </c>
      <c r="J37" s="195">
        <f t="shared" si="8"/>
        <v>116.577825</v>
      </c>
      <c r="K37" s="139"/>
      <c r="L37" s="178">
        <f t="shared" si="17"/>
        <v>5.1562</v>
      </c>
      <c r="M37" s="162">
        <f t="shared" si="18"/>
        <v>1</v>
      </c>
      <c r="N37" s="162">
        <f t="shared" si="19"/>
        <v>5.1562</v>
      </c>
      <c r="O37" s="139"/>
      <c r="P37" s="139"/>
      <c r="Q37" s="178">
        <v>116.0</v>
      </c>
      <c r="R37" s="190">
        <v>31.0</v>
      </c>
      <c r="S37" s="178">
        <f t="shared" si="9"/>
        <v>1.95</v>
      </c>
      <c r="T37" s="162">
        <f t="shared" si="10"/>
        <v>1</v>
      </c>
      <c r="U37" s="162">
        <f t="shared" si="11"/>
        <v>1.95</v>
      </c>
      <c r="V37" s="191">
        <f t="shared" si="12"/>
        <v>116.577825</v>
      </c>
      <c r="W37" s="178">
        <f t="shared" ref="W37:X37" si="26">C37/100</f>
        <v>0.95</v>
      </c>
      <c r="X37" s="178">
        <f t="shared" si="26"/>
        <v>2.03</v>
      </c>
      <c r="Y37" s="178">
        <f t="shared" si="14"/>
        <v>1.95</v>
      </c>
      <c r="Z37" s="192">
        <f t="shared" si="15"/>
        <v>3.760575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11.0</v>
      </c>
      <c r="B38" s="183" t="s">
        <v>128</v>
      </c>
      <c r="C38" s="184">
        <v>83.0</v>
      </c>
      <c r="D38" s="184">
        <v>203.0</v>
      </c>
      <c r="E38" s="184">
        <v>190.0</v>
      </c>
      <c r="F38" s="184">
        <f t="shared" si="5"/>
        <v>0.8</v>
      </c>
      <c r="G38" s="184">
        <f t="shared" si="6"/>
        <v>96.0393</v>
      </c>
      <c r="H38" s="185">
        <f t="shared" si="7"/>
        <v>76.83144</v>
      </c>
      <c r="I38" s="184">
        <v>1.0</v>
      </c>
      <c r="J38" s="186">
        <f t="shared" si="8"/>
        <v>76.83144</v>
      </c>
      <c r="K38" s="187"/>
      <c r="L38" s="188">
        <f t="shared" si="17"/>
        <v>5.1562</v>
      </c>
      <c r="M38" s="189">
        <f t="shared" si="18"/>
        <v>1</v>
      </c>
      <c r="N38" s="189">
        <f t="shared" si="19"/>
        <v>5.1562</v>
      </c>
      <c r="O38" s="187"/>
      <c r="P38" s="187"/>
      <c r="Q38" s="188">
        <v>102.0</v>
      </c>
      <c r="R38" s="190">
        <v>30.0</v>
      </c>
      <c r="S38" s="178">
        <f t="shared" si="9"/>
        <v>1.9</v>
      </c>
      <c r="T38" s="162">
        <f t="shared" si="10"/>
        <v>1</v>
      </c>
      <c r="U38" s="162">
        <f t="shared" si="11"/>
        <v>1.9</v>
      </c>
      <c r="V38" s="191">
        <f t="shared" si="12"/>
        <v>96.0393</v>
      </c>
      <c r="W38" s="178">
        <f t="shared" ref="W38:X38" si="27">C38/100</f>
        <v>0.83</v>
      </c>
      <c r="X38" s="178">
        <f t="shared" si="27"/>
        <v>2.03</v>
      </c>
      <c r="Y38" s="178">
        <f t="shared" si="14"/>
        <v>1.9</v>
      </c>
      <c r="Z38" s="192">
        <f t="shared" si="15"/>
        <v>3.20131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12.0</v>
      </c>
      <c r="B39" s="193" t="s">
        <v>55</v>
      </c>
      <c r="C39" s="193">
        <v>102.0</v>
      </c>
      <c r="D39" s="193">
        <v>203.0</v>
      </c>
      <c r="E39" s="193">
        <v>194.0</v>
      </c>
      <c r="F39" s="193">
        <f t="shared" si="5"/>
        <v>0</v>
      </c>
      <c r="G39" s="193">
        <f t="shared" si="6"/>
        <v>120.50892</v>
      </c>
      <c r="H39" s="194">
        <f t="shared" si="7"/>
        <v>120.50892</v>
      </c>
      <c r="I39" s="193">
        <v>1.0</v>
      </c>
      <c r="J39" s="195">
        <f t="shared" si="8"/>
        <v>120.50892</v>
      </c>
      <c r="K39" s="139"/>
      <c r="L39" s="178">
        <f t="shared" si="17"/>
        <v>5.1562</v>
      </c>
      <c r="M39" s="162">
        <f t="shared" si="18"/>
        <v>1</v>
      </c>
      <c r="N39" s="162">
        <f t="shared" si="19"/>
        <v>5.1562</v>
      </c>
      <c r="O39" s="139"/>
      <c r="P39" s="139"/>
      <c r="Q39" s="178">
        <v>123.0</v>
      </c>
      <c r="R39" s="190">
        <v>30.0</v>
      </c>
      <c r="S39" s="178">
        <f t="shared" si="9"/>
        <v>1.94</v>
      </c>
      <c r="T39" s="162">
        <f t="shared" si="10"/>
        <v>1</v>
      </c>
      <c r="U39" s="162">
        <f t="shared" si="11"/>
        <v>1.94</v>
      </c>
      <c r="V39" s="191">
        <f t="shared" si="12"/>
        <v>120.50892</v>
      </c>
      <c r="W39" s="178">
        <f t="shared" ref="W39:X39" si="28">C39/100</f>
        <v>1.02</v>
      </c>
      <c r="X39" s="178">
        <f t="shared" si="28"/>
        <v>2.03</v>
      </c>
      <c r="Y39" s="178">
        <f t="shared" si="14"/>
        <v>1.94</v>
      </c>
      <c r="Z39" s="192">
        <f t="shared" si="15"/>
        <v>4.016964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13.0</v>
      </c>
      <c r="B40" s="193" t="s">
        <v>55</v>
      </c>
      <c r="C40" s="193">
        <v>101.0</v>
      </c>
      <c r="D40" s="193">
        <v>203.0</v>
      </c>
      <c r="E40" s="193">
        <v>2870.0</v>
      </c>
      <c r="F40" s="193">
        <f t="shared" si="5"/>
        <v>0</v>
      </c>
      <c r="G40" s="193">
        <f t="shared" si="6"/>
        <v>1765.3083</v>
      </c>
      <c r="H40" s="194">
        <f t="shared" si="7"/>
        <v>1765.3083</v>
      </c>
      <c r="I40" s="193">
        <v>1.0</v>
      </c>
      <c r="J40" s="195">
        <f t="shared" si="8"/>
        <v>1765.3083</v>
      </c>
      <c r="K40" s="139"/>
      <c r="L40" s="178">
        <f t="shared" si="17"/>
        <v>5.1562</v>
      </c>
      <c r="M40" s="162">
        <f t="shared" si="18"/>
        <v>1</v>
      </c>
      <c r="N40" s="162">
        <f t="shared" si="19"/>
        <v>5.1562</v>
      </c>
      <c r="O40" s="139"/>
      <c r="P40" s="139"/>
      <c r="Q40" s="178">
        <v>1775.0</v>
      </c>
      <c r="R40" s="190">
        <v>30.0</v>
      </c>
      <c r="S40" s="178">
        <f t="shared" si="9"/>
        <v>28.7</v>
      </c>
      <c r="T40" s="162">
        <f t="shared" si="10"/>
        <v>1</v>
      </c>
      <c r="U40" s="162">
        <f t="shared" si="11"/>
        <v>28.7</v>
      </c>
      <c r="V40" s="191">
        <f t="shared" si="12"/>
        <v>1765.3083</v>
      </c>
      <c r="W40" s="178">
        <f t="shared" ref="W40:X40" si="29">C40/100</f>
        <v>1.01</v>
      </c>
      <c r="X40" s="178">
        <f t="shared" si="29"/>
        <v>2.03</v>
      </c>
      <c r="Y40" s="178">
        <f t="shared" si="14"/>
        <v>28.7</v>
      </c>
      <c r="Z40" s="192">
        <f t="shared" si="15"/>
        <v>58.84361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14.0</v>
      </c>
      <c r="B41" s="193" t="s">
        <v>55</v>
      </c>
      <c r="C41" s="193">
        <v>102.0</v>
      </c>
      <c r="D41" s="193">
        <v>203.0</v>
      </c>
      <c r="E41" s="193">
        <v>2871.0</v>
      </c>
      <c r="F41" s="193">
        <f t="shared" si="5"/>
        <v>0</v>
      </c>
      <c r="G41" s="193">
        <f t="shared" si="6"/>
        <v>1783.40778</v>
      </c>
      <c r="H41" s="194">
        <f t="shared" si="7"/>
        <v>1783.40778</v>
      </c>
      <c r="I41" s="193">
        <v>1.0</v>
      </c>
      <c r="J41" s="195">
        <f t="shared" si="8"/>
        <v>1783.40778</v>
      </c>
      <c r="K41" s="139"/>
      <c r="L41" s="178">
        <f t="shared" si="17"/>
        <v>5.1562</v>
      </c>
      <c r="M41" s="162">
        <f t="shared" si="18"/>
        <v>1</v>
      </c>
      <c r="N41" s="162">
        <f t="shared" si="19"/>
        <v>5.1562</v>
      </c>
      <c r="O41" s="139"/>
      <c r="P41" s="139"/>
      <c r="Q41" s="178">
        <v>1780.0</v>
      </c>
      <c r="R41" s="190">
        <v>30.0</v>
      </c>
      <c r="S41" s="178">
        <f t="shared" si="9"/>
        <v>28.71</v>
      </c>
      <c r="T41" s="162">
        <f t="shared" si="10"/>
        <v>1</v>
      </c>
      <c r="U41" s="162">
        <f t="shared" si="11"/>
        <v>28.71</v>
      </c>
      <c r="V41" s="191">
        <f t="shared" si="12"/>
        <v>1783.40778</v>
      </c>
      <c r="W41" s="178">
        <f t="shared" ref="W41:X41" si="30">C41/100</f>
        <v>1.02</v>
      </c>
      <c r="X41" s="178">
        <f t="shared" si="30"/>
        <v>2.03</v>
      </c>
      <c r="Y41" s="178">
        <f t="shared" si="14"/>
        <v>28.71</v>
      </c>
      <c r="Z41" s="192">
        <f t="shared" si="15"/>
        <v>59.446926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15.0</v>
      </c>
      <c r="B42" s="193" t="s">
        <v>55</v>
      </c>
      <c r="C42" s="193">
        <v>102.0</v>
      </c>
      <c r="D42" s="193">
        <v>203.0</v>
      </c>
      <c r="E42" s="193">
        <v>2875.0</v>
      </c>
      <c r="F42" s="193">
        <f t="shared" si="5"/>
        <v>0</v>
      </c>
      <c r="G42" s="193">
        <f t="shared" si="6"/>
        <v>1785.8925</v>
      </c>
      <c r="H42" s="194">
        <f t="shared" si="7"/>
        <v>1785.8925</v>
      </c>
      <c r="I42" s="193">
        <v>1.0</v>
      </c>
      <c r="J42" s="195">
        <f t="shared" si="8"/>
        <v>1785.8925</v>
      </c>
      <c r="K42" s="139"/>
      <c r="L42" s="178">
        <f t="shared" si="17"/>
        <v>5.1562</v>
      </c>
      <c r="M42" s="162">
        <f t="shared" si="18"/>
        <v>1</v>
      </c>
      <c r="N42" s="162">
        <f t="shared" si="19"/>
        <v>5.1562</v>
      </c>
      <c r="O42" s="139"/>
      <c r="P42" s="139"/>
      <c r="Q42" s="178">
        <v>1790.0</v>
      </c>
      <c r="R42" s="190">
        <v>30.0</v>
      </c>
      <c r="S42" s="178">
        <f t="shared" si="9"/>
        <v>28.75</v>
      </c>
      <c r="T42" s="162">
        <f t="shared" si="10"/>
        <v>1</v>
      </c>
      <c r="U42" s="162">
        <f t="shared" si="11"/>
        <v>28.75</v>
      </c>
      <c r="V42" s="191">
        <f t="shared" si="12"/>
        <v>1785.8925</v>
      </c>
      <c r="W42" s="178">
        <f t="shared" ref="W42:X42" si="31">C42/100</f>
        <v>1.02</v>
      </c>
      <c r="X42" s="178">
        <f t="shared" si="31"/>
        <v>2.03</v>
      </c>
      <c r="Y42" s="178">
        <f t="shared" si="14"/>
        <v>28.75</v>
      </c>
      <c r="Z42" s="192">
        <f t="shared" si="15"/>
        <v>59.52975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16.0</v>
      </c>
      <c r="B43" s="193" t="s">
        <v>55</v>
      </c>
      <c r="C43" s="193">
        <v>103.0</v>
      </c>
      <c r="D43" s="193">
        <v>203.0</v>
      </c>
      <c r="E43" s="193">
        <v>2871.0</v>
      </c>
      <c r="F43" s="193">
        <f t="shared" si="5"/>
        <v>0</v>
      </c>
      <c r="G43" s="193">
        <f t="shared" si="6"/>
        <v>1800.89217</v>
      </c>
      <c r="H43" s="194">
        <f t="shared" si="7"/>
        <v>1800.89217</v>
      </c>
      <c r="I43" s="193">
        <v>1.0</v>
      </c>
      <c r="J43" s="195">
        <f t="shared" si="8"/>
        <v>1800.89217</v>
      </c>
      <c r="K43" s="139"/>
      <c r="L43" s="178">
        <f t="shared" si="17"/>
        <v>5.1562</v>
      </c>
      <c r="M43" s="162">
        <f t="shared" si="18"/>
        <v>1</v>
      </c>
      <c r="N43" s="162">
        <f t="shared" si="19"/>
        <v>5.1562</v>
      </c>
      <c r="O43" s="139"/>
      <c r="P43" s="139"/>
      <c r="Q43" s="178">
        <v>1765.0</v>
      </c>
      <c r="R43" s="190">
        <v>30.0</v>
      </c>
      <c r="S43" s="178">
        <f t="shared" si="9"/>
        <v>28.71</v>
      </c>
      <c r="T43" s="162">
        <f t="shared" si="10"/>
        <v>1</v>
      </c>
      <c r="U43" s="162">
        <f t="shared" si="11"/>
        <v>28.71</v>
      </c>
      <c r="V43" s="191">
        <f t="shared" si="12"/>
        <v>1800.89217</v>
      </c>
      <c r="W43" s="178">
        <f t="shared" ref="W43:X43" si="32">C43/100</f>
        <v>1.03</v>
      </c>
      <c r="X43" s="178">
        <f t="shared" si="32"/>
        <v>2.03</v>
      </c>
      <c r="Y43" s="178">
        <f t="shared" si="14"/>
        <v>28.71</v>
      </c>
      <c r="Z43" s="192">
        <f t="shared" si="15"/>
        <v>60.029739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17.0</v>
      </c>
      <c r="B44" s="193" t="s">
        <v>55</v>
      </c>
      <c r="C44" s="193">
        <v>101.0</v>
      </c>
      <c r="D44" s="193">
        <v>203.0</v>
      </c>
      <c r="E44" s="193">
        <v>2865.0</v>
      </c>
      <c r="F44" s="193">
        <f t="shared" si="5"/>
        <v>0</v>
      </c>
      <c r="G44" s="193">
        <f t="shared" si="6"/>
        <v>1762.23285</v>
      </c>
      <c r="H44" s="194">
        <f t="shared" si="7"/>
        <v>1762.23285</v>
      </c>
      <c r="I44" s="193">
        <v>1.0</v>
      </c>
      <c r="J44" s="195">
        <f t="shared" si="8"/>
        <v>1762.23285</v>
      </c>
      <c r="K44" s="139"/>
      <c r="L44" s="178">
        <f t="shared" si="17"/>
        <v>5.1562</v>
      </c>
      <c r="M44" s="162">
        <f t="shared" si="18"/>
        <v>1</v>
      </c>
      <c r="N44" s="162">
        <f t="shared" si="19"/>
        <v>5.1562</v>
      </c>
      <c r="O44" s="139"/>
      <c r="P44" s="139"/>
      <c r="Q44" s="178">
        <v>1775.0</v>
      </c>
      <c r="R44" s="190">
        <v>30.0</v>
      </c>
      <c r="S44" s="178">
        <f t="shared" si="9"/>
        <v>28.65</v>
      </c>
      <c r="T44" s="162">
        <f t="shared" si="10"/>
        <v>1</v>
      </c>
      <c r="U44" s="162">
        <f t="shared" si="11"/>
        <v>28.65</v>
      </c>
      <c r="V44" s="191">
        <f t="shared" si="12"/>
        <v>1762.23285</v>
      </c>
      <c r="W44" s="178">
        <f t="shared" ref="W44:X44" si="33">C44/100</f>
        <v>1.01</v>
      </c>
      <c r="X44" s="178">
        <f t="shared" si="33"/>
        <v>2.03</v>
      </c>
      <c r="Y44" s="178">
        <f t="shared" si="14"/>
        <v>28.65</v>
      </c>
      <c r="Z44" s="192">
        <f t="shared" si="15"/>
        <v>58.741095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18.0</v>
      </c>
      <c r="B45" s="193" t="s">
        <v>55</v>
      </c>
      <c r="C45" s="193">
        <v>101.0</v>
      </c>
      <c r="D45" s="193">
        <v>203.0</v>
      </c>
      <c r="E45" s="193">
        <v>2867.0</v>
      </c>
      <c r="F45" s="193">
        <f t="shared" si="5"/>
        <v>0</v>
      </c>
      <c r="G45" s="193">
        <f t="shared" si="6"/>
        <v>1763.46303</v>
      </c>
      <c r="H45" s="194">
        <f t="shared" si="7"/>
        <v>1763.46303</v>
      </c>
      <c r="I45" s="193">
        <v>1.0</v>
      </c>
      <c r="J45" s="195">
        <f t="shared" si="8"/>
        <v>1763.46303</v>
      </c>
      <c r="K45" s="139"/>
      <c r="L45" s="178">
        <f t="shared" si="17"/>
        <v>5.1562</v>
      </c>
      <c r="M45" s="162">
        <f t="shared" si="18"/>
        <v>1</v>
      </c>
      <c r="N45" s="162">
        <f t="shared" si="19"/>
        <v>5.1562</v>
      </c>
      <c r="O45" s="139"/>
      <c r="P45" s="139"/>
      <c r="Q45" s="178">
        <v>1775.0</v>
      </c>
      <c r="R45" s="190">
        <v>30.0</v>
      </c>
      <c r="S45" s="178">
        <f t="shared" si="9"/>
        <v>28.67</v>
      </c>
      <c r="T45" s="162">
        <f t="shared" si="10"/>
        <v>1</v>
      </c>
      <c r="U45" s="162">
        <f t="shared" si="11"/>
        <v>28.67</v>
      </c>
      <c r="V45" s="191">
        <f t="shared" si="12"/>
        <v>1763.46303</v>
      </c>
      <c r="W45" s="178">
        <f t="shared" ref="W45:X45" si="34">C45/100</f>
        <v>1.01</v>
      </c>
      <c r="X45" s="178">
        <f t="shared" si="34"/>
        <v>2.03</v>
      </c>
      <c r="Y45" s="178">
        <f t="shared" si="14"/>
        <v>28.67</v>
      </c>
      <c r="Z45" s="192">
        <f t="shared" si="15"/>
        <v>58.782101</v>
      </c>
      <c r="AA45" s="139"/>
      <c r="AB45" s="139"/>
      <c r="AC45" s="26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19.0</v>
      </c>
      <c r="B46" s="193" t="s">
        <v>55</v>
      </c>
      <c r="C46" s="193">
        <v>101.0</v>
      </c>
      <c r="D46" s="193">
        <v>203.0</v>
      </c>
      <c r="E46" s="193">
        <v>2864.0</v>
      </c>
      <c r="F46" s="193">
        <f t="shared" si="5"/>
        <v>0</v>
      </c>
      <c r="G46" s="193">
        <f t="shared" si="6"/>
        <v>1761.61776</v>
      </c>
      <c r="H46" s="194">
        <f t="shared" si="7"/>
        <v>1761.61776</v>
      </c>
      <c r="I46" s="193">
        <v>1.0</v>
      </c>
      <c r="J46" s="195">
        <f t="shared" si="8"/>
        <v>1761.61776</v>
      </c>
      <c r="K46" s="139"/>
      <c r="L46" s="178">
        <f t="shared" si="17"/>
        <v>5.1562</v>
      </c>
      <c r="M46" s="162">
        <f t="shared" si="18"/>
        <v>1</v>
      </c>
      <c r="N46" s="162">
        <f t="shared" si="19"/>
        <v>5.1562</v>
      </c>
      <c r="O46" s="139"/>
      <c r="P46" s="139"/>
      <c r="Q46" s="178">
        <v>1775.0</v>
      </c>
      <c r="R46" s="190">
        <v>30.0</v>
      </c>
      <c r="S46" s="178">
        <f t="shared" si="9"/>
        <v>28.64</v>
      </c>
      <c r="T46" s="162">
        <f t="shared" si="10"/>
        <v>1</v>
      </c>
      <c r="U46" s="162">
        <f t="shared" si="11"/>
        <v>28.64</v>
      </c>
      <c r="V46" s="191">
        <f t="shared" si="12"/>
        <v>1761.61776</v>
      </c>
      <c r="W46" s="178">
        <f t="shared" ref="W46:X46" si="35">C46/100</f>
        <v>1.01</v>
      </c>
      <c r="X46" s="178">
        <f t="shared" si="35"/>
        <v>2.03</v>
      </c>
      <c r="Y46" s="178">
        <f t="shared" si="14"/>
        <v>28.64</v>
      </c>
      <c r="Z46" s="192">
        <f t="shared" si="15"/>
        <v>58.720592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20.0</v>
      </c>
      <c r="B47" s="196" t="s">
        <v>57</v>
      </c>
      <c r="C47" s="193">
        <v>97.0</v>
      </c>
      <c r="D47" s="193">
        <v>203.0</v>
      </c>
      <c r="E47" s="193">
        <v>202.0</v>
      </c>
      <c r="F47" s="193">
        <f t="shared" si="5"/>
        <v>0</v>
      </c>
      <c r="G47" s="193">
        <f t="shared" si="6"/>
        <v>119.32746</v>
      </c>
      <c r="H47" s="194">
        <f t="shared" si="7"/>
        <v>119.32746</v>
      </c>
      <c r="I47" s="193">
        <v>1.0</v>
      </c>
      <c r="J47" s="195">
        <f t="shared" si="8"/>
        <v>119.32746</v>
      </c>
      <c r="K47" s="139"/>
      <c r="L47" s="178">
        <f t="shared" si="17"/>
        <v>5.1562</v>
      </c>
      <c r="M47" s="162">
        <f t="shared" si="18"/>
        <v>1</v>
      </c>
      <c r="N47" s="162">
        <f t="shared" si="19"/>
        <v>5.1562</v>
      </c>
      <c r="O47" s="139"/>
      <c r="P47" s="139"/>
      <c r="Q47" s="178">
        <v>118.0</v>
      </c>
      <c r="R47" s="190">
        <v>30.0</v>
      </c>
      <c r="S47" s="178">
        <f t="shared" si="9"/>
        <v>2.02</v>
      </c>
      <c r="T47" s="162">
        <f t="shared" si="10"/>
        <v>1</v>
      </c>
      <c r="U47" s="162">
        <f t="shared" si="11"/>
        <v>2.02</v>
      </c>
      <c r="V47" s="191">
        <f t="shared" si="12"/>
        <v>119.32746</v>
      </c>
      <c r="W47" s="178">
        <f t="shared" ref="W47:X47" si="36">C47/100</f>
        <v>0.97</v>
      </c>
      <c r="X47" s="178">
        <f t="shared" si="36"/>
        <v>2.03</v>
      </c>
      <c r="Y47" s="178">
        <f t="shared" si="14"/>
        <v>2.02</v>
      </c>
      <c r="Z47" s="192">
        <f t="shared" si="15"/>
        <v>3.977582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21.0</v>
      </c>
      <c r="B48" s="193" t="s">
        <v>57</v>
      </c>
      <c r="C48" s="193">
        <v>100.0</v>
      </c>
      <c r="D48" s="193">
        <v>203.0</v>
      </c>
      <c r="E48" s="193">
        <v>2863.0</v>
      </c>
      <c r="F48" s="193">
        <f t="shared" si="5"/>
        <v>0</v>
      </c>
      <c r="G48" s="193">
        <f t="shared" si="6"/>
        <v>1743.567</v>
      </c>
      <c r="H48" s="194">
        <f t="shared" si="7"/>
        <v>1743.567</v>
      </c>
      <c r="I48" s="193">
        <v>1.0</v>
      </c>
      <c r="J48" s="195">
        <f t="shared" si="8"/>
        <v>1743.567</v>
      </c>
      <c r="K48" s="139"/>
      <c r="L48" s="178">
        <f t="shared" si="17"/>
        <v>5.1562</v>
      </c>
      <c r="M48" s="162">
        <f t="shared" si="18"/>
        <v>1</v>
      </c>
      <c r="N48" s="162">
        <f t="shared" si="19"/>
        <v>5.1562</v>
      </c>
      <c r="O48" s="139"/>
      <c r="P48" s="139"/>
      <c r="Q48" s="178">
        <v>1705.0</v>
      </c>
      <c r="R48" s="190">
        <v>30.0</v>
      </c>
      <c r="S48" s="178">
        <f t="shared" si="9"/>
        <v>28.63</v>
      </c>
      <c r="T48" s="162">
        <f t="shared" si="10"/>
        <v>1</v>
      </c>
      <c r="U48" s="162">
        <f t="shared" si="11"/>
        <v>28.63</v>
      </c>
      <c r="V48" s="191">
        <f t="shared" si="12"/>
        <v>1743.567</v>
      </c>
      <c r="W48" s="178">
        <f t="shared" ref="W48:X48" si="37">C48/100</f>
        <v>1</v>
      </c>
      <c r="X48" s="178">
        <f t="shared" si="37"/>
        <v>2.03</v>
      </c>
      <c r="Y48" s="178">
        <f t="shared" si="14"/>
        <v>28.63</v>
      </c>
      <c r="Z48" s="192">
        <f t="shared" si="15"/>
        <v>58.1189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22.0</v>
      </c>
      <c r="B49" s="193" t="s">
        <v>57</v>
      </c>
      <c r="C49" s="193">
        <v>100.0</v>
      </c>
      <c r="D49" s="193">
        <v>203.0</v>
      </c>
      <c r="E49" s="193">
        <v>2868.0</v>
      </c>
      <c r="F49" s="193">
        <f t="shared" si="5"/>
        <v>0</v>
      </c>
      <c r="G49" s="193">
        <f t="shared" si="6"/>
        <v>1746.612</v>
      </c>
      <c r="H49" s="194">
        <f t="shared" si="7"/>
        <v>1746.612</v>
      </c>
      <c r="I49" s="193">
        <v>1.0</v>
      </c>
      <c r="J49" s="195">
        <f t="shared" si="8"/>
        <v>1746.612</v>
      </c>
      <c r="K49" s="139"/>
      <c r="L49" s="178">
        <f t="shared" si="17"/>
        <v>5.1562</v>
      </c>
      <c r="M49" s="162">
        <f t="shared" si="18"/>
        <v>1</v>
      </c>
      <c r="N49" s="162">
        <f t="shared" si="19"/>
        <v>5.1562</v>
      </c>
      <c r="O49" s="139"/>
      <c r="P49" s="139"/>
      <c r="Q49" s="178">
        <v>1735.0</v>
      </c>
      <c r="R49" s="190">
        <v>30.0</v>
      </c>
      <c r="S49" s="178">
        <f t="shared" si="9"/>
        <v>28.68</v>
      </c>
      <c r="T49" s="162">
        <f t="shared" si="10"/>
        <v>1</v>
      </c>
      <c r="U49" s="162">
        <f t="shared" si="11"/>
        <v>28.68</v>
      </c>
      <c r="V49" s="191">
        <f t="shared" si="12"/>
        <v>1746.612</v>
      </c>
      <c r="W49" s="178">
        <f t="shared" ref="W49:X49" si="38">C49/100</f>
        <v>1</v>
      </c>
      <c r="X49" s="178">
        <f t="shared" si="38"/>
        <v>2.03</v>
      </c>
      <c r="Y49" s="178">
        <f t="shared" si="14"/>
        <v>28.68</v>
      </c>
      <c r="Z49" s="192">
        <f t="shared" si="15"/>
        <v>58.2204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23.0</v>
      </c>
      <c r="B50" s="193" t="s">
        <v>57</v>
      </c>
      <c r="C50" s="193">
        <v>98.0</v>
      </c>
      <c r="D50" s="193">
        <v>203.0</v>
      </c>
      <c r="E50" s="193">
        <v>2867.0</v>
      </c>
      <c r="F50" s="193">
        <f t="shared" si="5"/>
        <v>0</v>
      </c>
      <c r="G50" s="193">
        <f t="shared" si="6"/>
        <v>1711.08294</v>
      </c>
      <c r="H50" s="194">
        <f t="shared" si="7"/>
        <v>1711.08294</v>
      </c>
      <c r="I50" s="193">
        <v>1.0</v>
      </c>
      <c r="J50" s="195">
        <f t="shared" si="8"/>
        <v>1711.08294</v>
      </c>
      <c r="K50" s="139"/>
      <c r="L50" s="178">
        <f t="shared" si="17"/>
        <v>5.1562</v>
      </c>
      <c r="M50" s="162">
        <f t="shared" si="18"/>
        <v>1</v>
      </c>
      <c r="N50" s="162">
        <f t="shared" si="19"/>
        <v>5.1562</v>
      </c>
      <c r="O50" s="139"/>
      <c r="P50" s="139"/>
      <c r="Q50" s="178">
        <v>1690.0</v>
      </c>
      <c r="R50" s="190">
        <v>30.0</v>
      </c>
      <c r="S50" s="178">
        <f t="shared" si="9"/>
        <v>28.67</v>
      </c>
      <c r="T50" s="162">
        <f t="shared" si="10"/>
        <v>1</v>
      </c>
      <c r="U50" s="162">
        <f t="shared" si="11"/>
        <v>28.67</v>
      </c>
      <c r="V50" s="191">
        <f t="shared" si="12"/>
        <v>1711.08294</v>
      </c>
      <c r="W50" s="178">
        <f t="shared" ref="W50:X50" si="39">C50/100</f>
        <v>0.98</v>
      </c>
      <c r="X50" s="178">
        <f t="shared" si="39"/>
        <v>2.03</v>
      </c>
      <c r="Y50" s="178">
        <f t="shared" si="14"/>
        <v>28.67</v>
      </c>
      <c r="Z50" s="192">
        <f t="shared" si="15"/>
        <v>57.036098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24.0</v>
      </c>
      <c r="B51" s="193" t="s">
        <v>57</v>
      </c>
      <c r="C51" s="193">
        <v>97.0</v>
      </c>
      <c r="D51" s="193">
        <v>203.0</v>
      </c>
      <c r="E51" s="193">
        <v>2861.0</v>
      </c>
      <c r="F51" s="193">
        <f t="shared" si="5"/>
        <v>0</v>
      </c>
      <c r="G51" s="193">
        <f t="shared" si="6"/>
        <v>1690.07853</v>
      </c>
      <c r="H51" s="194">
        <f t="shared" si="7"/>
        <v>1690.07853</v>
      </c>
      <c r="I51" s="193">
        <v>1.0</v>
      </c>
      <c r="J51" s="195">
        <f t="shared" si="8"/>
        <v>1690.07853</v>
      </c>
      <c r="K51" s="139"/>
      <c r="L51" s="178">
        <f t="shared" si="17"/>
        <v>5.1562</v>
      </c>
      <c r="M51" s="162">
        <f t="shared" si="18"/>
        <v>1</v>
      </c>
      <c r="N51" s="162">
        <f t="shared" si="19"/>
        <v>5.1562</v>
      </c>
      <c r="O51" s="139"/>
      <c r="P51" s="139"/>
      <c r="Q51" s="178">
        <v>1700.0</v>
      </c>
      <c r="R51" s="190">
        <v>30.0</v>
      </c>
      <c r="S51" s="178">
        <f t="shared" si="9"/>
        <v>28.61</v>
      </c>
      <c r="T51" s="162">
        <f t="shared" si="10"/>
        <v>1</v>
      </c>
      <c r="U51" s="162">
        <f t="shared" si="11"/>
        <v>28.61</v>
      </c>
      <c r="V51" s="191">
        <f t="shared" si="12"/>
        <v>1690.07853</v>
      </c>
      <c r="W51" s="178">
        <f t="shared" ref="W51:X51" si="40">C51/100</f>
        <v>0.97</v>
      </c>
      <c r="X51" s="178">
        <f t="shared" si="40"/>
        <v>2.03</v>
      </c>
      <c r="Y51" s="178">
        <f t="shared" si="14"/>
        <v>28.61</v>
      </c>
      <c r="Z51" s="192">
        <f t="shared" si="15"/>
        <v>56.335951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25.0</v>
      </c>
      <c r="B52" s="193" t="s">
        <v>57</v>
      </c>
      <c r="C52" s="193">
        <v>96.0</v>
      </c>
      <c r="D52" s="193">
        <v>203.0</v>
      </c>
      <c r="E52" s="193">
        <v>2829.0</v>
      </c>
      <c r="F52" s="193">
        <f t="shared" si="5"/>
        <v>0</v>
      </c>
      <c r="G52" s="193">
        <f t="shared" si="6"/>
        <v>1653.94656</v>
      </c>
      <c r="H52" s="194">
        <f t="shared" si="7"/>
        <v>1653.94656</v>
      </c>
      <c r="I52" s="193">
        <v>1.0</v>
      </c>
      <c r="J52" s="195">
        <f t="shared" si="8"/>
        <v>1653.94656</v>
      </c>
      <c r="K52" s="139"/>
      <c r="L52" s="178">
        <f t="shared" si="17"/>
        <v>5.1562</v>
      </c>
      <c r="M52" s="162">
        <f t="shared" si="18"/>
        <v>1</v>
      </c>
      <c r="N52" s="162">
        <f t="shared" si="19"/>
        <v>5.1562</v>
      </c>
      <c r="O52" s="139"/>
      <c r="P52" s="139"/>
      <c r="Q52" s="178">
        <v>1655.0</v>
      </c>
      <c r="R52" s="190">
        <v>30.0</v>
      </c>
      <c r="S52" s="178">
        <f t="shared" si="9"/>
        <v>28.29</v>
      </c>
      <c r="T52" s="162">
        <f t="shared" si="10"/>
        <v>1</v>
      </c>
      <c r="U52" s="162">
        <f t="shared" si="11"/>
        <v>28.29</v>
      </c>
      <c r="V52" s="191">
        <f t="shared" si="12"/>
        <v>1653.94656</v>
      </c>
      <c r="W52" s="178">
        <f t="shared" ref="W52:X52" si="41">C52/100</f>
        <v>0.96</v>
      </c>
      <c r="X52" s="178">
        <f t="shared" si="41"/>
        <v>2.03</v>
      </c>
      <c r="Y52" s="178">
        <f t="shared" si="14"/>
        <v>28.29</v>
      </c>
      <c r="Z52" s="192">
        <f t="shared" si="15"/>
        <v>55.131552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26.0</v>
      </c>
      <c r="B53" s="193" t="s">
        <v>57</v>
      </c>
      <c r="C53" s="193">
        <v>97.0</v>
      </c>
      <c r="D53" s="193">
        <v>203.0</v>
      </c>
      <c r="E53" s="193">
        <v>2868.0</v>
      </c>
      <c r="F53" s="193">
        <f t="shared" si="5"/>
        <v>0</v>
      </c>
      <c r="G53" s="193">
        <f t="shared" si="6"/>
        <v>1694.21364</v>
      </c>
      <c r="H53" s="194">
        <f t="shared" si="7"/>
        <v>1694.21364</v>
      </c>
      <c r="I53" s="193">
        <v>1.0</v>
      </c>
      <c r="J53" s="195">
        <f t="shared" si="8"/>
        <v>1694.21364</v>
      </c>
      <c r="K53" s="139"/>
      <c r="L53" s="197"/>
      <c r="M53" s="198">
        <f t="shared" si="18"/>
        <v>1</v>
      </c>
      <c r="N53" s="198"/>
      <c r="O53" s="139"/>
      <c r="P53" s="139"/>
      <c r="Q53" s="178">
        <v>1675.0</v>
      </c>
      <c r="R53" s="190">
        <v>30.0</v>
      </c>
      <c r="S53" s="178">
        <f t="shared" si="9"/>
        <v>28.68</v>
      </c>
      <c r="T53" s="162">
        <f t="shared" si="10"/>
        <v>1</v>
      </c>
      <c r="U53" s="162">
        <f t="shared" si="11"/>
        <v>28.68</v>
      </c>
      <c r="V53" s="191">
        <f t="shared" si="12"/>
        <v>1694.21364</v>
      </c>
      <c r="W53" s="178">
        <f t="shared" ref="W53:X53" si="42">C53/100</f>
        <v>0.97</v>
      </c>
      <c r="X53" s="178">
        <f t="shared" si="42"/>
        <v>2.03</v>
      </c>
      <c r="Y53" s="178">
        <f t="shared" si="14"/>
        <v>28.68</v>
      </c>
      <c r="Z53" s="192">
        <f t="shared" si="15"/>
        <v>56.473788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27.0</v>
      </c>
      <c r="B54" s="193" t="s">
        <v>57</v>
      </c>
      <c r="C54" s="193">
        <v>97.0</v>
      </c>
      <c r="D54" s="193">
        <v>203.0</v>
      </c>
      <c r="E54" s="193">
        <v>2864.0</v>
      </c>
      <c r="F54" s="193">
        <f t="shared" si="5"/>
        <v>0</v>
      </c>
      <c r="G54" s="193">
        <f t="shared" si="6"/>
        <v>1691.85072</v>
      </c>
      <c r="H54" s="194">
        <f t="shared" si="7"/>
        <v>1691.85072</v>
      </c>
      <c r="I54" s="193">
        <v>1.0</v>
      </c>
      <c r="J54" s="195">
        <f t="shared" si="8"/>
        <v>1691.85072</v>
      </c>
      <c r="K54" s="139"/>
      <c r="L54" s="197"/>
      <c r="M54" s="198">
        <f t="shared" si="18"/>
        <v>1</v>
      </c>
      <c r="N54" s="198"/>
      <c r="O54" s="139"/>
      <c r="P54" s="139"/>
      <c r="Q54" s="178">
        <v>1675.0</v>
      </c>
      <c r="R54" s="190">
        <v>30.0</v>
      </c>
      <c r="S54" s="178">
        <f t="shared" si="9"/>
        <v>28.64</v>
      </c>
      <c r="T54" s="162">
        <f t="shared" si="10"/>
        <v>1</v>
      </c>
      <c r="U54" s="162">
        <f t="shared" si="11"/>
        <v>28.64</v>
      </c>
      <c r="V54" s="191">
        <f t="shared" si="12"/>
        <v>1691.85072</v>
      </c>
      <c r="W54" s="178">
        <f t="shared" ref="W54:X54" si="43">C54/100</f>
        <v>0.97</v>
      </c>
      <c r="X54" s="178">
        <f t="shared" si="43"/>
        <v>2.03</v>
      </c>
      <c r="Y54" s="178">
        <f t="shared" si="14"/>
        <v>28.64</v>
      </c>
      <c r="Z54" s="192">
        <f t="shared" si="15"/>
        <v>56.395024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28.0</v>
      </c>
      <c r="B55" s="193" t="s">
        <v>57</v>
      </c>
      <c r="C55" s="193">
        <v>98.0</v>
      </c>
      <c r="D55" s="193">
        <v>203.0</v>
      </c>
      <c r="E55" s="193">
        <v>2861.0</v>
      </c>
      <c r="F55" s="193">
        <f t="shared" si="5"/>
        <v>0</v>
      </c>
      <c r="G55" s="193">
        <f t="shared" si="6"/>
        <v>1707.50202</v>
      </c>
      <c r="H55" s="194">
        <f t="shared" si="7"/>
        <v>1707.50202</v>
      </c>
      <c r="I55" s="193">
        <v>1.0</v>
      </c>
      <c r="J55" s="195">
        <f t="shared" si="8"/>
        <v>1707.50202</v>
      </c>
      <c r="K55" s="139"/>
      <c r="L55" s="197"/>
      <c r="M55" s="198">
        <f t="shared" si="18"/>
        <v>1</v>
      </c>
      <c r="N55" s="198"/>
      <c r="O55" s="139"/>
      <c r="P55" s="139"/>
      <c r="Q55" s="178">
        <v>1675.0</v>
      </c>
      <c r="R55" s="190">
        <v>30.0</v>
      </c>
      <c r="S55" s="178">
        <f t="shared" si="9"/>
        <v>28.61</v>
      </c>
      <c r="T55" s="162">
        <f t="shared" si="10"/>
        <v>1</v>
      </c>
      <c r="U55" s="162">
        <f t="shared" si="11"/>
        <v>28.61</v>
      </c>
      <c r="V55" s="191">
        <f t="shared" si="12"/>
        <v>1707.50202</v>
      </c>
      <c r="W55" s="178">
        <f t="shared" ref="W55:X55" si="44">C55/100</f>
        <v>0.98</v>
      </c>
      <c r="X55" s="178">
        <f t="shared" si="44"/>
        <v>2.03</v>
      </c>
      <c r="Y55" s="178">
        <f t="shared" si="14"/>
        <v>28.61</v>
      </c>
      <c r="Z55" s="192">
        <f t="shared" si="15"/>
        <v>56.916734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29.0</v>
      </c>
      <c r="B56" s="272" t="s">
        <v>121</v>
      </c>
      <c r="C56" s="272">
        <v>102.0</v>
      </c>
      <c r="D56" s="272">
        <v>203.0</v>
      </c>
      <c r="E56" s="272">
        <v>219.0</v>
      </c>
      <c r="F56" s="272">
        <f t="shared" si="5"/>
        <v>0.5</v>
      </c>
      <c r="G56" s="272">
        <f t="shared" si="6"/>
        <v>136.03842</v>
      </c>
      <c r="H56" s="273">
        <f t="shared" si="7"/>
        <v>68.01921</v>
      </c>
      <c r="I56" s="272">
        <v>1.0</v>
      </c>
      <c r="J56" s="274">
        <f t="shared" si="8"/>
        <v>68.01921</v>
      </c>
      <c r="K56" s="275"/>
      <c r="L56" s="291"/>
      <c r="M56" s="292">
        <f t="shared" si="18"/>
        <v>1</v>
      </c>
      <c r="N56" s="292"/>
      <c r="O56" s="275"/>
      <c r="P56" s="275"/>
      <c r="Q56" s="276">
        <v>137.0</v>
      </c>
      <c r="R56" s="190">
        <v>30.0</v>
      </c>
      <c r="S56" s="178">
        <f t="shared" si="9"/>
        <v>2.19</v>
      </c>
      <c r="T56" s="162">
        <f t="shared" si="10"/>
        <v>1</v>
      </c>
      <c r="U56" s="162">
        <f t="shared" si="11"/>
        <v>2.19</v>
      </c>
      <c r="V56" s="191">
        <f t="shared" si="12"/>
        <v>136.03842</v>
      </c>
      <c r="W56" s="178">
        <f t="shared" ref="W56:X56" si="45">C56/100</f>
        <v>1.02</v>
      </c>
      <c r="X56" s="178">
        <f t="shared" si="45"/>
        <v>2.03</v>
      </c>
      <c r="Y56" s="178">
        <f t="shared" si="14"/>
        <v>2.19</v>
      </c>
      <c r="Z56" s="192">
        <f t="shared" si="15"/>
        <v>4.534614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30.0</v>
      </c>
      <c r="B57" s="183" t="s">
        <v>129</v>
      </c>
      <c r="C57" s="184">
        <v>90.0</v>
      </c>
      <c r="D57" s="184">
        <v>196.0</v>
      </c>
      <c r="E57" s="184">
        <v>179.0</v>
      </c>
      <c r="F57" s="184">
        <f t="shared" si="5"/>
        <v>0.8</v>
      </c>
      <c r="G57" s="184">
        <f t="shared" si="6"/>
        <v>94.7268</v>
      </c>
      <c r="H57" s="185">
        <f t="shared" si="7"/>
        <v>75.78144</v>
      </c>
      <c r="I57" s="184">
        <v>1.0</v>
      </c>
      <c r="J57" s="186">
        <f t="shared" si="8"/>
        <v>75.78144</v>
      </c>
      <c r="K57" s="187"/>
      <c r="L57" s="278"/>
      <c r="M57" s="279">
        <f t="shared" si="18"/>
        <v>1</v>
      </c>
      <c r="N57" s="279"/>
      <c r="O57" s="187"/>
      <c r="P57" s="187"/>
      <c r="Q57" s="188">
        <v>98.0</v>
      </c>
      <c r="R57" s="190">
        <v>30.0</v>
      </c>
      <c r="S57" s="178">
        <f t="shared" si="9"/>
        <v>1.79</v>
      </c>
      <c r="T57" s="162">
        <f t="shared" si="10"/>
        <v>1</v>
      </c>
      <c r="U57" s="162">
        <f t="shared" si="11"/>
        <v>1.79</v>
      </c>
      <c r="V57" s="191">
        <f t="shared" si="12"/>
        <v>94.7268</v>
      </c>
      <c r="W57" s="178">
        <f t="shared" ref="W57:X57" si="46">C57/100</f>
        <v>0.9</v>
      </c>
      <c r="X57" s="178">
        <f t="shared" si="46"/>
        <v>1.96</v>
      </c>
      <c r="Y57" s="178">
        <f t="shared" si="14"/>
        <v>1.79</v>
      </c>
      <c r="Z57" s="192">
        <f t="shared" si="15"/>
        <v>3.15756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31.0</v>
      </c>
      <c r="B58" s="193" t="s">
        <v>55</v>
      </c>
      <c r="C58" s="193">
        <v>102.0</v>
      </c>
      <c r="D58" s="193">
        <v>196.0</v>
      </c>
      <c r="E58" s="193">
        <v>204.0</v>
      </c>
      <c r="F58" s="193">
        <f t="shared" si="5"/>
        <v>0</v>
      </c>
      <c r="G58" s="193">
        <f t="shared" si="6"/>
        <v>122.35104</v>
      </c>
      <c r="H58" s="194">
        <f t="shared" si="7"/>
        <v>122.35104</v>
      </c>
      <c r="I58" s="193">
        <v>1.0</v>
      </c>
      <c r="J58" s="195">
        <f t="shared" si="8"/>
        <v>122.35104</v>
      </c>
      <c r="K58" s="139"/>
      <c r="L58" s="197"/>
      <c r="M58" s="198">
        <f t="shared" si="18"/>
        <v>1</v>
      </c>
      <c r="N58" s="198"/>
      <c r="O58" s="139"/>
      <c r="P58" s="139"/>
      <c r="Q58" s="178">
        <v>124.0</v>
      </c>
      <c r="R58" s="190">
        <v>30.0</v>
      </c>
      <c r="S58" s="178">
        <f t="shared" si="9"/>
        <v>2.04</v>
      </c>
      <c r="T58" s="162">
        <f t="shared" si="10"/>
        <v>1</v>
      </c>
      <c r="U58" s="162">
        <f t="shared" si="11"/>
        <v>2.04</v>
      </c>
      <c r="V58" s="191">
        <f t="shared" si="12"/>
        <v>122.35104</v>
      </c>
      <c r="W58" s="178">
        <f t="shared" ref="W58:X58" si="47">C58/100</f>
        <v>1.02</v>
      </c>
      <c r="X58" s="178">
        <f t="shared" si="47"/>
        <v>1.96</v>
      </c>
      <c r="Y58" s="178">
        <f t="shared" si="14"/>
        <v>2.04</v>
      </c>
      <c r="Z58" s="192">
        <f t="shared" si="15"/>
        <v>4.078368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32.0</v>
      </c>
      <c r="B59" s="193" t="s">
        <v>55</v>
      </c>
      <c r="C59" s="193">
        <v>102.0</v>
      </c>
      <c r="D59" s="193">
        <v>196.0</v>
      </c>
      <c r="E59" s="193">
        <v>2880.0</v>
      </c>
      <c r="F59" s="193">
        <f t="shared" si="5"/>
        <v>0</v>
      </c>
      <c r="G59" s="193">
        <f t="shared" si="6"/>
        <v>1727.3088</v>
      </c>
      <c r="H59" s="194">
        <f t="shared" si="7"/>
        <v>1727.3088</v>
      </c>
      <c r="I59" s="193">
        <v>1.0</v>
      </c>
      <c r="J59" s="195">
        <f t="shared" si="8"/>
        <v>1727.3088</v>
      </c>
      <c r="K59" s="139"/>
      <c r="L59" s="197"/>
      <c r="M59" s="198">
        <f t="shared" si="18"/>
        <v>1</v>
      </c>
      <c r="N59" s="198"/>
      <c r="O59" s="139"/>
      <c r="P59" s="139"/>
      <c r="Q59" s="178">
        <v>1715.0</v>
      </c>
      <c r="R59" s="190">
        <v>30.0</v>
      </c>
      <c r="S59" s="178">
        <f t="shared" si="9"/>
        <v>28.8</v>
      </c>
      <c r="T59" s="162">
        <f t="shared" si="10"/>
        <v>1</v>
      </c>
      <c r="U59" s="162">
        <f t="shared" si="11"/>
        <v>28.8</v>
      </c>
      <c r="V59" s="191">
        <f t="shared" si="12"/>
        <v>1727.3088</v>
      </c>
      <c r="W59" s="178">
        <f t="shared" ref="W59:X59" si="48">C59/100</f>
        <v>1.02</v>
      </c>
      <c r="X59" s="178">
        <f t="shared" si="48"/>
        <v>1.96</v>
      </c>
      <c r="Y59" s="178">
        <f t="shared" si="14"/>
        <v>28.8</v>
      </c>
      <c r="Z59" s="192">
        <f t="shared" si="15"/>
        <v>57.57696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33.0</v>
      </c>
      <c r="B60" s="193" t="s">
        <v>55</v>
      </c>
      <c r="C60" s="193">
        <v>101.0</v>
      </c>
      <c r="D60" s="193">
        <v>196.0</v>
      </c>
      <c r="E60" s="193">
        <v>2877.0</v>
      </c>
      <c r="F60" s="193">
        <f t="shared" si="5"/>
        <v>0</v>
      </c>
      <c r="G60" s="193">
        <f t="shared" si="6"/>
        <v>1708.59276</v>
      </c>
      <c r="H60" s="194">
        <f t="shared" si="7"/>
        <v>1708.59276</v>
      </c>
      <c r="I60" s="193">
        <v>1.0</v>
      </c>
      <c r="J60" s="195">
        <f t="shared" si="8"/>
        <v>1708.59276</v>
      </c>
      <c r="K60" s="139"/>
      <c r="L60" s="197"/>
      <c r="M60" s="198">
        <f t="shared" si="18"/>
        <v>1</v>
      </c>
      <c r="N60" s="198"/>
      <c r="O60" s="139"/>
      <c r="P60" s="139"/>
      <c r="Q60" s="178">
        <v>1730.0</v>
      </c>
      <c r="R60" s="190">
        <v>30.0</v>
      </c>
      <c r="S60" s="178">
        <f t="shared" si="9"/>
        <v>28.77</v>
      </c>
      <c r="T60" s="162">
        <f t="shared" si="10"/>
        <v>1</v>
      </c>
      <c r="U60" s="162">
        <f t="shared" si="11"/>
        <v>28.77</v>
      </c>
      <c r="V60" s="191">
        <f t="shared" si="12"/>
        <v>1708.59276</v>
      </c>
      <c r="W60" s="178">
        <f t="shared" ref="W60:X60" si="49">C60/100</f>
        <v>1.01</v>
      </c>
      <c r="X60" s="178">
        <f t="shared" si="49"/>
        <v>1.96</v>
      </c>
      <c r="Y60" s="178">
        <f t="shared" si="14"/>
        <v>28.77</v>
      </c>
      <c r="Z60" s="192">
        <f t="shared" si="15"/>
        <v>56.953092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34.0</v>
      </c>
      <c r="B61" s="193" t="s">
        <v>55</v>
      </c>
      <c r="C61" s="193">
        <v>102.0</v>
      </c>
      <c r="D61" s="193">
        <v>196.0</v>
      </c>
      <c r="E61" s="193">
        <v>2877.0</v>
      </c>
      <c r="F61" s="193">
        <f t="shared" si="5"/>
        <v>0</v>
      </c>
      <c r="G61" s="193">
        <f t="shared" si="6"/>
        <v>1725.50952</v>
      </c>
      <c r="H61" s="194">
        <f t="shared" si="7"/>
        <v>1725.50952</v>
      </c>
      <c r="I61" s="193">
        <v>1.0</v>
      </c>
      <c r="J61" s="195">
        <f t="shared" si="8"/>
        <v>1725.50952</v>
      </c>
      <c r="K61" s="139"/>
      <c r="L61" s="197"/>
      <c r="M61" s="198">
        <f t="shared" si="18"/>
        <v>1</v>
      </c>
      <c r="N61" s="198"/>
      <c r="O61" s="139"/>
      <c r="P61" s="139"/>
      <c r="Q61" s="178">
        <v>1725.0</v>
      </c>
      <c r="R61" s="190">
        <v>30.0</v>
      </c>
      <c r="S61" s="178">
        <f t="shared" si="9"/>
        <v>28.77</v>
      </c>
      <c r="T61" s="162">
        <f t="shared" si="10"/>
        <v>1</v>
      </c>
      <c r="U61" s="162">
        <f t="shared" si="11"/>
        <v>28.77</v>
      </c>
      <c r="V61" s="191">
        <f t="shared" si="12"/>
        <v>1725.50952</v>
      </c>
      <c r="W61" s="178">
        <f t="shared" ref="W61:X61" si="50">C61/100</f>
        <v>1.02</v>
      </c>
      <c r="X61" s="178">
        <f t="shared" si="50"/>
        <v>1.96</v>
      </c>
      <c r="Y61" s="178">
        <f t="shared" si="14"/>
        <v>28.77</v>
      </c>
      <c r="Z61" s="192">
        <f t="shared" si="15"/>
        <v>57.516984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2">
        <v>35.0</v>
      </c>
      <c r="B62" s="193" t="s">
        <v>55</v>
      </c>
      <c r="C62" s="193">
        <v>102.0</v>
      </c>
      <c r="D62" s="193">
        <v>196.0</v>
      </c>
      <c r="E62" s="193">
        <v>2877.0</v>
      </c>
      <c r="F62" s="193">
        <f t="shared" si="5"/>
        <v>0</v>
      </c>
      <c r="G62" s="193">
        <f t="shared" si="6"/>
        <v>1725.50952</v>
      </c>
      <c r="H62" s="194">
        <f t="shared" si="7"/>
        <v>1725.50952</v>
      </c>
      <c r="I62" s="193">
        <v>1.0</v>
      </c>
      <c r="J62" s="195">
        <f t="shared" si="8"/>
        <v>1725.50952</v>
      </c>
      <c r="K62" s="139"/>
      <c r="L62" s="197"/>
      <c r="M62" s="198">
        <f t="shared" si="18"/>
        <v>1</v>
      </c>
      <c r="N62" s="198"/>
      <c r="O62" s="139"/>
      <c r="P62" s="139"/>
      <c r="Q62" s="178">
        <v>1730.0</v>
      </c>
      <c r="R62" s="190">
        <v>30.0</v>
      </c>
      <c r="S62" s="178">
        <f t="shared" si="9"/>
        <v>28.77</v>
      </c>
      <c r="T62" s="162">
        <f t="shared" si="10"/>
        <v>1</v>
      </c>
      <c r="U62" s="162">
        <f t="shared" si="11"/>
        <v>28.77</v>
      </c>
      <c r="V62" s="191">
        <f t="shared" si="12"/>
        <v>1725.50952</v>
      </c>
      <c r="W62" s="178">
        <f t="shared" ref="W62:X62" si="51">C62/100</f>
        <v>1.02</v>
      </c>
      <c r="X62" s="178">
        <f t="shared" si="51"/>
        <v>1.96</v>
      </c>
      <c r="Y62" s="178">
        <f t="shared" si="14"/>
        <v>28.77</v>
      </c>
      <c r="Z62" s="192">
        <f t="shared" si="15"/>
        <v>57.516984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2">
        <v>36.0</v>
      </c>
      <c r="B63" s="193" t="s">
        <v>55</v>
      </c>
      <c r="C63" s="193">
        <v>102.0</v>
      </c>
      <c r="D63" s="193">
        <v>196.0</v>
      </c>
      <c r="E63" s="193">
        <v>2728.0</v>
      </c>
      <c r="F63" s="193">
        <f t="shared" si="5"/>
        <v>0</v>
      </c>
      <c r="G63" s="193">
        <f t="shared" si="6"/>
        <v>1636.14528</v>
      </c>
      <c r="H63" s="194">
        <f t="shared" si="7"/>
        <v>1636.14528</v>
      </c>
      <c r="I63" s="193">
        <v>1.0</v>
      </c>
      <c r="J63" s="195">
        <f t="shared" si="8"/>
        <v>1636.14528</v>
      </c>
      <c r="K63" s="139"/>
      <c r="L63" s="197"/>
      <c r="M63" s="198">
        <f t="shared" si="18"/>
        <v>1</v>
      </c>
      <c r="N63" s="198"/>
      <c r="O63" s="139"/>
      <c r="P63" s="139"/>
      <c r="Q63" s="178">
        <v>1620.0</v>
      </c>
      <c r="R63" s="190">
        <v>30.0</v>
      </c>
      <c r="S63" s="178">
        <f t="shared" si="9"/>
        <v>27.28</v>
      </c>
      <c r="T63" s="162">
        <f t="shared" si="10"/>
        <v>1</v>
      </c>
      <c r="U63" s="162">
        <f t="shared" si="11"/>
        <v>27.28</v>
      </c>
      <c r="V63" s="191">
        <f t="shared" si="12"/>
        <v>1636.14528</v>
      </c>
      <c r="W63" s="178">
        <f t="shared" ref="W63:X63" si="52">C63/100</f>
        <v>1.02</v>
      </c>
      <c r="X63" s="178">
        <f t="shared" si="52"/>
        <v>1.96</v>
      </c>
      <c r="Y63" s="178">
        <f t="shared" si="14"/>
        <v>27.28</v>
      </c>
      <c r="Z63" s="192">
        <f t="shared" si="15"/>
        <v>54.538176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2">
        <v>37.0</v>
      </c>
      <c r="B64" s="183" t="s">
        <v>130</v>
      </c>
      <c r="C64" s="184">
        <v>100.0</v>
      </c>
      <c r="D64" s="184">
        <v>196.0</v>
      </c>
      <c r="E64" s="184">
        <v>160.0</v>
      </c>
      <c r="F64" s="184">
        <f t="shared" si="5"/>
        <v>0.8</v>
      </c>
      <c r="G64" s="184">
        <f t="shared" si="6"/>
        <v>59.584</v>
      </c>
      <c r="H64" s="185">
        <f t="shared" si="7"/>
        <v>47.6672</v>
      </c>
      <c r="I64" s="184">
        <v>1.0</v>
      </c>
      <c r="J64" s="186">
        <f t="shared" si="8"/>
        <v>47.6672</v>
      </c>
      <c r="K64" s="187"/>
      <c r="L64" s="278"/>
      <c r="M64" s="279">
        <f t="shared" si="18"/>
        <v>1</v>
      </c>
      <c r="N64" s="279"/>
      <c r="O64" s="187"/>
      <c r="P64" s="187"/>
      <c r="Q64" s="188">
        <v>58.0</v>
      </c>
      <c r="R64" s="190">
        <v>19.0</v>
      </c>
      <c r="S64" s="178">
        <f t="shared" si="9"/>
        <v>1.6</v>
      </c>
      <c r="T64" s="162">
        <f t="shared" si="10"/>
        <v>1</v>
      </c>
      <c r="U64" s="162">
        <f t="shared" si="11"/>
        <v>1.6</v>
      </c>
      <c r="V64" s="191">
        <f t="shared" si="12"/>
        <v>59.584</v>
      </c>
      <c r="W64" s="178">
        <f t="shared" ref="W64:X64" si="53">C64/100</f>
        <v>1</v>
      </c>
      <c r="X64" s="178">
        <f t="shared" si="53"/>
        <v>1.96</v>
      </c>
      <c r="Y64" s="178">
        <f t="shared" si="14"/>
        <v>1.6</v>
      </c>
      <c r="Z64" s="192">
        <f t="shared" si="15"/>
        <v>3.136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2">
        <v>38.0</v>
      </c>
      <c r="B65" s="193" t="s">
        <v>125</v>
      </c>
      <c r="C65" s="193">
        <v>105.0</v>
      </c>
      <c r="D65" s="193">
        <v>194.0</v>
      </c>
      <c r="E65" s="193">
        <v>2778.0</v>
      </c>
      <c r="F65" s="193">
        <f t="shared" si="5"/>
        <v>0</v>
      </c>
      <c r="G65" s="193">
        <f t="shared" si="6"/>
        <v>1075.16934</v>
      </c>
      <c r="H65" s="194">
        <f t="shared" si="7"/>
        <v>1075.16934</v>
      </c>
      <c r="I65" s="193">
        <v>1.0</v>
      </c>
      <c r="J65" s="195">
        <f t="shared" si="8"/>
        <v>1075.16934</v>
      </c>
      <c r="K65" s="139"/>
      <c r="L65" s="197"/>
      <c r="M65" s="198">
        <f t="shared" si="18"/>
        <v>1</v>
      </c>
      <c r="N65" s="198"/>
      <c r="O65" s="139"/>
      <c r="P65" s="139"/>
      <c r="Q65" s="178">
        <v>1065.0</v>
      </c>
      <c r="R65" s="190">
        <v>19.0</v>
      </c>
      <c r="S65" s="178">
        <f t="shared" si="9"/>
        <v>27.78</v>
      </c>
      <c r="T65" s="162">
        <f t="shared" si="10"/>
        <v>1</v>
      </c>
      <c r="U65" s="162">
        <f t="shared" si="11"/>
        <v>27.78</v>
      </c>
      <c r="V65" s="191">
        <f t="shared" si="12"/>
        <v>1075.16934</v>
      </c>
      <c r="W65" s="178">
        <f t="shared" ref="W65:X65" si="54">C65/100</f>
        <v>1.05</v>
      </c>
      <c r="X65" s="178">
        <f t="shared" si="54"/>
        <v>1.94</v>
      </c>
      <c r="Y65" s="178">
        <f t="shared" si="14"/>
        <v>27.78</v>
      </c>
      <c r="Z65" s="192">
        <f t="shared" si="15"/>
        <v>56.58786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101.0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5">C66/100</f>
        <v>0</v>
      </c>
      <c r="X66" s="199">
        <f t="shared" si="55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102.0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6">C67/100</f>
        <v>0</v>
      </c>
      <c r="X67" s="199">
        <f t="shared" si="56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103.0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7">C68/100</f>
        <v>0</v>
      </c>
      <c r="X68" s="199">
        <f t="shared" si="57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104.0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8">C69/100</f>
        <v>0</v>
      </c>
      <c r="X69" s="199">
        <f t="shared" si="58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105.0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9">C70/100</f>
        <v>0</v>
      </c>
      <c r="X70" s="199">
        <f t="shared" si="59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106.0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0">C71/100</f>
        <v>0</v>
      </c>
      <c r="X71" s="199">
        <f t="shared" si="60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107.0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1">C72/100</f>
        <v>0</v>
      </c>
      <c r="X72" s="199">
        <f t="shared" si="61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108.0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2">C73/100</f>
        <v>0</v>
      </c>
      <c r="X73" s="199">
        <f t="shared" si="62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109.0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3">C74/100</f>
        <v>0</v>
      </c>
      <c r="X74" s="199">
        <f t="shared" si="63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110.0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4">C75/100</f>
        <v>0</v>
      </c>
      <c r="X75" s="199">
        <f t="shared" si="64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111.0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5">C76/100</f>
        <v>0</v>
      </c>
      <c r="X76" s="199">
        <f t="shared" si="65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112.0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6">C77/100</f>
        <v>0</v>
      </c>
      <c r="X77" s="199">
        <f t="shared" si="66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113.0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7">C78/100</f>
        <v>0</v>
      </c>
      <c r="X78" s="199">
        <f t="shared" si="67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114.0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8">C79/100</f>
        <v>0</v>
      </c>
      <c r="X79" s="199">
        <f t="shared" si="68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115.0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9">C80/100</f>
        <v>0</v>
      </c>
      <c r="X80" s="199">
        <f t="shared" si="69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116.0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0">C81/100</f>
        <v>0</v>
      </c>
      <c r="X81" s="199">
        <f t="shared" si="70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117.0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1">C82/100</f>
        <v>0</v>
      </c>
      <c r="X82" s="199">
        <f t="shared" si="71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118.0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2">C83/100</f>
        <v>0</v>
      </c>
      <c r="X83" s="199">
        <f t="shared" si="72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119.0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3">C84/100</f>
        <v>0</v>
      </c>
      <c r="X84" s="199">
        <f t="shared" si="73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120.0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4">C85/100</f>
        <v>0</v>
      </c>
      <c r="X85" s="199">
        <f t="shared" si="74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121.0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5">C86/100</f>
        <v>0</v>
      </c>
      <c r="X86" s="199">
        <f t="shared" si="75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122.0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6">C87/100</f>
        <v>0</v>
      </c>
      <c r="X87" s="199">
        <f t="shared" si="76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123.0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7">C88/100</f>
        <v>0</v>
      </c>
      <c r="X88" s="199">
        <f t="shared" si="77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124.0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8">C89/100</f>
        <v>0</v>
      </c>
      <c r="X89" s="199">
        <f t="shared" si="78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125.0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9">C90/100</f>
        <v>0</v>
      </c>
      <c r="X90" s="199">
        <f t="shared" si="79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126.0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0">C91/100</f>
        <v>0</v>
      </c>
      <c r="X91" s="199">
        <f t="shared" si="80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127.0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1">C92/100</f>
        <v>0</v>
      </c>
      <c r="X92" s="199">
        <f t="shared" si="81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128.0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2">C93/100</f>
        <v>0</v>
      </c>
      <c r="X93" s="199">
        <f t="shared" si="82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129.0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3">C94/100</f>
        <v>0</v>
      </c>
      <c r="X94" s="199">
        <f t="shared" si="83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130.0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4">C95/100</f>
        <v>0</v>
      </c>
      <c r="X95" s="199">
        <f t="shared" si="84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131.0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5">C96/100</f>
        <v>0</v>
      </c>
      <c r="X96" s="199">
        <f t="shared" si="85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132.0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6">C97/100</f>
        <v>0</v>
      </c>
      <c r="X97" s="199">
        <f t="shared" si="86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133.0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7">C98/100</f>
        <v>0</v>
      </c>
      <c r="X98" s="199">
        <f t="shared" si="87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134.0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8">C99/100</f>
        <v>0</v>
      </c>
      <c r="X99" s="199">
        <f t="shared" si="88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135.0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9">C100/100</f>
        <v>0</v>
      </c>
      <c r="X100" s="199">
        <f t="shared" si="89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136.0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0">C101/100</f>
        <v>0</v>
      </c>
      <c r="X101" s="199">
        <f t="shared" si="90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137.0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1">C102/100</f>
        <v>0</v>
      </c>
      <c r="X102" s="199">
        <f t="shared" si="91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138.0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2">C103/100</f>
        <v>0</v>
      </c>
      <c r="X103" s="199">
        <f t="shared" si="92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139.0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3">C104/100</f>
        <v>0</v>
      </c>
      <c r="X104" s="199">
        <f t="shared" si="93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140.0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4">C105/100</f>
        <v>0</v>
      </c>
      <c r="X105" s="199">
        <f t="shared" si="94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141.0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5">C106/100</f>
        <v>0</v>
      </c>
      <c r="X106" s="199">
        <f t="shared" si="95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142.0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6">C107/100</f>
        <v>0</v>
      </c>
      <c r="X107" s="199">
        <f t="shared" si="96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143.0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7">C108/100</f>
        <v>0</v>
      </c>
      <c r="X108" s="199">
        <f t="shared" si="97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144.0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8">C109/100</f>
        <v>0</v>
      </c>
      <c r="X109" s="199">
        <f t="shared" si="98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145.0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9">C110/100</f>
        <v>0</v>
      </c>
      <c r="X110" s="199">
        <f t="shared" si="99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146.0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0">C111/100</f>
        <v>0</v>
      </c>
      <c r="X111" s="199">
        <f t="shared" si="100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147.0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1">C112/100</f>
        <v>0</v>
      </c>
      <c r="X112" s="199">
        <f t="shared" si="101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148.0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2">C113/100</f>
        <v>0</v>
      </c>
      <c r="X113" s="199">
        <f t="shared" si="102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149.0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3">C114/100</f>
        <v>0</v>
      </c>
      <c r="X114" s="199">
        <f t="shared" si="103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150.0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4">C115/100</f>
        <v>0</v>
      </c>
      <c r="X115" s="199">
        <f t="shared" si="104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151.0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5">C116/100</f>
        <v>0</v>
      </c>
      <c r="X116" s="199">
        <f t="shared" si="105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152.0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6">C117/100</f>
        <v>0</v>
      </c>
      <c r="X117" s="199">
        <f t="shared" si="106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153.0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7">C118/100</f>
        <v>0</v>
      </c>
      <c r="X118" s="199">
        <f t="shared" si="107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154.0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8">C119/100</f>
        <v>0</v>
      </c>
      <c r="X119" s="199">
        <f t="shared" si="108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155.0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9">C120/100</f>
        <v>0</v>
      </c>
      <c r="X120" s="199">
        <f t="shared" si="109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156.0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0">C121/100</f>
        <v>0</v>
      </c>
      <c r="X121" s="199">
        <f t="shared" si="110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157.0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1">C122/100</f>
        <v>0</v>
      </c>
      <c r="X122" s="199">
        <f t="shared" si="111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158.0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2">C123/100</f>
        <v>0</v>
      </c>
      <c r="X123" s="199">
        <f t="shared" si="112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159.0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3">C124/100</f>
        <v>0</v>
      </c>
      <c r="X124" s="199">
        <f t="shared" si="113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160.0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4">C125/100</f>
        <v>0</v>
      </c>
      <c r="X125" s="199">
        <f t="shared" si="114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161.0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5">C126/100</f>
        <v>0</v>
      </c>
      <c r="X126" s="199">
        <f t="shared" si="115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162.0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6">C127/100</f>
        <v>0</v>
      </c>
      <c r="X127" s="199">
        <f t="shared" si="116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163.0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7">C128/100</f>
        <v>0</v>
      </c>
      <c r="X128" s="199">
        <f t="shared" si="117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164.0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8">C129/100</f>
        <v>0</v>
      </c>
      <c r="X129" s="199">
        <f t="shared" si="118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165.0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9">C130/100</f>
        <v>0</v>
      </c>
      <c r="X130" s="199">
        <f t="shared" si="119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166.0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0">C131/100</f>
        <v>0</v>
      </c>
      <c r="X131" s="199">
        <f t="shared" si="120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167.0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1">C132/100</f>
        <v>0</v>
      </c>
      <c r="X132" s="199">
        <f t="shared" si="121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168.0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2">C133/100</f>
        <v>0</v>
      </c>
      <c r="X133" s="199">
        <f t="shared" si="122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169.0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3">C134/100</f>
        <v>0</v>
      </c>
      <c r="X134" s="199">
        <f t="shared" si="123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170.0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4">C135/100</f>
        <v>0</v>
      </c>
      <c r="X135" s="199">
        <f t="shared" si="124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171.0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5">C136/100</f>
        <v>0</v>
      </c>
      <c r="X136" s="199">
        <f t="shared" si="125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172.0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6">C137/100</f>
        <v>0</v>
      </c>
      <c r="X137" s="199">
        <f t="shared" si="126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173.0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7">C138/100</f>
        <v>0</v>
      </c>
      <c r="X138" s="199">
        <f t="shared" si="127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174.0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8">C139/100</f>
        <v>0</v>
      </c>
      <c r="X139" s="199">
        <f t="shared" si="128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175.0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9">C140/100</f>
        <v>0</v>
      </c>
      <c r="X140" s="199">
        <f t="shared" si="129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176.0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0">C141/100</f>
        <v>0</v>
      </c>
      <c r="X141" s="199">
        <f t="shared" si="130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177.0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1">C142/100</f>
        <v>0</v>
      </c>
      <c r="X142" s="199">
        <f t="shared" si="131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178.0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2">C143/100</f>
        <v>0</v>
      </c>
      <c r="X143" s="199">
        <f t="shared" si="132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179.0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3">C144/100</f>
        <v>0</v>
      </c>
      <c r="X144" s="199">
        <f t="shared" si="133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180.0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4">C145/100</f>
        <v>0</v>
      </c>
      <c r="X145" s="199">
        <f t="shared" si="134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181.0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5">C146/100</f>
        <v>0</v>
      </c>
      <c r="X146" s="199">
        <f t="shared" si="135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182.0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6">C147/100</f>
        <v>0</v>
      </c>
      <c r="X147" s="199">
        <f t="shared" si="136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183.0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7">C148/100</f>
        <v>0</v>
      </c>
      <c r="X148" s="199">
        <f t="shared" si="137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184.0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8">C149/100</f>
        <v>0</v>
      </c>
      <c r="X149" s="199">
        <f t="shared" si="138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185.0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9">C150/100</f>
        <v>0</v>
      </c>
      <c r="X150" s="199">
        <f t="shared" si="139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186.0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0">C151/100</f>
        <v>0</v>
      </c>
      <c r="X151" s="199">
        <f t="shared" si="140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187.0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1">C152/100</f>
        <v>0</v>
      </c>
      <c r="X152" s="199">
        <f t="shared" si="141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188.0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2">C153/100</f>
        <v>0</v>
      </c>
      <c r="X153" s="199">
        <f t="shared" si="142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189.0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3">C154/100</f>
        <v>0</v>
      </c>
      <c r="X154" s="199">
        <f t="shared" si="143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190.0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4">C155/100</f>
        <v>0</v>
      </c>
      <c r="X155" s="199">
        <f t="shared" si="144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191.0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5">C156/100</f>
        <v>0</v>
      </c>
      <c r="X156" s="199">
        <f t="shared" si="145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192.0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6">C157/100</f>
        <v>0</v>
      </c>
      <c r="X157" s="199">
        <f t="shared" si="146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193.0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7">C158/100</f>
        <v>0</v>
      </c>
      <c r="X158" s="199">
        <f t="shared" si="147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194.0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8">C159/100</f>
        <v>0</v>
      </c>
      <c r="X159" s="199">
        <f t="shared" si="148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195.0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9">C160/100</f>
        <v>0</v>
      </c>
      <c r="X160" s="199">
        <f t="shared" si="149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196.0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0">C161/100</f>
        <v>0</v>
      </c>
      <c r="X161" s="199">
        <f t="shared" si="150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197.0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1">C162/100</f>
        <v>0</v>
      </c>
      <c r="X162" s="199">
        <f t="shared" si="151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198.0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2">C163/100</f>
        <v>0</v>
      </c>
      <c r="X163" s="199">
        <f t="shared" si="152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199.0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3">C164/100</f>
        <v>0</v>
      </c>
      <c r="X164" s="199">
        <f t="shared" si="153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200.0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4">C165/100</f>
        <v>0</v>
      </c>
      <c r="X165" s="199">
        <f t="shared" si="154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201.0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5">C166/100</f>
        <v>0</v>
      </c>
      <c r="X166" s="199">
        <f t="shared" si="155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202.0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6">C167/100</f>
        <v>0</v>
      </c>
      <c r="X167" s="199">
        <f t="shared" si="156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203.0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7">C168/100</f>
        <v>0</v>
      </c>
      <c r="X168" s="199">
        <f t="shared" si="157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204.0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8">C169/100</f>
        <v>0</v>
      </c>
      <c r="X169" s="199">
        <f t="shared" si="158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205.0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9">C170/100</f>
        <v>0</v>
      </c>
      <c r="X170" s="199">
        <f t="shared" si="159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206.0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0">C171/100</f>
        <v>0</v>
      </c>
      <c r="X171" s="199">
        <f t="shared" si="160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207.0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1">C172/100</f>
        <v>0</v>
      </c>
      <c r="X172" s="199">
        <f t="shared" si="161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208.0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2">C173/100</f>
        <v>0</v>
      </c>
      <c r="X173" s="199">
        <f t="shared" si="162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209.0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3">C174/100</f>
        <v>0</v>
      </c>
      <c r="X174" s="199">
        <f t="shared" si="163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210.0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4">C175/100</f>
        <v>0</v>
      </c>
      <c r="X175" s="199">
        <f t="shared" si="164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211.0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5">C176/100</f>
        <v>0</v>
      </c>
      <c r="X176" s="199">
        <f t="shared" si="165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212.0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6">C177/100</f>
        <v>0</v>
      </c>
      <c r="X177" s="199">
        <f t="shared" si="166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213.0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7">C178/100</f>
        <v>0</v>
      </c>
      <c r="X178" s="199">
        <f t="shared" si="167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2">
        <v>214.0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8">C179/100</f>
        <v>0</v>
      </c>
      <c r="X179" s="199">
        <f t="shared" si="168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2">
        <v>215.0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9">C180/100</f>
        <v>0</v>
      </c>
      <c r="X180" s="199">
        <f t="shared" si="169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2">
        <v>216.0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70">C181/100</f>
        <v>0</v>
      </c>
      <c r="X181" s="199">
        <f t="shared" si="170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2">
        <v>217.0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1">C182/100</f>
        <v>0</v>
      </c>
      <c r="X182" s="199">
        <f t="shared" si="171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customHeight="1">
      <c r="A183" s="162"/>
      <c r="B183" s="178"/>
      <c r="C183" s="178"/>
      <c r="D183" s="178"/>
      <c r="E183" s="178"/>
      <c r="F183" s="178"/>
      <c r="G183" s="178"/>
      <c r="H183" s="181"/>
      <c r="I183" s="162"/>
      <c r="J183" s="204">
        <f>+Q230</f>
        <v>113.2</v>
      </c>
      <c r="K183" s="139"/>
      <c r="L183" s="139"/>
      <c r="M183" s="139"/>
      <c r="N183" s="139"/>
      <c r="O183" s="139"/>
      <c r="P183" s="139"/>
      <c r="Q183" s="139"/>
      <c r="R183" s="205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2">C183/100</f>
        <v>0</v>
      </c>
      <c r="X183" s="199">
        <f t="shared" si="172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26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customHeight="1">
      <c r="A184" s="162"/>
      <c r="B184" s="206"/>
      <c r="C184" s="206"/>
      <c r="D184" s="206"/>
      <c r="E184" s="206"/>
      <c r="F184" s="206"/>
      <c r="G184" s="206"/>
      <c r="H184" s="207"/>
      <c r="I184" s="208">
        <f>SUM(I28:I182)</f>
        <v>38</v>
      </c>
      <c r="J184" s="209">
        <f>SUM(J28:J183)</f>
        <v>40263.89664</v>
      </c>
      <c r="K184" s="210"/>
      <c r="L184" s="210"/>
      <c r="M184" s="210"/>
      <c r="N184" s="210"/>
      <c r="O184" s="210"/>
      <c r="P184" s="210"/>
      <c r="Q184" s="210"/>
      <c r="R184" s="141"/>
      <c r="S184" s="210">
        <f>SUMIFS($T$28:$T$182,$S$28:$S$182,"&gt;=3")</f>
        <v>23</v>
      </c>
      <c r="T184" s="210">
        <f t="shared" ref="T184:U184" si="173">SUM(T28:T182)</f>
        <v>38</v>
      </c>
      <c r="U184" s="210">
        <f t="shared" si="173"/>
        <v>686.06</v>
      </c>
      <c r="V184" s="210"/>
      <c r="W184" s="210"/>
      <c r="X184" s="210"/>
      <c r="Y184" s="210"/>
      <c r="Z184" s="211">
        <f>SUM(Z28:Z183)</f>
        <v>1386.217042</v>
      </c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  <c r="AL184" s="210"/>
      <c r="AM184" s="210"/>
      <c r="AN184" s="210"/>
      <c r="AO184" s="210"/>
      <c r="AP184" s="210"/>
      <c r="AQ184" s="210"/>
      <c r="AR184" s="210"/>
      <c r="AS184" s="210"/>
      <c r="AT184" s="210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141"/>
      <c r="S185" s="203"/>
      <c r="T185" s="139">
        <f>+T184-S184</f>
        <v>15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9.2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05"/>
      <c r="S186" s="139"/>
      <c r="T186" s="139" t="s">
        <v>48</v>
      </c>
      <c r="U186" s="139" t="s">
        <v>68</v>
      </c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139" t="s">
        <v>31</v>
      </c>
      <c r="T187" s="210">
        <f>SUMIFS($J$28:$J$182,$S$28:$S$182,"&gt;=3")</f>
        <v>38685.7449</v>
      </c>
      <c r="U187" s="213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9.25" customHeight="1">
      <c r="A188" s="139" t="s">
        <v>32</v>
      </c>
      <c r="B188" s="139"/>
      <c r="C188" s="139"/>
      <c r="D188" s="139" t="s">
        <v>33</v>
      </c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141"/>
      <c r="S188" s="139" t="s">
        <v>34</v>
      </c>
      <c r="T188" s="266">
        <f>J184-T187</f>
        <v>1578.151746</v>
      </c>
      <c r="U188" s="210">
        <f>+SUMIFS($U$28:$U$182,$S$28:$S$182,"&gt;=3")</f>
        <v>657.14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205"/>
      <c r="S189" s="139"/>
      <c r="T189" s="214">
        <f>+I184</f>
        <v>38</v>
      </c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39.0" customHeight="1">
      <c r="A190" s="178"/>
      <c r="B190" s="162" t="s">
        <v>12</v>
      </c>
      <c r="C190" s="179" t="s">
        <v>69</v>
      </c>
      <c r="D190" s="52"/>
      <c r="E190" s="53"/>
      <c r="F190" s="180"/>
      <c r="G190" s="180"/>
      <c r="H190" s="181" t="s">
        <v>14</v>
      </c>
      <c r="I190" s="162" t="s">
        <v>15</v>
      </c>
      <c r="J190" s="162" t="s">
        <v>16</v>
      </c>
      <c r="K190" s="139"/>
      <c r="L190" s="139"/>
      <c r="M190" s="139"/>
      <c r="N190" s="139"/>
      <c r="O190" s="139"/>
      <c r="P190" s="139"/>
      <c r="Q190" s="139"/>
      <c r="R190" s="141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5">
        <v>1.0</v>
      </c>
      <c r="B191" s="215" t="s">
        <v>85</v>
      </c>
      <c r="C191" s="215">
        <v>93.0</v>
      </c>
      <c r="D191" s="215">
        <v>203.0</v>
      </c>
      <c r="E191" s="215">
        <v>180.0</v>
      </c>
      <c r="F191" s="215">
        <f t="shared" ref="F191:F196" si="174">1-VALUE(IF(RIGHT(B191, 1)="%", RIGHT(B191, 3), 0))</f>
        <v>0.2</v>
      </c>
      <c r="G191" s="215">
        <f t="shared" ref="G191:G196" si="175">+Q191*C191/100*D191/100*E191/100</f>
        <v>0</v>
      </c>
      <c r="H191" s="216">
        <f t="shared" ref="H191:H196" si="176">IF(F191=0, G191, F191*G191)</f>
        <v>0</v>
      </c>
      <c r="I191" s="215">
        <v>1.0</v>
      </c>
      <c r="J191" s="217">
        <v>84.95549999999999</v>
      </c>
      <c r="K191" s="139"/>
      <c r="L191" s="178">
        <f t="shared" ref="L191:L196" si="177">D191*25.4/1000</f>
        <v>5.1562</v>
      </c>
      <c r="M191" s="162">
        <f t="shared" ref="M191:M194" si="178">+I191</f>
        <v>1</v>
      </c>
      <c r="N191" s="162">
        <f t="shared" ref="N191:N194" si="179">M191*L191</f>
        <v>5.1562</v>
      </c>
      <c r="O191" s="139"/>
      <c r="P191" s="139"/>
      <c r="Q191" s="139"/>
      <c r="R191" s="141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customHeight="1">
      <c r="A192" s="155">
        <v>2.0</v>
      </c>
      <c r="B192" s="215" t="s">
        <v>127</v>
      </c>
      <c r="C192" s="215">
        <v>91.0</v>
      </c>
      <c r="D192" s="215">
        <v>203.0</v>
      </c>
      <c r="E192" s="215">
        <v>199.0</v>
      </c>
      <c r="F192" s="215">
        <f t="shared" si="174"/>
        <v>0.2</v>
      </c>
      <c r="G192" s="215">
        <f t="shared" si="175"/>
        <v>0</v>
      </c>
      <c r="H192" s="216">
        <f t="shared" si="176"/>
        <v>0</v>
      </c>
      <c r="I192" s="215">
        <v>1.0</v>
      </c>
      <c r="J192" s="217">
        <v>113.95993700000001</v>
      </c>
      <c r="K192" s="139"/>
      <c r="L192" s="178">
        <f t="shared" si="177"/>
        <v>5.1562</v>
      </c>
      <c r="M192" s="162">
        <f t="shared" si="178"/>
        <v>1</v>
      </c>
      <c r="N192" s="162">
        <f t="shared" si="179"/>
        <v>5.1562</v>
      </c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customHeight="1">
      <c r="A193" s="155">
        <v>3.0</v>
      </c>
      <c r="B193" s="218" t="s">
        <v>128</v>
      </c>
      <c r="C193" s="218">
        <v>83.0</v>
      </c>
      <c r="D193" s="218">
        <v>203.0</v>
      </c>
      <c r="E193" s="218">
        <v>190.0</v>
      </c>
      <c r="F193" s="218">
        <f t="shared" si="174"/>
        <v>0.2</v>
      </c>
      <c r="G193" s="218">
        <f t="shared" si="175"/>
        <v>0</v>
      </c>
      <c r="H193" s="219">
        <f t="shared" si="176"/>
        <v>0</v>
      </c>
      <c r="I193" s="218">
        <v>1.0</v>
      </c>
      <c r="J193" s="195">
        <v>96.0393</v>
      </c>
      <c r="K193" s="139"/>
      <c r="L193" s="178">
        <f t="shared" si="177"/>
        <v>5.1562</v>
      </c>
      <c r="M193" s="162">
        <f t="shared" si="178"/>
        <v>1</v>
      </c>
      <c r="N193" s="162">
        <f t="shared" si="179"/>
        <v>5.1562</v>
      </c>
      <c r="O193" s="139"/>
      <c r="P193" s="139"/>
      <c r="Q193" s="139"/>
      <c r="R193" s="139"/>
      <c r="S193" s="220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customHeight="1">
      <c r="A194" s="155">
        <v>5.0</v>
      </c>
      <c r="B194" s="218" t="s">
        <v>121</v>
      </c>
      <c r="C194" s="218">
        <v>102.0</v>
      </c>
      <c r="D194" s="218">
        <v>203.0</v>
      </c>
      <c r="E194" s="218">
        <v>219.0</v>
      </c>
      <c r="F194" s="218">
        <f t="shared" si="174"/>
        <v>0.5</v>
      </c>
      <c r="G194" s="218">
        <f t="shared" si="175"/>
        <v>0</v>
      </c>
      <c r="H194" s="219">
        <f t="shared" si="176"/>
        <v>0</v>
      </c>
      <c r="I194" s="218">
        <v>1.0</v>
      </c>
      <c r="J194" s="195">
        <v>94.7268</v>
      </c>
      <c r="K194" s="139"/>
      <c r="L194" s="178">
        <f t="shared" si="177"/>
        <v>5.1562</v>
      </c>
      <c r="M194" s="162">
        <f t="shared" si="178"/>
        <v>1</v>
      </c>
      <c r="N194" s="162">
        <f t="shared" si="179"/>
        <v>5.1562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customHeight="1">
      <c r="A195" s="155">
        <v>6.0</v>
      </c>
      <c r="B195" s="218" t="s">
        <v>129</v>
      </c>
      <c r="C195" s="218">
        <v>90.0</v>
      </c>
      <c r="D195" s="218">
        <v>196.0</v>
      </c>
      <c r="E195" s="218">
        <v>179.0</v>
      </c>
      <c r="F195" s="218">
        <f t="shared" si="174"/>
        <v>0.2</v>
      </c>
      <c r="G195" s="218">
        <f t="shared" si="175"/>
        <v>0</v>
      </c>
      <c r="H195" s="219">
        <f t="shared" si="176"/>
        <v>0</v>
      </c>
      <c r="I195" s="218">
        <v>1.0</v>
      </c>
      <c r="J195" s="195">
        <v>59.584</v>
      </c>
      <c r="K195" s="139"/>
      <c r="L195" s="139">
        <f t="shared" si="177"/>
        <v>4.9784</v>
      </c>
      <c r="M195" s="221"/>
      <c r="N195" s="221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customHeight="1">
      <c r="A196" s="155">
        <v>7.0</v>
      </c>
      <c r="B196" s="218" t="s">
        <v>130</v>
      </c>
      <c r="C196" s="218">
        <v>100.0</v>
      </c>
      <c r="D196" s="218">
        <v>196.0</v>
      </c>
      <c r="E196" s="218">
        <v>160.0</v>
      </c>
      <c r="F196" s="218">
        <f t="shared" si="174"/>
        <v>0.2</v>
      </c>
      <c r="G196" s="218">
        <f t="shared" si="175"/>
        <v>0</v>
      </c>
      <c r="H196" s="219">
        <f t="shared" si="176"/>
        <v>0</v>
      </c>
      <c r="I196" s="218">
        <v>1.0</v>
      </c>
      <c r="J196" s="195">
        <v>136.03842</v>
      </c>
      <c r="K196" s="139"/>
      <c r="L196" s="139">
        <f t="shared" si="177"/>
        <v>4.9784</v>
      </c>
      <c r="M196" s="221"/>
      <c r="N196" s="221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2"/>
      <c r="B197" s="197"/>
      <c r="C197" s="197"/>
      <c r="D197" s="197"/>
      <c r="E197" s="197"/>
      <c r="F197" s="197"/>
      <c r="G197" s="197"/>
      <c r="H197" s="222" t="s">
        <v>38</v>
      </c>
      <c r="I197" s="197"/>
      <c r="J197" s="223">
        <f>SUM(J191:J196)</f>
        <v>585.303957</v>
      </c>
      <c r="K197" s="139"/>
      <c r="L197" s="139"/>
      <c r="M197" s="139"/>
      <c r="N197" s="139"/>
      <c r="O197" s="139"/>
      <c r="P197" s="139"/>
      <c r="Q197" s="139"/>
      <c r="R197" s="141"/>
      <c r="S197" s="224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18.75" customHeight="1">
      <c r="A198" s="176"/>
      <c r="B198" s="144"/>
      <c r="C198" s="144"/>
      <c r="D198" s="144"/>
      <c r="E198" s="144"/>
      <c r="F198" s="144"/>
      <c r="G198" s="144"/>
      <c r="H198" s="145"/>
      <c r="I198" s="144"/>
      <c r="J198" s="177"/>
      <c r="K198" s="139"/>
      <c r="L198" s="139"/>
      <c r="M198" s="139"/>
      <c r="N198" s="139"/>
      <c r="O198" s="139"/>
      <c r="P198" s="139"/>
      <c r="Q198" s="139"/>
      <c r="R198" s="141"/>
      <c r="S198" s="224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18.7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41"/>
      <c r="S199" s="224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8.7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224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18.75" customHeight="1">
      <c r="A201" s="139" t="s">
        <v>39</v>
      </c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24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4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42.0" customHeight="1">
      <c r="A203" s="178"/>
      <c r="B203" s="162" t="s">
        <v>12</v>
      </c>
      <c r="C203" s="179" t="s">
        <v>75</v>
      </c>
      <c r="D203" s="52"/>
      <c r="E203" s="53"/>
      <c r="F203" s="225"/>
      <c r="G203" s="225"/>
      <c r="H203" s="181" t="s">
        <v>14</v>
      </c>
      <c r="I203" s="226" t="s">
        <v>15</v>
      </c>
      <c r="J203" s="162" t="s">
        <v>16</v>
      </c>
      <c r="K203" s="139"/>
      <c r="L203" s="139"/>
      <c r="M203" s="139"/>
      <c r="N203" s="139"/>
      <c r="O203" s="139"/>
      <c r="P203" s="139"/>
      <c r="Q203" s="139"/>
      <c r="R203" s="224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customHeight="1">
      <c r="A204" s="162">
        <v>1.0</v>
      </c>
      <c r="B204" s="183" t="s">
        <v>78</v>
      </c>
      <c r="C204" s="200"/>
      <c r="D204" s="200"/>
      <c r="E204" s="200"/>
      <c r="F204" s="200"/>
      <c r="G204" s="200"/>
      <c r="H204" s="227">
        <v>32.0</v>
      </c>
      <c r="I204" s="200">
        <v>1.0</v>
      </c>
      <c r="J204" s="195">
        <f t="shared" ref="J204:J228" si="180">+I204*H204</f>
        <v>32</v>
      </c>
      <c r="K204" s="178"/>
      <c r="L204" s="178"/>
      <c r="M204" s="178"/>
      <c r="N204" s="178"/>
      <c r="O204" s="178"/>
      <c r="P204" s="178"/>
      <c r="Q204" s="228"/>
      <c r="R204" s="224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customHeight="1">
      <c r="A205" s="162">
        <v>2.0</v>
      </c>
      <c r="B205" s="193" t="s">
        <v>78</v>
      </c>
      <c r="C205" s="200"/>
      <c r="D205" s="200"/>
      <c r="E205" s="200"/>
      <c r="F205" s="200"/>
      <c r="G205" s="200"/>
      <c r="H205" s="227">
        <v>24.0</v>
      </c>
      <c r="I205" s="200">
        <v>1.0</v>
      </c>
      <c r="J205" s="195">
        <f t="shared" si="180"/>
        <v>24</v>
      </c>
      <c r="K205" s="178"/>
      <c r="L205" s="178"/>
      <c r="M205" s="178"/>
      <c r="N205" s="178"/>
      <c r="O205" s="178"/>
      <c r="P205" s="178"/>
      <c r="Q205" s="228"/>
      <c r="R205" s="224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2">
        <v>3.0</v>
      </c>
      <c r="B206" s="183" t="s">
        <v>124</v>
      </c>
      <c r="C206" s="200"/>
      <c r="D206" s="200"/>
      <c r="E206" s="200"/>
      <c r="F206" s="200"/>
      <c r="G206" s="200"/>
      <c r="H206" s="227">
        <v>34.0</v>
      </c>
      <c r="I206" s="200">
        <v>1.0</v>
      </c>
      <c r="J206" s="195">
        <f t="shared" si="180"/>
        <v>34</v>
      </c>
      <c r="K206" s="178"/>
      <c r="L206" s="178"/>
      <c r="M206" s="178"/>
      <c r="N206" s="178"/>
      <c r="O206" s="178"/>
      <c r="P206" s="178"/>
      <c r="Q206" s="228"/>
      <c r="R206" s="224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2">
        <v>4.0</v>
      </c>
      <c r="B207" s="193" t="s">
        <v>124</v>
      </c>
      <c r="C207" s="200"/>
      <c r="D207" s="200"/>
      <c r="E207" s="200"/>
      <c r="F207" s="200"/>
      <c r="G207" s="200"/>
      <c r="H207" s="227">
        <v>25.0</v>
      </c>
      <c r="I207" s="200">
        <v>1.0</v>
      </c>
      <c r="J207" s="195">
        <f t="shared" si="180"/>
        <v>25</v>
      </c>
      <c r="K207" s="178"/>
      <c r="L207" s="178"/>
      <c r="M207" s="178"/>
      <c r="N207" s="178"/>
      <c r="O207" s="178"/>
      <c r="P207" s="178"/>
      <c r="Q207" s="228"/>
      <c r="R207" s="224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5.0</v>
      </c>
      <c r="B208" s="183" t="s">
        <v>55</v>
      </c>
      <c r="C208" s="200"/>
      <c r="D208" s="200"/>
      <c r="E208" s="200"/>
      <c r="F208" s="200"/>
      <c r="G208" s="200"/>
      <c r="H208" s="227">
        <v>34.0</v>
      </c>
      <c r="I208" s="200">
        <v>1.0</v>
      </c>
      <c r="J208" s="195">
        <f t="shared" si="180"/>
        <v>34</v>
      </c>
      <c r="K208" s="178"/>
      <c r="L208" s="178"/>
      <c r="M208" s="178"/>
      <c r="N208" s="178"/>
      <c r="O208" s="178"/>
      <c r="P208" s="178"/>
      <c r="Q208" s="228"/>
      <c r="R208" s="22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6.0</v>
      </c>
      <c r="B209" s="193" t="s">
        <v>57</v>
      </c>
      <c r="C209" s="200"/>
      <c r="D209" s="200"/>
      <c r="E209" s="200"/>
      <c r="F209" s="200"/>
      <c r="G209" s="200"/>
      <c r="H209" s="227">
        <v>38.0</v>
      </c>
      <c r="I209" s="200">
        <v>1.0</v>
      </c>
      <c r="J209" s="195">
        <f t="shared" si="180"/>
        <v>38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>
        <v>7.0</v>
      </c>
      <c r="B210" s="183" t="s">
        <v>55</v>
      </c>
      <c r="C210" s="200"/>
      <c r="D210" s="200"/>
      <c r="E210" s="200"/>
      <c r="F210" s="200"/>
      <c r="G210" s="200"/>
      <c r="H210" s="227">
        <v>32.0</v>
      </c>
      <c r="I210" s="200">
        <v>1.0</v>
      </c>
      <c r="J210" s="195">
        <f t="shared" si="180"/>
        <v>32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2">
        <v>8.0</v>
      </c>
      <c r="B211" s="193" t="s">
        <v>55</v>
      </c>
      <c r="C211" s="200"/>
      <c r="D211" s="200"/>
      <c r="E211" s="200"/>
      <c r="F211" s="200"/>
      <c r="G211" s="200"/>
      <c r="H211" s="227">
        <v>21.0</v>
      </c>
      <c r="I211" s="200">
        <v>1.0</v>
      </c>
      <c r="J211" s="195">
        <f t="shared" si="180"/>
        <v>21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2">
        <v>9.0</v>
      </c>
      <c r="B212" s="183" t="s">
        <v>125</v>
      </c>
      <c r="C212" s="200"/>
      <c r="D212" s="200"/>
      <c r="E212" s="200"/>
      <c r="F212" s="200"/>
      <c r="G212" s="200"/>
      <c r="H212" s="227">
        <v>25.0</v>
      </c>
      <c r="I212" s="200">
        <v>1.0</v>
      </c>
      <c r="J212" s="195">
        <f t="shared" si="180"/>
        <v>25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>
        <v>10.0</v>
      </c>
      <c r="B213" s="193" t="s">
        <v>125</v>
      </c>
      <c r="C213" s="200"/>
      <c r="D213" s="200"/>
      <c r="E213" s="200"/>
      <c r="F213" s="200"/>
      <c r="G213" s="200"/>
      <c r="H213" s="227">
        <v>18.0</v>
      </c>
      <c r="I213" s="200">
        <v>1.0</v>
      </c>
      <c r="J213" s="195">
        <f t="shared" si="180"/>
        <v>18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2">
        <v>21.0</v>
      </c>
      <c r="B214" s="229"/>
      <c r="C214" s="200"/>
      <c r="D214" s="200"/>
      <c r="E214" s="200"/>
      <c r="F214" s="200"/>
      <c r="G214" s="200"/>
      <c r="H214" s="227"/>
      <c r="I214" s="200"/>
      <c r="J214" s="195">
        <f t="shared" si="180"/>
        <v>0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2">
        <v>22.0</v>
      </c>
      <c r="B215" s="229"/>
      <c r="C215" s="200"/>
      <c r="D215" s="200"/>
      <c r="E215" s="200"/>
      <c r="F215" s="200"/>
      <c r="G215" s="200"/>
      <c r="H215" s="227"/>
      <c r="I215" s="200"/>
      <c r="J215" s="195">
        <f t="shared" si="180"/>
        <v>0</v>
      </c>
      <c r="K215" s="178"/>
      <c r="L215" s="178"/>
      <c r="M215" s="178"/>
      <c r="N215" s="178"/>
      <c r="O215" s="178"/>
      <c r="P215" s="178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2">
        <v>23.0</v>
      </c>
      <c r="B216" s="229"/>
      <c r="C216" s="200"/>
      <c r="D216" s="200"/>
      <c r="E216" s="200"/>
      <c r="F216" s="200"/>
      <c r="G216" s="200"/>
      <c r="H216" s="227"/>
      <c r="I216" s="200"/>
      <c r="J216" s="195">
        <f t="shared" si="180"/>
        <v>0</v>
      </c>
      <c r="K216" s="178"/>
      <c r="L216" s="178"/>
      <c r="M216" s="178"/>
      <c r="N216" s="178"/>
      <c r="O216" s="178"/>
      <c r="P216" s="178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24.0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80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25.0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80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26.0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80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27.0</v>
      </c>
      <c r="B220" s="229"/>
      <c r="C220" s="200"/>
      <c r="D220" s="200"/>
      <c r="E220" s="200"/>
      <c r="F220" s="200"/>
      <c r="G220" s="200"/>
      <c r="H220" s="200"/>
      <c r="I220" s="200"/>
      <c r="J220" s="195">
        <f t="shared" si="180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28.0</v>
      </c>
      <c r="B221" s="229"/>
      <c r="C221" s="200"/>
      <c r="D221" s="200"/>
      <c r="E221" s="200"/>
      <c r="F221" s="200"/>
      <c r="G221" s="200"/>
      <c r="H221" s="200"/>
      <c r="I221" s="200"/>
      <c r="J221" s="195">
        <f t="shared" si="180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29.0</v>
      </c>
      <c r="B222" s="230"/>
      <c r="C222" s="200"/>
      <c r="D222" s="200"/>
      <c r="E222" s="200"/>
      <c r="F222" s="200"/>
      <c r="G222" s="200"/>
      <c r="H222" s="200"/>
      <c r="I222" s="200"/>
      <c r="J222" s="195">
        <f t="shared" si="180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30.0</v>
      </c>
      <c r="B223" s="230"/>
      <c r="C223" s="200"/>
      <c r="D223" s="200"/>
      <c r="E223" s="200"/>
      <c r="F223" s="200"/>
      <c r="G223" s="200"/>
      <c r="H223" s="227"/>
      <c r="I223" s="200"/>
      <c r="J223" s="195">
        <f t="shared" si="180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31.0</v>
      </c>
      <c r="B224" s="218"/>
      <c r="C224" s="200"/>
      <c r="D224" s="200"/>
      <c r="E224" s="200"/>
      <c r="F224" s="200"/>
      <c r="G224" s="200"/>
      <c r="H224" s="227"/>
      <c r="I224" s="200"/>
      <c r="J224" s="195">
        <f t="shared" si="180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2">
        <v>32.0</v>
      </c>
      <c r="B225" s="218"/>
      <c r="C225" s="162"/>
      <c r="D225" s="162"/>
      <c r="E225" s="162"/>
      <c r="F225" s="162"/>
      <c r="G225" s="162"/>
      <c r="H225" s="162"/>
      <c r="I225" s="162"/>
      <c r="J225" s="195">
        <f t="shared" si="180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2">
        <v>33.0</v>
      </c>
      <c r="B226" s="230"/>
      <c r="C226" s="162"/>
      <c r="D226" s="162"/>
      <c r="E226" s="162"/>
      <c r="F226" s="162"/>
      <c r="G226" s="162"/>
      <c r="H226" s="162"/>
      <c r="I226" s="162"/>
      <c r="J226" s="195">
        <f t="shared" si="180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2">
        <v>34.0</v>
      </c>
      <c r="B227" s="231"/>
      <c r="C227" s="162"/>
      <c r="D227" s="162"/>
      <c r="E227" s="162"/>
      <c r="F227" s="162"/>
      <c r="G227" s="162"/>
      <c r="H227" s="162"/>
      <c r="I227" s="162"/>
      <c r="J227" s="195">
        <f t="shared" si="180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2">
        <v>35.0</v>
      </c>
      <c r="B228" s="232"/>
      <c r="C228" s="162"/>
      <c r="D228" s="162"/>
      <c r="E228" s="162"/>
      <c r="F228" s="162"/>
      <c r="G228" s="162"/>
      <c r="H228" s="162"/>
      <c r="I228" s="162"/>
      <c r="J228" s="195">
        <f t="shared" si="180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139"/>
      <c r="B229" s="139"/>
      <c r="C229" s="139"/>
      <c r="D229" s="139"/>
      <c r="E229" s="139"/>
      <c r="F229" s="139"/>
      <c r="G229" s="139"/>
      <c r="H229" s="140" t="s">
        <v>38</v>
      </c>
      <c r="I229" s="139"/>
      <c r="J229" s="233">
        <f>SUM(J204:J228)</f>
        <v>283</v>
      </c>
      <c r="K229" s="234"/>
      <c r="L229" s="234"/>
      <c r="M229" s="234"/>
      <c r="N229" s="234"/>
      <c r="O229" s="234"/>
      <c r="P229" s="234"/>
      <c r="Q229" s="234"/>
      <c r="R229" s="139"/>
      <c r="S229" s="224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144"/>
      <c r="B230" s="144"/>
      <c r="C230" s="144"/>
      <c r="D230" s="144"/>
      <c r="E230" s="144"/>
      <c r="F230" s="144"/>
      <c r="G230" s="144"/>
      <c r="H230" s="145"/>
      <c r="I230" s="175"/>
      <c r="J230" s="206">
        <f>+J229*60%</f>
        <v>169.8</v>
      </c>
      <c r="K230" s="206"/>
      <c r="L230" s="206"/>
      <c r="M230" s="206"/>
      <c r="N230" s="206"/>
      <c r="O230" s="206"/>
      <c r="P230" s="206"/>
      <c r="Q230" s="206">
        <f>+J229*40%</f>
        <v>113.2</v>
      </c>
      <c r="R230" s="139"/>
      <c r="S230" s="224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/>
      <c r="I231" s="139"/>
      <c r="J231" s="139"/>
      <c r="K231" s="139"/>
      <c r="L231" s="139"/>
      <c r="M231" s="139"/>
      <c r="N231" s="139"/>
      <c r="O231" s="139"/>
      <c r="P231" s="139"/>
      <c r="Q231" s="139"/>
      <c r="R231" s="139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9.5" customHeight="1">
      <c r="A233" s="235" t="s">
        <v>41</v>
      </c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57.0" customHeight="1">
      <c r="A234" s="236"/>
      <c r="B234" s="237" t="s">
        <v>42</v>
      </c>
      <c r="C234" s="237" t="s">
        <v>43</v>
      </c>
      <c r="D234" s="237" t="s">
        <v>44</v>
      </c>
      <c r="E234" s="237" t="s">
        <v>45</v>
      </c>
      <c r="F234" s="237"/>
      <c r="G234" s="237"/>
      <c r="H234" s="238" t="s">
        <v>46</v>
      </c>
      <c r="I234" s="239" t="s">
        <v>47</v>
      </c>
      <c r="J234" s="139"/>
      <c r="K234" s="139"/>
      <c r="L234" s="139"/>
      <c r="M234" s="139"/>
      <c r="N234" s="139"/>
      <c r="O234" s="139"/>
      <c r="P234" s="139"/>
      <c r="Q234" s="139"/>
      <c r="R234" s="141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240" t="s">
        <v>48</v>
      </c>
      <c r="B235" s="241">
        <f>+E21</f>
        <v>42780.2104</v>
      </c>
      <c r="C235" s="242">
        <f>+J184</f>
        <v>40263.89664</v>
      </c>
      <c r="D235" s="242">
        <f>+J197</f>
        <v>585.303957</v>
      </c>
      <c r="E235" s="243">
        <f>J230</f>
        <v>169.8</v>
      </c>
      <c r="F235" s="243"/>
      <c r="G235" s="243"/>
      <c r="H235" s="244">
        <f>+I21</f>
        <v>937.5270121</v>
      </c>
      <c r="I235" s="245">
        <f>+B235-C235-D235-E235-H235</f>
        <v>823.6827903</v>
      </c>
      <c r="J235" s="139"/>
      <c r="K235" s="139"/>
      <c r="L235" s="139"/>
      <c r="M235" s="139"/>
      <c r="N235" s="139"/>
      <c r="O235" s="139"/>
      <c r="P235" s="139"/>
      <c r="Q235" s="139"/>
      <c r="R235" s="141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9.5" customHeight="1">
      <c r="A236" s="246" t="s">
        <v>49</v>
      </c>
      <c r="B236" s="247"/>
      <c r="C236" s="248">
        <f>+C235/B235</f>
        <v>0.9411804258</v>
      </c>
      <c r="D236" s="248">
        <f>+D235/B235</f>
        <v>0.01368165214</v>
      </c>
      <c r="E236" s="248">
        <f>+E235/B235</f>
        <v>0.003969124939</v>
      </c>
      <c r="F236" s="248"/>
      <c r="G236" s="248"/>
      <c r="H236" s="249">
        <f>+H235/B235</f>
        <v>0.02191496964</v>
      </c>
      <c r="I236" s="250">
        <f>+I235/B235</f>
        <v>0.01925382747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9.5" customHeight="1">
      <c r="A237" s="165"/>
      <c r="B237" s="221"/>
      <c r="C237" s="251"/>
      <c r="D237" s="251"/>
      <c r="E237" s="251"/>
      <c r="F237" s="251"/>
      <c r="G237" s="251"/>
      <c r="H237" s="252"/>
      <c r="I237" s="253"/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254"/>
      <c r="B238" s="255"/>
      <c r="C238" s="255"/>
      <c r="D238" s="255" t="s">
        <v>50</v>
      </c>
      <c r="E238" s="255" t="s">
        <v>48</v>
      </c>
      <c r="F238" s="255"/>
      <c r="G238" s="255"/>
      <c r="H238" s="256">
        <f>+D235+E235+H235+I235</f>
        <v>2516.313759</v>
      </c>
      <c r="I238" s="257"/>
      <c r="J238" s="139"/>
      <c r="K238" s="139"/>
      <c r="L238" s="139"/>
      <c r="M238" s="139"/>
      <c r="N238" s="139"/>
      <c r="O238" s="139"/>
      <c r="P238" s="139"/>
      <c r="Q238" s="139"/>
      <c r="R238" s="141"/>
      <c r="S238" s="140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258"/>
      <c r="B239" s="139"/>
      <c r="C239" s="139"/>
      <c r="D239" s="139"/>
      <c r="E239" s="139" t="s">
        <v>49</v>
      </c>
      <c r="F239" s="139"/>
      <c r="G239" s="139"/>
      <c r="H239" s="252">
        <f>+H238/B235</f>
        <v>0.05881957419</v>
      </c>
      <c r="I239" s="259"/>
      <c r="J239" s="139"/>
      <c r="K239" s="139"/>
      <c r="L239" s="139"/>
      <c r="M239" s="139"/>
      <c r="N239" s="139"/>
      <c r="O239" s="139"/>
      <c r="P239" s="139"/>
      <c r="Q239" s="139"/>
      <c r="R239" s="141"/>
      <c r="S239" s="140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8"/>
      <c r="B240" s="139"/>
      <c r="C240" s="139" t="s">
        <v>51</v>
      </c>
      <c r="D240" s="139"/>
      <c r="E240" s="139"/>
      <c r="F240" s="139"/>
      <c r="G240" s="139"/>
      <c r="H240" s="140"/>
      <c r="I240" s="259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8"/>
      <c r="B241" s="139"/>
      <c r="C241" s="139"/>
      <c r="D241" s="139" t="s">
        <v>52</v>
      </c>
      <c r="E241" s="139"/>
      <c r="F241" s="139"/>
      <c r="G241" s="139"/>
      <c r="H241" s="140">
        <f>+H240*(H238-H235)</f>
        <v>0</v>
      </c>
      <c r="I241" s="25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9.5" customHeight="1">
      <c r="A242" s="260"/>
      <c r="B242" s="261"/>
      <c r="C242" s="261"/>
      <c r="D242" s="261"/>
      <c r="E242" s="261"/>
      <c r="F242" s="261"/>
      <c r="G242" s="261"/>
      <c r="H242" s="262"/>
      <c r="I242" s="263"/>
      <c r="J242" s="139"/>
      <c r="K242" s="139"/>
      <c r="L242" s="139"/>
      <c r="M242" s="139"/>
      <c r="N242" s="139"/>
      <c r="O242" s="139"/>
      <c r="P242" s="139"/>
      <c r="Q242" s="139"/>
      <c r="R242" s="141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/>
      <c r="I243" s="13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139"/>
      <c r="B244" s="139"/>
      <c r="C244" s="139"/>
      <c r="D244" s="139"/>
      <c r="E244" s="139"/>
      <c r="F244" s="139"/>
      <c r="G244" s="139"/>
      <c r="H244" s="140"/>
      <c r="I244" s="13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90:E190"/>
    <mergeCell ref="C203:E203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44539.0</v>
      </c>
      <c r="J4" s="139" t="str">
        <f>+B8&amp;"/"&amp;B9&amp;"/"&amp;B10&amp;"/"&amp;B11&amp;"/"&amp;B12&amp;"/"&amp;B13&amp;"/"&amp;B14&amp;"/"&amp;B15&amp;"/"&amp;B16</f>
        <v>D1650/HRD2930/HRD2940/HRD2930/D2850CC////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+I232</f>
        <v>0.01745931003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59</v>
      </c>
      <c r="C8" s="155">
        <v>16.5</v>
      </c>
      <c r="D8" s="156">
        <v>0.1057</v>
      </c>
      <c r="E8" s="157">
        <f>178.73*15.5</f>
        <v>2770.315</v>
      </c>
      <c r="F8" s="157"/>
      <c r="G8" s="157"/>
      <c r="H8" s="158">
        <v>15.5</v>
      </c>
      <c r="I8" s="159">
        <f t="shared" ref="I8:I19" si="1">+D8*E8</f>
        <v>292.8222955</v>
      </c>
      <c r="J8" s="160">
        <f t="shared" ref="J8:J19" si="2">E8-I8</f>
        <v>2477.492705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57</v>
      </c>
      <c r="C9" s="155">
        <v>29.5</v>
      </c>
      <c r="D9" s="156">
        <v>0.0155</v>
      </c>
      <c r="E9" s="157">
        <f>253.14*23.5</f>
        <v>5948.79</v>
      </c>
      <c r="F9" s="157"/>
      <c r="G9" s="157"/>
      <c r="H9" s="158">
        <v>23.5</v>
      </c>
      <c r="I9" s="159">
        <f t="shared" si="1"/>
        <v>92.206245</v>
      </c>
      <c r="J9" s="160">
        <f t="shared" si="2"/>
        <v>5856.583755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231.13*14.9</f>
        <v>3443.837</v>
      </c>
      <c r="F10" s="157"/>
      <c r="G10" s="157"/>
      <c r="H10" s="158">
        <v>14.9</v>
      </c>
      <c r="I10" s="159">
        <f t="shared" si="1"/>
        <v>50.2800202</v>
      </c>
      <c r="J10" s="160">
        <f t="shared" si="2"/>
        <v>3393.55698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57</v>
      </c>
      <c r="C11" s="155">
        <v>29.5</v>
      </c>
      <c r="D11" s="163">
        <v>0.0155</v>
      </c>
      <c r="E11" s="164">
        <f>216.98*14.3</f>
        <v>3102.814</v>
      </c>
      <c r="F11" s="164"/>
      <c r="G11" s="164"/>
      <c r="H11" s="158">
        <v>14.3</v>
      </c>
      <c r="I11" s="159">
        <f t="shared" si="1"/>
        <v>48.093617</v>
      </c>
      <c r="J11" s="160">
        <f t="shared" si="2"/>
        <v>3054.720383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124</v>
      </c>
      <c r="C12" s="162">
        <v>28.5</v>
      </c>
      <c r="D12" s="163">
        <v>0.0472</v>
      </c>
      <c r="E12" s="164">
        <f>250.729*15.5</f>
        <v>3886.2995</v>
      </c>
      <c r="F12" s="164"/>
      <c r="G12" s="164"/>
      <c r="H12" s="158">
        <v>15.5</v>
      </c>
      <c r="I12" s="159">
        <f t="shared" si="1"/>
        <v>183.4333364</v>
      </c>
      <c r="J12" s="160">
        <f t="shared" si="2"/>
        <v>3702.866164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11.0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12.0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13.0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14.0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15.0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16.0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17.0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65"/>
      <c r="B20" s="166"/>
      <c r="C20" s="167"/>
      <c r="D20" s="168"/>
      <c r="E20" s="169">
        <f>SUM(E8:E19)</f>
        <v>19152.0555</v>
      </c>
      <c r="F20" s="170"/>
      <c r="G20" s="170"/>
      <c r="H20" s="171"/>
      <c r="I20" s="172">
        <f t="shared" ref="I20:J20" si="3">SUM(I8:I19)</f>
        <v>666.8355141</v>
      </c>
      <c r="J20" s="173">
        <f t="shared" si="3"/>
        <v>18485.21999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74"/>
      <c r="B21" s="144"/>
      <c r="C21" s="144"/>
      <c r="D21" s="175"/>
      <c r="E21" s="176"/>
      <c r="F21" s="151"/>
      <c r="G21" s="151"/>
      <c r="H21" s="147"/>
      <c r="I21" s="177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 t="s">
        <v>11</v>
      </c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40.5" customHeight="1">
      <c r="A26" s="178"/>
      <c r="B26" s="162" t="s">
        <v>12</v>
      </c>
      <c r="C26" s="179" t="s">
        <v>60</v>
      </c>
      <c r="D26" s="52"/>
      <c r="E26" s="53"/>
      <c r="F26" s="180"/>
      <c r="G26" s="180"/>
      <c r="H26" s="181" t="s">
        <v>14</v>
      </c>
      <c r="I26" s="162" t="s">
        <v>15</v>
      </c>
      <c r="J26" s="162" t="s">
        <v>16</v>
      </c>
      <c r="K26" s="139"/>
      <c r="L26" s="162" t="s">
        <v>17</v>
      </c>
      <c r="M26" s="162" t="s">
        <v>15</v>
      </c>
      <c r="N26" s="178" t="s">
        <v>18</v>
      </c>
      <c r="O26" s="139"/>
      <c r="P26" s="139"/>
      <c r="Q26" s="178" t="s">
        <v>61</v>
      </c>
      <c r="R26" s="182"/>
      <c r="S26" s="162" t="s">
        <v>17</v>
      </c>
      <c r="T26" s="162" t="s">
        <v>15</v>
      </c>
      <c r="U26" s="178" t="s">
        <v>18</v>
      </c>
      <c r="V26" s="139"/>
      <c r="W26" s="178" t="s">
        <v>19</v>
      </c>
      <c r="X26" s="178" t="s">
        <v>20</v>
      </c>
      <c r="Y26" s="178" t="s">
        <v>21</v>
      </c>
      <c r="Z26" s="178" t="s">
        <v>132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1.0</v>
      </c>
      <c r="B27" s="183" t="s">
        <v>67</v>
      </c>
      <c r="C27" s="184">
        <v>91.0</v>
      </c>
      <c r="D27" s="184">
        <v>191.0</v>
      </c>
      <c r="E27" s="184">
        <v>192.0</v>
      </c>
      <c r="F27" s="184">
        <f t="shared" ref="F27:F169" si="5">VALUE(IF(RIGHT(B27, 1)="%", RIGHT(B27, 3), 0))</f>
        <v>0.8</v>
      </c>
      <c r="G27" s="184">
        <f t="shared" ref="G27:G169" si="6">+R27*C27/100*D27/100*E27/100</f>
        <v>55.063008</v>
      </c>
      <c r="H27" s="185">
        <f t="shared" ref="H27:H169" si="7">IF(F27=0, G27, F27*G27)</f>
        <v>44.0504064</v>
      </c>
      <c r="I27" s="184">
        <v>1.0</v>
      </c>
      <c r="J27" s="186">
        <f t="shared" ref="J27:J169" si="8">+I27*H27</f>
        <v>44.0504064</v>
      </c>
      <c r="K27" s="187"/>
      <c r="L27" s="188">
        <f>D27*25.4/1000</f>
        <v>4.8514</v>
      </c>
      <c r="M27" s="189">
        <f>+I27</f>
        <v>1</v>
      </c>
      <c r="N27" s="189">
        <f>M27*L27</f>
        <v>4.8514</v>
      </c>
      <c r="O27" s="187"/>
      <c r="P27" s="187"/>
      <c r="Q27" s="188">
        <v>57.0</v>
      </c>
      <c r="R27" s="190">
        <v>16.5</v>
      </c>
      <c r="S27" s="178">
        <f t="shared" ref="S27:S170" si="9">E27/100</f>
        <v>1.92</v>
      </c>
      <c r="T27" s="162">
        <f t="shared" ref="T27:T170" si="10">I27</f>
        <v>1</v>
      </c>
      <c r="U27" s="162">
        <f t="shared" ref="U27:U170" si="11">T27*S27</f>
        <v>1.92</v>
      </c>
      <c r="V27" s="191">
        <f t="shared" ref="V27:V52" si="12">R27*C27/100*D27/100*E27/100</f>
        <v>55.063008</v>
      </c>
      <c r="W27" s="178">
        <f t="shared" ref="W27:X27" si="4">C27/100</f>
        <v>0.91</v>
      </c>
      <c r="X27" s="178">
        <f t="shared" si="4"/>
        <v>1.91</v>
      </c>
      <c r="Y27" s="178">
        <f t="shared" ref="Y27:Y170" si="14">U27</f>
        <v>1.92</v>
      </c>
      <c r="Z27" s="192">
        <f t="shared" ref="Z27:Z170" si="15">W27*X27*Y27</f>
        <v>3.337152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2.0</v>
      </c>
      <c r="B28" s="193" t="s">
        <v>59</v>
      </c>
      <c r="C28" s="193">
        <v>104.0</v>
      </c>
      <c r="D28" s="193">
        <v>191.0</v>
      </c>
      <c r="E28" s="193">
        <v>195.0</v>
      </c>
      <c r="F28" s="193">
        <f t="shared" si="5"/>
        <v>0</v>
      </c>
      <c r="G28" s="193">
        <f t="shared" si="6"/>
        <v>63.91242</v>
      </c>
      <c r="H28" s="194">
        <f t="shared" si="7"/>
        <v>63.91242</v>
      </c>
      <c r="I28" s="193">
        <v>1.0</v>
      </c>
      <c r="J28" s="195">
        <f t="shared" si="8"/>
        <v>63.91242</v>
      </c>
      <c r="K28" s="139"/>
      <c r="L28" s="178"/>
      <c r="M28" s="162"/>
      <c r="N28" s="162"/>
      <c r="O28" s="139"/>
      <c r="P28" s="139"/>
      <c r="Q28" s="178">
        <v>65.0</v>
      </c>
      <c r="R28" s="190">
        <v>16.5</v>
      </c>
      <c r="S28" s="178">
        <f t="shared" si="9"/>
        <v>1.95</v>
      </c>
      <c r="T28" s="162">
        <f t="shared" si="10"/>
        <v>1</v>
      </c>
      <c r="U28" s="162">
        <f t="shared" si="11"/>
        <v>1.95</v>
      </c>
      <c r="V28" s="191">
        <f t="shared" si="12"/>
        <v>63.91242</v>
      </c>
      <c r="W28" s="178">
        <f t="shared" ref="W28:X28" si="13">C28/100</f>
        <v>1.04</v>
      </c>
      <c r="X28" s="178">
        <f t="shared" si="13"/>
        <v>1.91</v>
      </c>
      <c r="Y28" s="178">
        <f t="shared" si="14"/>
        <v>1.95</v>
      </c>
      <c r="Z28" s="192">
        <f t="shared" si="15"/>
        <v>3.87348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3.0</v>
      </c>
      <c r="B29" s="193" t="s">
        <v>59</v>
      </c>
      <c r="C29" s="193">
        <v>100.0</v>
      </c>
      <c r="D29" s="193">
        <v>191.0</v>
      </c>
      <c r="E29" s="193">
        <v>232.0</v>
      </c>
      <c r="F29" s="193">
        <f t="shared" si="5"/>
        <v>0</v>
      </c>
      <c r="G29" s="193">
        <f t="shared" si="6"/>
        <v>73.1148</v>
      </c>
      <c r="H29" s="194">
        <f t="shared" si="7"/>
        <v>73.1148</v>
      </c>
      <c r="I29" s="193">
        <v>1.0</v>
      </c>
      <c r="J29" s="195">
        <f t="shared" si="8"/>
        <v>73.1148</v>
      </c>
      <c r="K29" s="139"/>
      <c r="L29" s="178">
        <f t="shared" ref="L29:L51" si="17">D29*25.4/1000</f>
        <v>4.8514</v>
      </c>
      <c r="M29" s="162">
        <f t="shared" ref="M29:M52" si="18">+I29</f>
        <v>1</v>
      </c>
      <c r="N29" s="162">
        <f t="shared" ref="N29:N51" si="19">M29*L29</f>
        <v>4.8514</v>
      </c>
      <c r="O29" s="139"/>
      <c r="P29" s="139"/>
      <c r="Q29" s="178">
        <v>70.0</v>
      </c>
      <c r="R29" s="190">
        <v>16.5</v>
      </c>
      <c r="S29" s="178">
        <f t="shared" si="9"/>
        <v>2.32</v>
      </c>
      <c r="T29" s="162">
        <f t="shared" si="10"/>
        <v>1</v>
      </c>
      <c r="U29" s="162">
        <f t="shared" si="11"/>
        <v>2.32</v>
      </c>
      <c r="V29" s="191">
        <f t="shared" si="12"/>
        <v>73.1148</v>
      </c>
      <c r="W29" s="178">
        <f t="shared" ref="W29:X29" si="16">C29/100</f>
        <v>1</v>
      </c>
      <c r="X29" s="178">
        <f t="shared" si="16"/>
        <v>1.91</v>
      </c>
      <c r="Y29" s="178">
        <f t="shared" si="14"/>
        <v>2.32</v>
      </c>
      <c r="Z29" s="192">
        <f t="shared" si="15"/>
        <v>4.4312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4.0</v>
      </c>
      <c r="B30" s="193" t="s">
        <v>59</v>
      </c>
      <c r="C30" s="193">
        <v>105.0</v>
      </c>
      <c r="D30" s="193">
        <v>191.0</v>
      </c>
      <c r="E30" s="193">
        <v>232.0</v>
      </c>
      <c r="F30" s="193">
        <f t="shared" si="5"/>
        <v>0</v>
      </c>
      <c r="G30" s="193">
        <f t="shared" si="6"/>
        <v>76.77054</v>
      </c>
      <c r="H30" s="194">
        <f t="shared" si="7"/>
        <v>76.77054</v>
      </c>
      <c r="I30" s="193">
        <v>1.0</v>
      </c>
      <c r="J30" s="195">
        <f t="shared" si="8"/>
        <v>76.77054</v>
      </c>
      <c r="K30" s="139"/>
      <c r="L30" s="178">
        <f t="shared" si="17"/>
        <v>4.8514</v>
      </c>
      <c r="M30" s="162">
        <f t="shared" si="18"/>
        <v>1</v>
      </c>
      <c r="N30" s="162">
        <f t="shared" si="19"/>
        <v>4.8514</v>
      </c>
      <c r="O30" s="139"/>
      <c r="P30" s="139"/>
      <c r="Q30" s="178">
        <v>74.0</v>
      </c>
      <c r="R30" s="190">
        <v>16.5</v>
      </c>
      <c r="S30" s="178">
        <f t="shared" si="9"/>
        <v>2.32</v>
      </c>
      <c r="T30" s="162">
        <f t="shared" si="10"/>
        <v>1</v>
      </c>
      <c r="U30" s="162">
        <f t="shared" si="11"/>
        <v>2.32</v>
      </c>
      <c r="V30" s="191">
        <f t="shared" si="12"/>
        <v>76.77054</v>
      </c>
      <c r="W30" s="178">
        <f t="shared" ref="W30:X30" si="20">C30/100</f>
        <v>1.05</v>
      </c>
      <c r="X30" s="178">
        <f t="shared" si="20"/>
        <v>1.91</v>
      </c>
      <c r="Y30" s="178">
        <f t="shared" si="14"/>
        <v>2.32</v>
      </c>
      <c r="Z30" s="192">
        <f t="shared" si="15"/>
        <v>4.65276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5.0</v>
      </c>
      <c r="B31" s="193" t="s">
        <v>59</v>
      </c>
      <c r="C31" s="193">
        <v>100.0</v>
      </c>
      <c r="D31" s="193">
        <v>191.0</v>
      </c>
      <c r="E31" s="193">
        <v>235.0</v>
      </c>
      <c r="F31" s="193">
        <f t="shared" si="5"/>
        <v>0</v>
      </c>
      <c r="G31" s="193">
        <f t="shared" si="6"/>
        <v>74.06025</v>
      </c>
      <c r="H31" s="194">
        <f t="shared" si="7"/>
        <v>74.06025</v>
      </c>
      <c r="I31" s="193">
        <v>1.0</v>
      </c>
      <c r="J31" s="195">
        <f t="shared" si="8"/>
        <v>74.06025</v>
      </c>
      <c r="K31" s="139"/>
      <c r="L31" s="178">
        <f t="shared" si="17"/>
        <v>4.8514</v>
      </c>
      <c r="M31" s="162">
        <f t="shared" si="18"/>
        <v>1</v>
      </c>
      <c r="N31" s="162">
        <f t="shared" si="19"/>
        <v>4.8514</v>
      </c>
      <c r="O31" s="139"/>
      <c r="P31" s="139"/>
      <c r="Q31" s="178">
        <v>71.0</v>
      </c>
      <c r="R31" s="190">
        <v>16.5</v>
      </c>
      <c r="S31" s="178">
        <f t="shared" si="9"/>
        <v>2.35</v>
      </c>
      <c r="T31" s="162">
        <f t="shared" si="10"/>
        <v>1</v>
      </c>
      <c r="U31" s="162">
        <f t="shared" si="11"/>
        <v>2.35</v>
      </c>
      <c r="V31" s="191">
        <f t="shared" si="12"/>
        <v>74.06025</v>
      </c>
      <c r="W31" s="178">
        <f t="shared" ref="W31:X31" si="21">C31/100</f>
        <v>1</v>
      </c>
      <c r="X31" s="178">
        <f t="shared" si="21"/>
        <v>1.91</v>
      </c>
      <c r="Y31" s="178">
        <f t="shared" si="14"/>
        <v>2.35</v>
      </c>
      <c r="Z31" s="192">
        <f t="shared" si="15"/>
        <v>4.4885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6.0</v>
      </c>
      <c r="B32" s="193" t="s">
        <v>59</v>
      </c>
      <c r="C32" s="193">
        <v>103.0</v>
      </c>
      <c r="D32" s="193">
        <v>191.0</v>
      </c>
      <c r="E32" s="193">
        <v>233.0</v>
      </c>
      <c r="F32" s="193">
        <f t="shared" si="5"/>
        <v>0</v>
      </c>
      <c r="G32" s="193">
        <f t="shared" si="6"/>
        <v>75.6328485</v>
      </c>
      <c r="H32" s="194">
        <f t="shared" si="7"/>
        <v>75.6328485</v>
      </c>
      <c r="I32" s="193">
        <v>1.0</v>
      </c>
      <c r="J32" s="195">
        <f t="shared" si="8"/>
        <v>75.6328485</v>
      </c>
      <c r="K32" s="139"/>
      <c r="L32" s="178">
        <f t="shared" si="17"/>
        <v>4.8514</v>
      </c>
      <c r="M32" s="162">
        <f t="shared" si="18"/>
        <v>1</v>
      </c>
      <c r="N32" s="162">
        <f t="shared" si="19"/>
        <v>4.8514</v>
      </c>
      <c r="O32" s="139"/>
      <c r="P32" s="139"/>
      <c r="Q32" s="178">
        <v>72.0</v>
      </c>
      <c r="R32" s="190">
        <v>16.5</v>
      </c>
      <c r="S32" s="178">
        <f t="shared" si="9"/>
        <v>2.33</v>
      </c>
      <c r="T32" s="162">
        <f t="shared" si="10"/>
        <v>1</v>
      </c>
      <c r="U32" s="162">
        <f t="shared" si="11"/>
        <v>2.33</v>
      </c>
      <c r="V32" s="191">
        <f t="shared" si="12"/>
        <v>75.6328485</v>
      </c>
      <c r="W32" s="178">
        <f t="shared" ref="W32:X32" si="22">C32/100</f>
        <v>1.03</v>
      </c>
      <c r="X32" s="178">
        <f t="shared" si="22"/>
        <v>1.91</v>
      </c>
      <c r="Y32" s="178">
        <f t="shared" si="14"/>
        <v>2.33</v>
      </c>
      <c r="Z32" s="192">
        <f t="shared" si="15"/>
        <v>4.583809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7.0</v>
      </c>
      <c r="B33" s="193" t="s">
        <v>59</v>
      </c>
      <c r="C33" s="193">
        <v>105.0</v>
      </c>
      <c r="D33" s="193">
        <v>191.0</v>
      </c>
      <c r="E33" s="193">
        <v>238.0</v>
      </c>
      <c r="F33" s="193">
        <f t="shared" si="5"/>
        <v>0</v>
      </c>
      <c r="G33" s="193">
        <f t="shared" si="6"/>
        <v>78.755985</v>
      </c>
      <c r="H33" s="194">
        <f t="shared" si="7"/>
        <v>78.755985</v>
      </c>
      <c r="I33" s="193">
        <v>1.0</v>
      </c>
      <c r="J33" s="195">
        <f t="shared" si="8"/>
        <v>78.755985</v>
      </c>
      <c r="K33" s="139"/>
      <c r="L33" s="178">
        <f t="shared" si="17"/>
        <v>4.8514</v>
      </c>
      <c r="M33" s="162">
        <f t="shared" si="18"/>
        <v>1</v>
      </c>
      <c r="N33" s="162">
        <f t="shared" si="19"/>
        <v>4.8514</v>
      </c>
      <c r="O33" s="139"/>
      <c r="P33" s="139"/>
      <c r="Q33" s="178">
        <v>75.0</v>
      </c>
      <c r="R33" s="190">
        <v>16.5</v>
      </c>
      <c r="S33" s="178">
        <f t="shared" si="9"/>
        <v>2.38</v>
      </c>
      <c r="T33" s="162">
        <f t="shared" si="10"/>
        <v>1</v>
      </c>
      <c r="U33" s="162">
        <f t="shared" si="11"/>
        <v>2.38</v>
      </c>
      <c r="V33" s="191">
        <f t="shared" si="12"/>
        <v>78.755985</v>
      </c>
      <c r="W33" s="178">
        <f t="shared" ref="W33:X33" si="23">C33/100</f>
        <v>1.05</v>
      </c>
      <c r="X33" s="178">
        <f t="shared" si="23"/>
        <v>1.91</v>
      </c>
      <c r="Y33" s="178">
        <f t="shared" si="14"/>
        <v>2.38</v>
      </c>
      <c r="Z33" s="192">
        <f t="shared" si="15"/>
        <v>4.77309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8.0</v>
      </c>
      <c r="B34" s="193" t="s">
        <v>59</v>
      </c>
      <c r="C34" s="193">
        <v>103.0</v>
      </c>
      <c r="D34" s="193">
        <v>191.0</v>
      </c>
      <c r="E34" s="193">
        <v>2846.0</v>
      </c>
      <c r="F34" s="193">
        <f t="shared" si="5"/>
        <v>0</v>
      </c>
      <c r="G34" s="193">
        <f t="shared" si="6"/>
        <v>923.824407</v>
      </c>
      <c r="H34" s="194">
        <f t="shared" si="7"/>
        <v>923.824407</v>
      </c>
      <c r="I34" s="193">
        <v>1.0</v>
      </c>
      <c r="J34" s="195">
        <f t="shared" si="8"/>
        <v>923.824407</v>
      </c>
      <c r="K34" s="139"/>
      <c r="L34" s="178">
        <f t="shared" si="17"/>
        <v>4.8514</v>
      </c>
      <c r="M34" s="162">
        <f t="shared" si="18"/>
        <v>1</v>
      </c>
      <c r="N34" s="162">
        <f t="shared" si="19"/>
        <v>4.8514</v>
      </c>
      <c r="O34" s="139"/>
      <c r="P34" s="139"/>
      <c r="Q34" s="178">
        <v>915.0</v>
      </c>
      <c r="R34" s="190">
        <v>16.5</v>
      </c>
      <c r="S34" s="178">
        <f t="shared" si="9"/>
        <v>28.46</v>
      </c>
      <c r="T34" s="162">
        <f t="shared" si="10"/>
        <v>1</v>
      </c>
      <c r="U34" s="162">
        <f t="shared" si="11"/>
        <v>28.46</v>
      </c>
      <c r="V34" s="191">
        <f t="shared" si="12"/>
        <v>923.824407</v>
      </c>
      <c r="W34" s="178">
        <f t="shared" ref="W34:X34" si="24">C34/100</f>
        <v>1.03</v>
      </c>
      <c r="X34" s="178">
        <f t="shared" si="24"/>
        <v>1.91</v>
      </c>
      <c r="Y34" s="178">
        <f t="shared" si="14"/>
        <v>28.46</v>
      </c>
      <c r="Z34" s="192">
        <f t="shared" si="15"/>
        <v>55.989358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9.0</v>
      </c>
      <c r="B35" s="193" t="s">
        <v>59</v>
      </c>
      <c r="C35" s="193">
        <v>106.0</v>
      </c>
      <c r="D35" s="193">
        <v>191.0</v>
      </c>
      <c r="E35" s="193">
        <v>2844.0</v>
      </c>
      <c r="F35" s="193">
        <f t="shared" si="5"/>
        <v>0</v>
      </c>
      <c r="G35" s="193">
        <f t="shared" si="6"/>
        <v>950.063796</v>
      </c>
      <c r="H35" s="194">
        <f t="shared" si="7"/>
        <v>950.063796</v>
      </c>
      <c r="I35" s="193">
        <v>1.0</v>
      </c>
      <c r="J35" s="195">
        <f t="shared" si="8"/>
        <v>950.063796</v>
      </c>
      <c r="K35" s="139"/>
      <c r="L35" s="178">
        <f t="shared" si="17"/>
        <v>4.8514</v>
      </c>
      <c r="M35" s="162">
        <f t="shared" si="18"/>
        <v>1</v>
      </c>
      <c r="N35" s="162">
        <f t="shared" si="19"/>
        <v>4.8514</v>
      </c>
      <c r="O35" s="139"/>
      <c r="P35" s="139"/>
      <c r="Q35" s="178">
        <v>940.0</v>
      </c>
      <c r="R35" s="190">
        <v>16.5</v>
      </c>
      <c r="S35" s="178">
        <f t="shared" si="9"/>
        <v>28.44</v>
      </c>
      <c r="T35" s="162">
        <f t="shared" si="10"/>
        <v>1</v>
      </c>
      <c r="U35" s="162">
        <f t="shared" si="11"/>
        <v>28.44</v>
      </c>
      <c r="V35" s="191">
        <f t="shared" si="12"/>
        <v>950.063796</v>
      </c>
      <c r="W35" s="178">
        <f t="shared" ref="W35:X35" si="25">C35/100</f>
        <v>1.06</v>
      </c>
      <c r="X35" s="178">
        <f t="shared" si="25"/>
        <v>1.91</v>
      </c>
      <c r="Y35" s="178">
        <f t="shared" si="14"/>
        <v>28.44</v>
      </c>
      <c r="Z35" s="192">
        <f t="shared" si="15"/>
        <v>57.579624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10.0</v>
      </c>
      <c r="B36" s="183" t="s">
        <v>94</v>
      </c>
      <c r="C36" s="193">
        <v>88.0</v>
      </c>
      <c r="D36" s="193">
        <v>218.0</v>
      </c>
      <c r="E36" s="193">
        <v>190.0</v>
      </c>
      <c r="F36" s="193">
        <f t="shared" si="5"/>
        <v>0.8</v>
      </c>
      <c r="G36" s="193">
        <f t="shared" si="6"/>
        <v>109.3488</v>
      </c>
      <c r="H36" s="194">
        <f t="shared" si="7"/>
        <v>87.47904</v>
      </c>
      <c r="I36" s="193">
        <v>1.0</v>
      </c>
      <c r="J36" s="195">
        <f t="shared" si="8"/>
        <v>87.47904</v>
      </c>
      <c r="K36" s="139"/>
      <c r="L36" s="178">
        <f t="shared" si="17"/>
        <v>5.5372</v>
      </c>
      <c r="M36" s="162">
        <f t="shared" si="18"/>
        <v>1</v>
      </c>
      <c r="N36" s="162">
        <f t="shared" si="19"/>
        <v>5.5372</v>
      </c>
      <c r="O36" s="139"/>
      <c r="P36" s="139"/>
      <c r="Q36" s="178">
        <v>110.0</v>
      </c>
      <c r="R36" s="190">
        <v>30.0</v>
      </c>
      <c r="S36" s="178">
        <f t="shared" si="9"/>
        <v>1.9</v>
      </c>
      <c r="T36" s="162">
        <f t="shared" si="10"/>
        <v>1</v>
      </c>
      <c r="U36" s="162">
        <f t="shared" si="11"/>
        <v>1.9</v>
      </c>
      <c r="V36" s="191">
        <f t="shared" si="12"/>
        <v>109.3488</v>
      </c>
      <c r="W36" s="178">
        <f t="shared" ref="W36:X36" si="26">C36/100</f>
        <v>0.88</v>
      </c>
      <c r="X36" s="178">
        <f t="shared" si="26"/>
        <v>2.18</v>
      </c>
      <c r="Y36" s="178">
        <f t="shared" si="14"/>
        <v>1.9</v>
      </c>
      <c r="Z36" s="192">
        <f t="shared" si="15"/>
        <v>3.64496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11.0</v>
      </c>
      <c r="B37" s="193" t="s">
        <v>57</v>
      </c>
      <c r="C37" s="193">
        <v>49.0</v>
      </c>
      <c r="D37" s="193">
        <v>218.0</v>
      </c>
      <c r="E37" s="193">
        <v>185.0</v>
      </c>
      <c r="F37" s="193">
        <f t="shared" si="5"/>
        <v>0</v>
      </c>
      <c r="G37" s="193">
        <f t="shared" si="6"/>
        <v>59.2851</v>
      </c>
      <c r="H37" s="194">
        <f t="shared" si="7"/>
        <v>59.2851</v>
      </c>
      <c r="I37" s="193">
        <v>1.0</v>
      </c>
      <c r="J37" s="195">
        <f t="shared" si="8"/>
        <v>59.2851</v>
      </c>
      <c r="K37" s="139"/>
      <c r="L37" s="178">
        <f t="shared" si="17"/>
        <v>5.5372</v>
      </c>
      <c r="M37" s="162">
        <f t="shared" si="18"/>
        <v>1</v>
      </c>
      <c r="N37" s="162">
        <f t="shared" si="19"/>
        <v>5.5372</v>
      </c>
      <c r="O37" s="139"/>
      <c r="P37" s="139"/>
      <c r="Q37" s="178">
        <v>63.0</v>
      </c>
      <c r="R37" s="190">
        <v>30.0</v>
      </c>
      <c r="S37" s="178">
        <f t="shared" si="9"/>
        <v>1.85</v>
      </c>
      <c r="T37" s="162">
        <f t="shared" si="10"/>
        <v>1</v>
      </c>
      <c r="U37" s="162">
        <f t="shared" si="11"/>
        <v>1.85</v>
      </c>
      <c r="V37" s="191">
        <f t="shared" si="12"/>
        <v>59.2851</v>
      </c>
      <c r="W37" s="178">
        <f t="shared" ref="W37:X37" si="27">C37/100</f>
        <v>0.49</v>
      </c>
      <c r="X37" s="178">
        <f t="shared" si="27"/>
        <v>2.18</v>
      </c>
      <c r="Y37" s="178">
        <f t="shared" si="14"/>
        <v>1.85</v>
      </c>
      <c r="Z37" s="192">
        <f t="shared" si="15"/>
        <v>1.97617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12.0</v>
      </c>
      <c r="B38" s="193" t="s">
        <v>57</v>
      </c>
      <c r="C38" s="193">
        <v>98.0</v>
      </c>
      <c r="D38" s="193">
        <v>218.0</v>
      </c>
      <c r="E38" s="193">
        <v>195.0</v>
      </c>
      <c r="F38" s="193">
        <f t="shared" si="5"/>
        <v>0</v>
      </c>
      <c r="G38" s="193">
        <f t="shared" si="6"/>
        <v>124.9794</v>
      </c>
      <c r="H38" s="194">
        <f t="shared" si="7"/>
        <v>124.9794</v>
      </c>
      <c r="I38" s="193">
        <v>1.0</v>
      </c>
      <c r="J38" s="195">
        <f t="shared" si="8"/>
        <v>124.9794</v>
      </c>
      <c r="K38" s="139"/>
      <c r="L38" s="178">
        <f t="shared" si="17"/>
        <v>5.5372</v>
      </c>
      <c r="M38" s="162">
        <f t="shared" si="18"/>
        <v>1</v>
      </c>
      <c r="N38" s="162">
        <f t="shared" si="19"/>
        <v>5.5372</v>
      </c>
      <c r="O38" s="139"/>
      <c r="P38" s="139"/>
      <c r="Q38" s="178">
        <v>124.0</v>
      </c>
      <c r="R38" s="190">
        <v>30.0</v>
      </c>
      <c r="S38" s="178">
        <f t="shared" si="9"/>
        <v>1.95</v>
      </c>
      <c r="T38" s="162">
        <f t="shared" si="10"/>
        <v>1</v>
      </c>
      <c r="U38" s="162">
        <f t="shared" si="11"/>
        <v>1.95</v>
      </c>
      <c r="V38" s="191">
        <f t="shared" si="12"/>
        <v>124.9794</v>
      </c>
      <c r="W38" s="178">
        <f t="shared" ref="W38:X38" si="28">C38/100</f>
        <v>0.98</v>
      </c>
      <c r="X38" s="178">
        <f t="shared" si="28"/>
        <v>2.18</v>
      </c>
      <c r="Y38" s="178">
        <f t="shared" si="14"/>
        <v>1.95</v>
      </c>
      <c r="Z38" s="192">
        <f t="shared" si="15"/>
        <v>4.16598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13.0</v>
      </c>
      <c r="B39" s="193" t="s">
        <v>57</v>
      </c>
      <c r="C39" s="193">
        <v>97.0</v>
      </c>
      <c r="D39" s="193">
        <v>218.0</v>
      </c>
      <c r="E39" s="193">
        <v>2870.0</v>
      </c>
      <c r="F39" s="193">
        <f t="shared" si="5"/>
        <v>0</v>
      </c>
      <c r="G39" s="193">
        <f t="shared" si="6"/>
        <v>1820.6706</v>
      </c>
      <c r="H39" s="194">
        <f t="shared" si="7"/>
        <v>1820.6706</v>
      </c>
      <c r="I39" s="193">
        <v>1.0</v>
      </c>
      <c r="J39" s="195">
        <f t="shared" si="8"/>
        <v>1820.6706</v>
      </c>
      <c r="K39" s="139"/>
      <c r="L39" s="178">
        <f t="shared" si="17"/>
        <v>5.5372</v>
      </c>
      <c r="M39" s="162">
        <f t="shared" si="18"/>
        <v>1</v>
      </c>
      <c r="N39" s="162">
        <f t="shared" si="19"/>
        <v>5.5372</v>
      </c>
      <c r="O39" s="139"/>
      <c r="P39" s="139"/>
      <c r="Q39" s="178">
        <v>1800.0</v>
      </c>
      <c r="R39" s="190">
        <v>30.0</v>
      </c>
      <c r="S39" s="178">
        <f t="shared" si="9"/>
        <v>28.7</v>
      </c>
      <c r="T39" s="162">
        <f t="shared" si="10"/>
        <v>1</v>
      </c>
      <c r="U39" s="162">
        <f t="shared" si="11"/>
        <v>28.7</v>
      </c>
      <c r="V39" s="191">
        <f t="shared" si="12"/>
        <v>1820.6706</v>
      </c>
      <c r="W39" s="178">
        <f t="shared" ref="W39:X39" si="29">C39/100</f>
        <v>0.97</v>
      </c>
      <c r="X39" s="178">
        <f t="shared" si="29"/>
        <v>2.18</v>
      </c>
      <c r="Y39" s="178">
        <f t="shared" si="14"/>
        <v>28.7</v>
      </c>
      <c r="Z39" s="192">
        <f t="shared" si="15"/>
        <v>60.68902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14.0</v>
      </c>
      <c r="B40" s="193" t="s">
        <v>57</v>
      </c>
      <c r="C40" s="193">
        <v>97.0</v>
      </c>
      <c r="D40" s="193">
        <v>218.0</v>
      </c>
      <c r="E40" s="193">
        <v>2873.0</v>
      </c>
      <c r="F40" s="193">
        <f t="shared" si="5"/>
        <v>0</v>
      </c>
      <c r="G40" s="193">
        <f t="shared" si="6"/>
        <v>1822.57374</v>
      </c>
      <c r="H40" s="194">
        <f t="shared" si="7"/>
        <v>1822.57374</v>
      </c>
      <c r="I40" s="193">
        <v>1.0</v>
      </c>
      <c r="J40" s="195">
        <f t="shared" si="8"/>
        <v>1822.57374</v>
      </c>
      <c r="K40" s="139"/>
      <c r="L40" s="178">
        <f t="shared" si="17"/>
        <v>5.5372</v>
      </c>
      <c r="M40" s="162">
        <f t="shared" si="18"/>
        <v>1</v>
      </c>
      <c r="N40" s="162">
        <f t="shared" si="19"/>
        <v>5.5372</v>
      </c>
      <c r="O40" s="139"/>
      <c r="P40" s="139"/>
      <c r="Q40" s="178">
        <v>1810.0</v>
      </c>
      <c r="R40" s="190">
        <v>30.0</v>
      </c>
      <c r="S40" s="178">
        <f t="shared" si="9"/>
        <v>28.73</v>
      </c>
      <c r="T40" s="162">
        <f t="shared" si="10"/>
        <v>1</v>
      </c>
      <c r="U40" s="162">
        <f t="shared" si="11"/>
        <v>28.73</v>
      </c>
      <c r="V40" s="191">
        <f t="shared" si="12"/>
        <v>1822.57374</v>
      </c>
      <c r="W40" s="178">
        <f t="shared" ref="W40:X40" si="30">C40/100</f>
        <v>0.97</v>
      </c>
      <c r="X40" s="178">
        <f t="shared" si="30"/>
        <v>2.18</v>
      </c>
      <c r="Y40" s="178">
        <f t="shared" si="14"/>
        <v>28.73</v>
      </c>
      <c r="Z40" s="192">
        <f t="shared" si="15"/>
        <v>60.752458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15.0</v>
      </c>
      <c r="B41" s="193" t="s">
        <v>57</v>
      </c>
      <c r="C41" s="193">
        <v>97.0</v>
      </c>
      <c r="D41" s="193">
        <v>218.0</v>
      </c>
      <c r="E41" s="193">
        <v>2708.0</v>
      </c>
      <c r="F41" s="193">
        <f t="shared" si="5"/>
        <v>0</v>
      </c>
      <c r="G41" s="193">
        <f t="shared" si="6"/>
        <v>1717.90104</v>
      </c>
      <c r="H41" s="194">
        <f t="shared" si="7"/>
        <v>1717.90104</v>
      </c>
      <c r="I41" s="193">
        <v>1.0</v>
      </c>
      <c r="J41" s="195">
        <f t="shared" si="8"/>
        <v>1717.90104</v>
      </c>
      <c r="K41" s="139"/>
      <c r="L41" s="178">
        <f t="shared" si="17"/>
        <v>5.5372</v>
      </c>
      <c r="M41" s="162">
        <f t="shared" si="18"/>
        <v>1</v>
      </c>
      <c r="N41" s="162">
        <f t="shared" si="19"/>
        <v>5.5372</v>
      </c>
      <c r="O41" s="139"/>
      <c r="P41" s="139"/>
      <c r="Q41" s="178">
        <v>1685.0</v>
      </c>
      <c r="R41" s="190">
        <v>30.0</v>
      </c>
      <c r="S41" s="178">
        <f t="shared" si="9"/>
        <v>27.08</v>
      </c>
      <c r="T41" s="162">
        <f t="shared" si="10"/>
        <v>1</v>
      </c>
      <c r="U41" s="162">
        <f t="shared" si="11"/>
        <v>27.08</v>
      </c>
      <c r="V41" s="191">
        <f t="shared" si="12"/>
        <v>1717.90104</v>
      </c>
      <c r="W41" s="178">
        <f t="shared" ref="W41:X41" si="31">C41/100</f>
        <v>0.97</v>
      </c>
      <c r="X41" s="178">
        <f t="shared" si="31"/>
        <v>2.18</v>
      </c>
      <c r="Y41" s="178">
        <f t="shared" si="14"/>
        <v>27.08</v>
      </c>
      <c r="Z41" s="192">
        <f t="shared" si="15"/>
        <v>57.263368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16.0</v>
      </c>
      <c r="B42" s="183" t="s">
        <v>63</v>
      </c>
      <c r="C42" s="193">
        <v>100.0</v>
      </c>
      <c r="D42" s="193">
        <v>178.0</v>
      </c>
      <c r="E42" s="193">
        <v>196.0</v>
      </c>
      <c r="F42" s="193">
        <f t="shared" si="5"/>
        <v>0.8</v>
      </c>
      <c r="G42" s="193">
        <f t="shared" si="6"/>
        <v>104.664</v>
      </c>
      <c r="H42" s="194">
        <f t="shared" si="7"/>
        <v>83.7312</v>
      </c>
      <c r="I42" s="193">
        <v>1.0</v>
      </c>
      <c r="J42" s="195">
        <f t="shared" si="8"/>
        <v>83.7312</v>
      </c>
      <c r="K42" s="139"/>
      <c r="L42" s="178">
        <f t="shared" si="17"/>
        <v>4.5212</v>
      </c>
      <c r="M42" s="162">
        <f t="shared" si="18"/>
        <v>1</v>
      </c>
      <c r="N42" s="162">
        <f t="shared" si="19"/>
        <v>4.5212</v>
      </c>
      <c r="O42" s="139"/>
      <c r="P42" s="139"/>
      <c r="Q42" s="178">
        <v>106.0</v>
      </c>
      <c r="R42" s="190">
        <v>30.0</v>
      </c>
      <c r="S42" s="178">
        <f t="shared" si="9"/>
        <v>1.96</v>
      </c>
      <c r="T42" s="162">
        <f t="shared" si="10"/>
        <v>1</v>
      </c>
      <c r="U42" s="162">
        <f t="shared" si="11"/>
        <v>1.96</v>
      </c>
      <c r="V42" s="191">
        <f t="shared" si="12"/>
        <v>104.664</v>
      </c>
      <c r="W42" s="178">
        <f t="shared" ref="W42:X42" si="32">C42/100</f>
        <v>1</v>
      </c>
      <c r="X42" s="178">
        <f t="shared" si="32"/>
        <v>1.78</v>
      </c>
      <c r="Y42" s="178">
        <f t="shared" si="14"/>
        <v>1.96</v>
      </c>
      <c r="Z42" s="192">
        <f t="shared" si="15"/>
        <v>3.4888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17.0</v>
      </c>
      <c r="B43" s="193" t="s">
        <v>55</v>
      </c>
      <c r="C43" s="193">
        <v>97.0</v>
      </c>
      <c r="D43" s="193">
        <v>178.0</v>
      </c>
      <c r="E43" s="193">
        <v>2699.0</v>
      </c>
      <c r="F43" s="193">
        <f t="shared" si="5"/>
        <v>0</v>
      </c>
      <c r="G43" s="193">
        <f t="shared" si="6"/>
        <v>1398.02802</v>
      </c>
      <c r="H43" s="194">
        <f t="shared" si="7"/>
        <v>1398.02802</v>
      </c>
      <c r="I43" s="193">
        <v>1.0</v>
      </c>
      <c r="J43" s="195">
        <f t="shared" si="8"/>
        <v>1398.02802</v>
      </c>
      <c r="K43" s="139"/>
      <c r="L43" s="178">
        <f t="shared" si="17"/>
        <v>4.5212</v>
      </c>
      <c r="M43" s="162">
        <f t="shared" si="18"/>
        <v>1</v>
      </c>
      <c r="N43" s="162">
        <f t="shared" si="19"/>
        <v>4.5212</v>
      </c>
      <c r="O43" s="139"/>
      <c r="P43" s="139"/>
      <c r="Q43" s="178">
        <v>1435.0</v>
      </c>
      <c r="R43" s="190">
        <v>30.0</v>
      </c>
      <c r="S43" s="178">
        <f t="shared" si="9"/>
        <v>26.99</v>
      </c>
      <c r="T43" s="162">
        <f t="shared" si="10"/>
        <v>1</v>
      </c>
      <c r="U43" s="162">
        <f t="shared" si="11"/>
        <v>26.99</v>
      </c>
      <c r="V43" s="191">
        <f t="shared" si="12"/>
        <v>1398.02802</v>
      </c>
      <c r="W43" s="178">
        <f t="shared" ref="W43:X43" si="33">C43/100</f>
        <v>0.97</v>
      </c>
      <c r="X43" s="178">
        <f t="shared" si="33"/>
        <v>1.78</v>
      </c>
      <c r="Y43" s="178">
        <f t="shared" si="14"/>
        <v>26.99</v>
      </c>
      <c r="Z43" s="192">
        <f t="shared" si="15"/>
        <v>46.600934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18.0</v>
      </c>
      <c r="B44" s="193" t="s">
        <v>55</v>
      </c>
      <c r="C44" s="193">
        <v>100.0</v>
      </c>
      <c r="D44" s="193">
        <v>178.0</v>
      </c>
      <c r="E44" s="193">
        <v>2866.0</v>
      </c>
      <c r="F44" s="193">
        <f t="shared" si="5"/>
        <v>0</v>
      </c>
      <c r="G44" s="193">
        <f t="shared" si="6"/>
        <v>1530.444</v>
      </c>
      <c r="H44" s="194">
        <f t="shared" si="7"/>
        <v>1530.444</v>
      </c>
      <c r="I44" s="193">
        <v>1.0</v>
      </c>
      <c r="J44" s="195">
        <f t="shared" si="8"/>
        <v>1530.444</v>
      </c>
      <c r="K44" s="139"/>
      <c r="L44" s="178">
        <f t="shared" si="17"/>
        <v>4.5212</v>
      </c>
      <c r="M44" s="162">
        <f t="shared" si="18"/>
        <v>1</v>
      </c>
      <c r="N44" s="162">
        <f t="shared" si="19"/>
        <v>4.5212</v>
      </c>
      <c r="O44" s="139"/>
      <c r="P44" s="139"/>
      <c r="Q44" s="178">
        <v>1545.0</v>
      </c>
      <c r="R44" s="190">
        <v>30.0</v>
      </c>
      <c r="S44" s="178">
        <f t="shared" si="9"/>
        <v>28.66</v>
      </c>
      <c r="T44" s="162">
        <f t="shared" si="10"/>
        <v>1</v>
      </c>
      <c r="U44" s="162">
        <f t="shared" si="11"/>
        <v>28.66</v>
      </c>
      <c r="V44" s="191">
        <f t="shared" si="12"/>
        <v>1530.444</v>
      </c>
      <c r="W44" s="178">
        <f t="shared" ref="W44:X44" si="34">C44/100</f>
        <v>1</v>
      </c>
      <c r="X44" s="178">
        <f t="shared" si="34"/>
        <v>1.78</v>
      </c>
      <c r="Y44" s="178">
        <f t="shared" si="14"/>
        <v>28.66</v>
      </c>
      <c r="Z44" s="192">
        <f t="shared" si="15"/>
        <v>51.0148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19.0</v>
      </c>
      <c r="B45" s="183" t="s">
        <v>94</v>
      </c>
      <c r="C45" s="184">
        <v>92.0</v>
      </c>
      <c r="D45" s="184">
        <v>163.0</v>
      </c>
      <c r="E45" s="184">
        <v>187.0</v>
      </c>
      <c r="F45" s="184">
        <f t="shared" si="5"/>
        <v>0.8</v>
      </c>
      <c r="G45" s="184">
        <f t="shared" si="6"/>
        <v>84.12756</v>
      </c>
      <c r="H45" s="185">
        <f t="shared" si="7"/>
        <v>67.302048</v>
      </c>
      <c r="I45" s="184">
        <v>1.0</v>
      </c>
      <c r="J45" s="186">
        <f t="shared" si="8"/>
        <v>67.302048</v>
      </c>
      <c r="K45" s="187"/>
      <c r="L45" s="188">
        <f t="shared" si="17"/>
        <v>4.1402</v>
      </c>
      <c r="M45" s="189">
        <f t="shared" si="18"/>
        <v>1</v>
      </c>
      <c r="N45" s="189">
        <f t="shared" si="19"/>
        <v>4.1402</v>
      </c>
      <c r="O45" s="187"/>
      <c r="P45" s="187"/>
      <c r="Q45" s="188">
        <v>84.0</v>
      </c>
      <c r="R45" s="190">
        <v>30.0</v>
      </c>
      <c r="S45" s="178">
        <f t="shared" si="9"/>
        <v>1.87</v>
      </c>
      <c r="T45" s="162">
        <f t="shared" si="10"/>
        <v>1</v>
      </c>
      <c r="U45" s="162">
        <f t="shared" si="11"/>
        <v>1.87</v>
      </c>
      <c r="V45" s="191">
        <f t="shared" si="12"/>
        <v>84.12756</v>
      </c>
      <c r="W45" s="178">
        <f t="shared" ref="W45:X45" si="35">C45/100</f>
        <v>0.92</v>
      </c>
      <c r="X45" s="178">
        <f t="shared" si="35"/>
        <v>1.63</v>
      </c>
      <c r="Y45" s="178">
        <f t="shared" si="14"/>
        <v>1.87</v>
      </c>
      <c r="Z45" s="192">
        <f t="shared" si="15"/>
        <v>2.804252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20.0</v>
      </c>
      <c r="B46" s="193" t="s">
        <v>57</v>
      </c>
      <c r="C46" s="193">
        <v>100.0</v>
      </c>
      <c r="D46" s="193">
        <v>163.0</v>
      </c>
      <c r="E46" s="193">
        <v>193.0</v>
      </c>
      <c r="F46" s="193">
        <f t="shared" si="5"/>
        <v>0</v>
      </c>
      <c r="G46" s="193">
        <f t="shared" si="6"/>
        <v>94.377</v>
      </c>
      <c r="H46" s="194">
        <f t="shared" si="7"/>
        <v>94.377</v>
      </c>
      <c r="I46" s="193">
        <v>1.0</v>
      </c>
      <c r="J46" s="195">
        <f t="shared" si="8"/>
        <v>94.377</v>
      </c>
      <c r="K46" s="139"/>
      <c r="L46" s="178">
        <f t="shared" si="17"/>
        <v>4.1402</v>
      </c>
      <c r="M46" s="162">
        <f t="shared" si="18"/>
        <v>1</v>
      </c>
      <c r="N46" s="162">
        <f t="shared" si="19"/>
        <v>4.1402</v>
      </c>
      <c r="O46" s="139"/>
      <c r="P46" s="139"/>
      <c r="Q46" s="178">
        <v>93.0</v>
      </c>
      <c r="R46" s="190">
        <v>30.0</v>
      </c>
      <c r="S46" s="178">
        <f t="shared" si="9"/>
        <v>1.93</v>
      </c>
      <c r="T46" s="162">
        <f t="shared" si="10"/>
        <v>1</v>
      </c>
      <c r="U46" s="162">
        <f t="shared" si="11"/>
        <v>1.93</v>
      </c>
      <c r="V46" s="191">
        <f t="shared" si="12"/>
        <v>94.377</v>
      </c>
      <c r="W46" s="178">
        <f t="shared" ref="W46:X46" si="36">C46/100</f>
        <v>1</v>
      </c>
      <c r="X46" s="178">
        <f t="shared" si="36"/>
        <v>1.63</v>
      </c>
      <c r="Y46" s="178">
        <f t="shared" si="14"/>
        <v>1.93</v>
      </c>
      <c r="Z46" s="192">
        <f t="shared" si="15"/>
        <v>3.1459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21.0</v>
      </c>
      <c r="B47" s="193" t="s">
        <v>57</v>
      </c>
      <c r="C47" s="193">
        <v>99.0</v>
      </c>
      <c r="D47" s="193">
        <v>163.0</v>
      </c>
      <c r="E47" s="193">
        <v>2685.0</v>
      </c>
      <c r="F47" s="193">
        <f t="shared" si="5"/>
        <v>0</v>
      </c>
      <c r="G47" s="193">
        <f t="shared" si="6"/>
        <v>1299.83535</v>
      </c>
      <c r="H47" s="194">
        <f t="shared" si="7"/>
        <v>1299.83535</v>
      </c>
      <c r="I47" s="193">
        <v>1.0</v>
      </c>
      <c r="J47" s="195">
        <f t="shared" si="8"/>
        <v>1299.83535</v>
      </c>
      <c r="K47" s="139"/>
      <c r="L47" s="178">
        <f t="shared" si="17"/>
        <v>4.1402</v>
      </c>
      <c r="M47" s="162">
        <f t="shared" si="18"/>
        <v>1</v>
      </c>
      <c r="N47" s="162">
        <f t="shared" si="19"/>
        <v>4.1402</v>
      </c>
      <c r="O47" s="139"/>
      <c r="P47" s="139"/>
      <c r="Q47" s="178">
        <v>1290.0</v>
      </c>
      <c r="R47" s="190">
        <v>30.0</v>
      </c>
      <c r="S47" s="178">
        <f t="shared" si="9"/>
        <v>26.85</v>
      </c>
      <c r="T47" s="162">
        <f t="shared" si="10"/>
        <v>1</v>
      </c>
      <c r="U47" s="162">
        <f t="shared" si="11"/>
        <v>26.85</v>
      </c>
      <c r="V47" s="191">
        <f t="shared" si="12"/>
        <v>1299.83535</v>
      </c>
      <c r="W47" s="178">
        <f t="shared" ref="W47:X47" si="37">C47/100</f>
        <v>0.99</v>
      </c>
      <c r="X47" s="178">
        <f t="shared" si="37"/>
        <v>1.63</v>
      </c>
      <c r="Y47" s="178">
        <f t="shared" si="14"/>
        <v>26.85</v>
      </c>
      <c r="Z47" s="192">
        <f t="shared" si="15"/>
        <v>43.327845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22.0</v>
      </c>
      <c r="B48" s="193" t="s">
        <v>57</v>
      </c>
      <c r="C48" s="193">
        <v>99.0</v>
      </c>
      <c r="D48" s="193">
        <v>163.0</v>
      </c>
      <c r="E48" s="193">
        <v>2856.0</v>
      </c>
      <c r="F48" s="193">
        <f t="shared" si="5"/>
        <v>0</v>
      </c>
      <c r="G48" s="193">
        <f t="shared" si="6"/>
        <v>1382.61816</v>
      </c>
      <c r="H48" s="194">
        <f t="shared" si="7"/>
        <v>1382.61816</v>
      </c>
      <c r="I48" s="193">
        <v>1.0</v>
      </c>
      <c r="J48" s="195">
        <f t="shared" si="8"/>
        <v>1382.61816</v>
      </c>
      <c r="K48" s="139"/>
      <c r="L48" s="178">
        <f t="shared" si="17"/>
        <v>4.1402</v>
      </c>
      <c r="M48" s="162">
        <f t="shared" si="18"/>
        <v>1</v>
      </c>
      <c r="N48" s="162">
        <f t="shared" si="19"/>
        <v>4.1402</v>
      </c>
      <c r="O48" s="139"/>
      <c r="P48" s="139"/>
      <c r="Q48" s="178">
        <v>1400.0</v>
      </c>
      <c r="R48" s="190">
        <v>30.0</v>
      </c>
      <c r="S48" s="178">
        <f t="shared" si="9"/>
        <v>28.56</v>
      </c>
      <c r="T48" s="162">
        <f t="shared" si="10"/>
        <v>1</v>
      </c>
      <c r="U48" s="162">
        <f t="shared" si="11"/>
        <v>28.56</v>
      </c>
      <c r="V48" s="191">
        <f t="shared" si="12"/>
        <v>1382.61816</v>
      </c>
      <c r="W48" s="178">
        <f t="shared" ref="W48:X48" si="38">C48/100</f>
        <v>0.99</v>
      </c>
      <c r="X48" s="178">
        <f t="shared" si="38"/>
        <v>1.63</v>
      </c>
      <c r="Y48" s="178">
        <f t="shared" si="14"/>
        <v>28.56</v>
      </c>
      <c r="Z48" s="192">
        <f t="shared" si="15"/>
        <v>46.087272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23.0</v>
      </c>
      <c r="B49" s="183" t="s">
        <v>127</v>
      </c>
      <c r="C49" s="184">
        <v>84.0</v>
      </c>
      <c r="D49" s="184">
        <v>203.0</v>
      </c>
      <c r="E49" s="184">
        <v>184.0</v>
      </c>
      <c r="F49" s="184">
        <f t="shared" si="5"/>
        <v>0.8</v>
      </c>
      <c r="G49" s="184">
        <f t="shared" si="6"/>
        <v>97.264608</v>
      </c>
      <c r="H49" s="185">
        <f t="shared" si="7"/>
        <v>77.8116864</v>
      </c>
      <c r="I49" s="184">
        <v>1.0</v>
      </c>
      <c r="J49" s="186">
        <f t="shared" si="8"/>
        <v>77.8116864</v>
      </c>
      <c r="K49" s="187"/>
      <c r="L49" s="188">
        <f t="shared" si="17"/>
        <v>5.1562</v>
      </c>
      <c r="M49" s="189">
        <f t="shared" si="18"/>
        <v>1</v>
      </c>
      <c r="N49" s="189">
        <f t="shared" si="19"/>
        <v>5.1562</v>
      </c>
      <c r="O49" s="187"/>
      <c r="P49" s="187"/>
      <c r="Q49" s="188">
        <v>102.0</v>
      </c>
      <c r="R49" s="190">
        <v>31.0</v>
      </c>
      <c r="S49" s="178">
        <f t="shared" si="9"/>
        <v>1.84</v>
      </c>
      <c r="T49" s="162">
        <f t="shared" si="10"/>
        <v>1</v>
      </c>
      <c r="U49" s="162">
        <f t="shared" si="11"/>
        <v>1.84</v>
      </c>
      <c r="V49" s="191">
        <f t="shared" si="12"/>
        <v>97.264608</v>
      </c>
      <c r="W49" s="178">
        <f t="shared" ref="W49:X49" si="39">C49/100</f>
        <v>0.84</v>
      </c>
      <c r="X49" s="178">
        <f t="shared" si="39"/>
        <v>2.03</v>
      </c>
      <c r="Y49" s="178">
        <f t="shared" si="14"/>
        <v>1.84</v>
      </c>
      <c r="Z49" s="192">
        <f t="shared" si="15"/>
        <v>3.137568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24.0</v>
      </c>
      <c r="B50" s="193" t="s">
        <v>124</v>
      </c>
      <c r="C50" s="193">
        <v>94.0</v>
      </c>
      <c r="D50" s="193">
        <v>203.0</v>
      </c>
      <c r="E50" s="193">
        <v>201.0</v>
      </c>
      <c r="F50" s="193">
        <f t="shared" si="5"/>
        <v>0</v>
      </c>
      <c r="G50" s="193">
        <f t="shared" si="6"/>
        <v>118.899942</v>
      </c>
      <c r="H50" s="194">
        <f t="shared" si="7"/>
        <v>118.899942</v>
      </c>
      <c r="I50" s="193">
        <v>1.0</v>
      </c>
      <c r="J50" s="195">
        <f t="shared" si="8"/>
        <v>118.899942</v>
      </c>
      <c r="K50" s="139"/>
      <c r="L50" s="178">
        <f t="shared" si="17"/>
        <v>5.1562</v>
      </c>
      <c r="M50" s="162">
        <f t="shared" si="18"/>
        <v>1</v>
      </c>
      <c r="N50" s="162">
        <f t="shared" si="19"/>
        <v>5.1562</v>
      </c>
      <c r="O50" s="139"/>
      <c r="P50" s="139"/>
      <c r="Q50" s="178">
        <v>121.0</v>
      </c>
      <c r="R50" s="190">
        <v>31.0</v>
      </c>
      <c r="S50" s="178">
        <f t="shared" si="9"/>
        <v>2.01</v>
      </c>
      <c r="T50" s="162">
        <f t="shared" si="10"/>
        <v>1</v>
      </c>
      <c r="U50" s="162">
        <f t="shared" si="11"/>
        <v>2.01</v>
      </c>
      <c r="V50" s="191">
        <f t="shared" si="12"/>
        <v>118.899942</v>
      </c>
      <c r="W50" s="178">
        <f t="shared" ref="W50:X50" si="40">C50/100</f>
        <v>0.94</v>
      </c>
      <c r="X50" s="178">
        <f t="shared" si="40"/>
        <v>2.03</v>
      </c>
      <c r="Y50" s="178">
        <f t="shared" si="14"/>
        <v>2.01</v>
      </c>
      <c r="Z50" s="192">
        <f t="shared" si="15"/>
        <v>3.835482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25.0</v>
      </c>
      <c r="B51" s="193" t="s">
        <v>124</v>
      </c>
      <c r="C51" s="193">
        <v>94.0</v>
      </c>
      <c r="D51" s="193">
        <v>203.0</v>
      </c>
      <c r="E51" s="193">
        <v>2870.0</v>
      </c>
      <c r="F51" s="193">
        <f t="shared" si="5"/>
        <v>0</v>
      </c>
      <c r="G51" s="193">
        <f t="shared" si="6"/>
        <v>1697.72554</v>
      </c>
      <c r="H51" s="194">
        <f t="shared" si="7"/>
        <v>1697.72554</v>
      </c>
      <c r="I51" s="193">
        <v>1.0</v>
      </c>
      <c r="J51" s="195">
        <f t="shared" si="8"/>
        <v>1697.72554</v>
      </c>
      <c r="K51" s="139"/>
      <c r="L51" s="178">
        <f t="shared" si="17"/>
        <v>5.1562</v>
      </c>
      <c r="M51" s="162">
        <f t="shared" si="18"/>
        <v>1</v>
      </c>
      <c r="N51" s="162">
        <f t="shared" si="19"/>
        <v>5.1562</v>
      </c>
      <c r="O51" s="139"/>
      <c r="P51" s="139"/>
      <c r="Q51" s="178">
        <v>1695.0</v>
      </c>
      <c r="R51" s="190">
        <v>31.0</v>
      </c>
      <c r="S51" s="178">
        <f t="shared" si="9"/>
        <v>28.7</v>
      </c>
      <c r="T51" s="162">
        <f t="shared" si="10"/>
        <v>1</v>
      </c>
      <c r="U51" s="162">
        <f t="shared" si="11"/>
        <v>28.7</v>
      </c>
      <c r="V51" s="191">
        <f t="shared" si="12"/>
        <v>1697.72554</v>
      </c>
      <c r="W51" s="178">
        <f t="shared" ref="W51:X51" si="41">C51/100</f>
        <v>0.94</v>
      </c>
      <c r="X51" s="178">
        <f t="shared" si="41"/>
        <v>2.03</v>
      </c>
      <c r="Y51" s="178">
        <f t="shared" si="14"/>
        <v>28.7</v>
      </c>
      <c r="Z51" s="192">
        <f t="shared" si="15"/>
        <v>54.76534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26.0</v>
      </c>
      <c r="B52" s="193" t="s">
        <v>124</v>
      </c>
      <c r="C52" s="193">
        <v>93.0</v>
      </c>
      <c r="D52" s="193">
        <v>203.0</v>
      </c>
      <c r="E52" s="193">
        <v>2864.0</v>
      </c>
      <c r="F52" s="193">
        <f t="shared" si="5"/>
        <v>0</v>
      </c>
      <c r="G52" s="193">
        <f t="shared" si="6"/>
        <v>1676.153136</v>
      </c>
      <c r="H52" s="194">
        <f t="shared" si="7"/>
        <v>1676.153136</v>
      </c>
      <c r="I52" s="193">
        <v>1.0</v>
      </c>
      <c r="J52" s="195">
        <f t="shared" si="8"/>
        <v>1676.153136</v>
      </c>
      <c r="K52" s="139"/>
      <c r="L52" s="197"/>
      <c r="M52" s="198">
        <f t="shared" si="18"/>
        <v>1</v>
      </c>
      <c r="N52" s="198"/>
      <c r="O52" s="139"/>
      <c r="P52" s="139"/>
      <c r="Q52" s="178">
        <v>1670.0</v>
      </c>
      <c r="R52" s="190">
        <v>31.0</v>
      </c>
      <c r="S52" s="178">
        <f t="shared" si="9"/>
        <v>28.64</v>
      </c>
      <c r="T52" s="162">
        <f t="shared" si="10"/>
        <v>1</v>
      </c>
      <c r="U52" s="162">
        <f t="shared" si="11"/>
        <v>28.64</v>
      </c>
      <c r="V52" s="191">
        <f t="shared" si="12"/>
        <v>1676.153136</v>
      </c>
      <c r="W52" s="178">
        <f t="shared" ref="W52:X52" si="42">C52/100</f>
        <v>0.93</v>
      </c>
      <c r="X52" s="178">
        <f t="shared" si="42"/>
        <v>2.03</v>
      </c>
      <c r="Y52" s="178">
        <f t="shared" si="14"/>
        <v>28.64</v>
      </c>
      <c r="Z52" s="192">
        <f t="shared" si="15"/>
        <v>54.069456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2">
        <v>101.0</v>
      </c>
      <c r="B53" s="193"/>
      <c r="C53" s="193"/>
      <c r="D53" s="193"/>
      <c r="E53" s="193"/>
      <c r="F53" s="193">
        <f t="shared" si="5"/>
        <v>0</v>
      </c>
      <c r="G53" s="193">
        <f t="shared" si="6"/>
        <v>0</v>
      </c>
      <c r="H53" s="194">
        <f t="shared" si="7"/>
        <v>0</v>
      </c>
      <c r="I53" s="193"/>
      <c r="J53" s="195">
        <f t="shared" si="8"/>
        <v>0</v>
      </c>
      <c r="K53" s="139"/>
      <c r="L53" s="197"/>
      <c r="M53" s="198"/>
      <c r="N53" s="198"/>
      <c r="O53" s="139"/>
      <c r="P53" s="139"/>
      <c r="Q53" s="195"/>
      <c r="R53" s="141"/>
      <c r="S53" s="199">
        <f t="shared" si="9"/>
        <v>0</v>
      </c>
      <c r="T53" s="200" t="str">
        <f t="shared" si="10"/>
        <v/>
      </c>
      <c r="U53" s="200">
        <f t="shared" si="11"/>
        <v>0</v>
      </c>
      <c r="V53" s="203"/>
      <c r="W53" s="199">
        <f t="shared" ref="W53:X53" si="43">C53/100</f>
        <v>0</v>
      </c>
      <c r="X53" s="199">
        <f t="shared" si="43"/>
        <v>0</v>
      </c>
      <c r="Y53" s="199">
        <f t="shared" si="14"/>
        <v>0</v>
      </c>
      <c r="Z53" s="202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2">
        <v>102.0</v>
      </c>
      <c r="B54" s="193"/>
      <c r="C54" s="193"/>
      <c r="D54" s="193"/>
      <c r="E54" s="193"/>
      <c r="F54" s="193">
        <f t="shared" si="5"/>
        <v>0</v>
      </c>
      <c r="G54" s="193">
        <f t="shared" si="6"/>
        <v>0</v>
      </c>
      <c r="H54" s="194">
        <f t="shared" si="7"/>
        <v>0</v>
      </c>
      <c r="I54" s="193"/>
      <c r="J54" s="195">
        <f t="shared" si="8"/>
        <v>0</v>
      </c>
      <c r="K54" s="139"/>
      <c r="L54" s="197"/>
      <c r="M54" s="198"/>
      <c r="N54" s="198"/>
      <c r="O54" s="139"/>
      <c r="P54" s="139"/>
      <c r="Q54" s="195"/>
      <c r="R54" s="141"/>
      <c r="S54" s="199">
        <f t="shared" si="9"/>
        <v>0</v>
      </c>
      <c r="T54" s="200" t="str">
        <f t="shared" si="10"/>
        <v/>
      </c>
      <c r="U54" s="200">
        <f t="shared" si="11"/>
        <v>0</v>
      </c>
      <c r="V54" s="203"/>
      <c r="W54" s="199">
        <f t="shared" ref="W54:X54" si="44">C54/100</f>
        <v>0</v>
      </c>
      <c r="X54" s="199">
        <f t="shared" si="44"/>
        <v>0</v>
      </c>
      <c r="Y54" s="199">
        <f t="shared" si="14"/>
        <v>0</v>
      </c>
      <c r="Z54" s="202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2">
        <v>103.0</v>
      </c>
      <c r="B55" s="193"/>
      <c r="C55" s="193"/>
      <c r="D55" s="193"/>
      <c r="E55" s="193"/>
      <c r="F55" s="193">
        <f t="shared" si="5"/>
        <v>0</v>
      </c>
      <c r="G55" s="193">
        <f t="shared" si="6"/>
        <v>0</v>
      </c>
      <c r="H55" s="194">
        <f t="shared" si="7"/>
        <v>0</v>
      </c>
      <c r="I55" s="193"/>
      <c r="J55" s="195">
        <f t="shared" si="8"/>
        <v>0</v>
      </c>
      <c r="K55" s="139"/>
      <c r="L55" s="197"/>
      <c r="M55" s="198"/>
      <c r="N55" s="198"/>
      <c r="O55" s="139"/>
      <c r="P55" s="139"/>
      <c r="Q55" s="195"/>
      <c r="R55" s="141"/>
      <c r="S55" s="199">
        <f t="shared" si="9"/>
        <v>0</v>
      </c>
      <c r="T55" s="200" t="str">
        <f t="shared" si="10"/>
        <v/>
      </c>
      <c r="U55" s="200">
        <f t="shared" si="11"/>
        <v>0</v>
      </c>
      <c r="V55" s="203"/>
      <c r="W55" s="199">
        <f t="shared" ref="W55:X55" si="45">C55/100</f>
        <v>0</v>
      </c>
      <c r="X55" s="199">
        <f t="shared" si="45"/>
        <v>0</v>
      </c>
      <c r="Y55" s="199">
        <f t="shared" si="14"/>
        <v>0</v>
      </c>
      <c r="Z55" s="202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2">
        <v>104.0</v>
      </c>
      <c r="B56" s="193"/>
      <c r="C56" s="193"/>
      <c r="D56" s="193"/>
      <c r="E56" s="193"/>
      <c r="F56" s="193">
        <f t="shared" si="5"/>
        <v>0</v>
      </c>
      <c r="G56" s="193">
        <f t="shared" si="6"/>
        <v>0</v>
      </c>
      <c r="H56" s="194">
        <f t="shared" si="7"/>
        <v>0</v>
      </c>
      <c r="I56" s="193"/>
      <c r="J56" s="195">
        <f t="shared" si="8"/>
        <v>0</v>
      </c>
      <c r="K56" s="139"/>
      <c r="L56" s="197"/>
      <c r="M56" s="198"/>
      <c r="N56" s="198"/>
      <c r="O56" s="139"/>
      <c r="P56" s="139"/>
      <c r="Q56" s="195"/>
      <c r="R56" s="141"/>
      <c r="S56" s="199">
        <f t="shared" si="9"/>
        <v>0</v>
      </c>
      <c r="T56" s="200" t="str">
        <f t="shared" si="10"/>
        <v/>
      </c>
      <c r="U56" s="200">
        <f t="shared" si="11"/>
        <v>0</v>
      </c>
      <c r="V56" s="203"/>
      <c r="W56" s="199">
        <f t="shared" ref="W56:X56" si="46">C56/100</f>
        <v>0</v>
      </c>
      <c r="X56" s="199">
        <f t="shared" si="46"/>
        <v>0</v>
      </c>
      <c r="Y56" s="199">
        <f t="shared" si="14"/>
        <v>0</v>
      </c>
      <c r="Z56" s="202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2">
        <v>105.0</v>
      </c>
      <c r="B57" s="193"/>
      <c r="C57" s="193"/>
      <c r="D57" s="193"/>
      <c r="E57" s="193"/>
      <c r="F57" s="193">
        <f t="shared" si="5"/>
        <v>0</v>
      </c>
      <c r="G57" s="193">
        <f t="shared" si="6"/>
        <v>0</v>
      </c>
      <c r="H57" s="194">
        <f t="shared" si="7"/>
        <v>0</v>
      </c>
      <c r="I57" s="193"/>
      <c r="J57" s="195">
        <f t="shared" si="8"/>
        <v>0</v>
      </c>
      <c r="K57" s="139"/>
      <c r="L57" s="197"/>
      <c r="M57" s="198"/>
      <c r="N57" s="198"/>
      <c r="O57" s="139"/>
      <c r="P57" s="139"/>
      <c r="Q57" s="195"/>
      <c r="R57" s="141"/>
      <c r="S57" s="199">
        <f t="shared" si="9"/>
        <v>0</v>
      </c>
      <c r="T57" s="200" t="str">
        <f t="shared" si="10"/>
        <v/>
      </c>
      <c r="U57" s="200">
        <f t="shared" si="11"/>
        <v>0</v>
      </c>
      <c r="V57" s="203"/>
      <c r="W57" s="199">
        <f t="shared" ref="W57:X57" si="47">C57/100</f>
        <v>0</v>
      </c>
      <c r="X57" s="199">
        <f t="shared" si="47"/>
        <v>0</v>
      </c>
      <c r="Y57" s="199">
        <f t="shared" si="14"/>
        <v>0</v>
      </c>
      <c r="Z57" s="202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2">
        <v>106.0</v>
      </c>
      <c r="B58" s="193"/>
      <c r="C58" s="193"/>
      <c r="D58" s="193"/>
      <c r="E58" s="193"/>
      <c r="F58" s="193">
        <f t="shared" si="5"/>
        <v>0</v>
      </c>
      <c r="G58" s="193">
        <f t="shared" si="6"/>
        <v>0</v>
      </c>
      <c r="H58" s="194">
        <f t="shared" si="7"/>
        <v>0</v>
      </c>
      <c r="I58" s="193"/>
      <c r="J58" s="195">
        <f t="shared" si="8"/>
        <v>0</v>
      </c>
      <c r="K58" s="139"/>
      <c r="L58" s="197"/>
      <c r="M58" s="198"/>
      <c r="N58" s="198"/>
      <c r="O58" s="139"/>
      <c r="P58" s="139"/>
      <c r="Q58" s="195"/>
      <c r="R58" s="141"/>
      <c r="S58" s="199">
        <f t="shared" si="9"/>
        <v>0</v>
      </c>
      <c r="T58" s="200" t="str">
        <f t="shared" si="10"/>
        <v/>
      </c>
      <c r="U58" s="200">
        <f t="shared" si="11"/>
        <v>0</v>
      </c>
      <c r="V58" s="203"/>
      <c r="W58" s="199">
        <f t="shared" ref="W58:X58" si="48">C58/100</f>
        <v>0</v>
      </c>
      <c r="X58" s="199">
        <f t="shared" si="48"/>
        <v>0</v>
      </c>
      <c r="Y58" s="199">
        <f t="shared" si="14"/>
        <v>0</v>
      </c>
      <c r="Z58" s="202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2">
        <v>107.0</v>
      </c>
      <c r="B59" s="193"/>
      <c r="C59" s="193"/>
      <c r="D59" s="193"/>
      <c r="E59" s="193"/>
      <c r="F59" s="193">
        <f t="shared" si="5"/>
        <v>0</v>
      </c>
      <c r="G59" s="193">
        <f t="shared" si="6"/>
        <v>0</v>
      </c>
      <c r="H59" s="194">
        <f t="shared" si="7"/>
        <v>0</v>
      </c>
      <c r="I59" s="193"/>
      <c r="J59" s="195">
        <f t="shared" si="8"/>
        <v>0</v>
      </c>
      <c r="K59" s="139"/>
      <c r="L59" s="197"/>
      <c r="M59" s="198"/>
      <c r="N59" s="198"/>
      <c r="O59" s="139"/>
      <c r="P59" s="139"/>
      <c r="Q59" s="195"/>
      <c r="R59" s="141"/>
      <c r="S59" s="199">
        <f t="shared" si="9"/>
        <v>0</v>
      </c>
      <c r="T59" s="200" t="str">
        <f t="shared" si="10"/>
        <v/>
      </c>
      <c r="U59" s="200">
        <f t="shared" si="11"/>
        <v>0</v>
      </c>
      <c r="V59" s="203"/>
      <c r="W59" s="199">
        <f t="shared" ref="W59:X59" si="49">C59/100</f>
        <v>0</v>
      </c>
      <c r="X59" s="199">
        <f t="shared" si="49"/>
        <v>0</v>
      </c>
      <c r="Y59" s="199">
        <f t="shared" si="14"/>
        <v>0</v>
      </c>
      <c r="Z59" s="202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108.0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0">C60/100</f>
        <v>0</v>
      </c>
      <c r="X60" s="199">
        <f t="shared" si="50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109.0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1">C61/100</f>
        <v>0</v>
      </c>
      <c r="X61" s="199">
        <f t="shared" si="51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110.0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2">C62/100</f>
        <v>0</v>
      </c>
      <c r="X62" s="199">
        <f t="shared" si="52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111.0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3">C63/100</f>
        <v>0</v>
      </c>
      <c r="X63" s="199">
        <f t="shared" si="53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112.0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4">C64/100</f>
        <v>0</v>
      </c>
      <c r="X64" s="199">
        <f t="shared" si="54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113.0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5">C65/100</f>
        <v>0</v>
      </c>
      <c r="X65" s="199">
        <f t="shared" si="55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114.0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6">C66/100</f>
        <v>0</v>
      </c>
      <c r="X66" s="199">
        <f t="shared" si="56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115.0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7">C67/100</f>
        <v>0</v>
      </c>
      <c r="X67" s="199">
        <f t="shared" si="57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116.0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8">C68/100</f>
        <v>0</v>
      </c>
      <c r="X68" s="199">
        <f t="shared" si="58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117.0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9">C69/100</f>
        <v>0</v>
      </c>
      <c r="X69" s="199">
        <f t="shared" si="59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118.0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0">C70/100</f>
        <v>0</v>
      </c>
      <c r="X70" s="199">
        <f t="shared" si="60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119.0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1">C71/100</f>
        <v>0</v>
      </c>
      <c r="X71" s="199">
        <f t="shared" si="61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120.0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2">C72/100</f>
        <v>0</v>
      </c>
      <c r="X72" s="199">
        <f t="shared" si="62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121.0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3">C73/100</f>
        <v>0</v>
      </c>
      <c r="X73" s="199">
        <f t="shared" si="63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122.0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4">C74/100</f>
        <v>0</v>
      </c>
      <c r="X74" s="199">
        <f t="shared" si="64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123.0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5">C75/100</f>
        <v>0</v>
      </c>
      <c r="X75" s="199">
        <f t="shared" si="65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124.0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6">C76/100</f>
        <v>0</v>
      </c>
      <c r="X76" s="199">
        <f t="shared" si="66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125.0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7">C77/100</f>
        <v>0</v>
      </c>
      <c r="X77" s="199">
        <f t="shared" si="67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126.0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8">C78/100</f>
        <v>0</v>
      </c>
      <c r="X78" s="199">
        <f t="shared" si="68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127.0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9">C79/100</f>
        <v>0</v>
      </c>
      <c r="X79" s="199">
        <f t="shared" si="69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128.0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0">C80/100</f>
        <v>0</v>
      </c>
      <c r="X80" s="199">
        <f t="shared" si="70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129.0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1">C81/100</f>
        <v>0</v>
      </c>
      <c r="X81" s="199">
        <f t="shared" si="71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130.0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2">C82/100</f>
        <v>0</v>
      </c>
      <c r="X82" s="199">
        <f t="shared" si="72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131.0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3">C83/100</f>
        <v>0</v>
      </c>
      <c r="X83" s="199">
        <f t="shared" si="73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132.0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4">C84/100</f>
        <v>0</v>
      </c>
      <c r="X84" s="199">
        <f t="shared" si="74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133.0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5">C85/100</f>
        <v>0</v>
      </c>
      <c r="X85" s="199">
        <f t="shared" si="75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134.0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6">C86/100</f>
        <v>0</v>
      </c>
      <c r="X86" s="199">
        <f t="shared" si="76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135.0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7">C87/100</f>
        <v>0</v>
      </c>
      <c r="X87" s="199">
        <f t="shared" si="77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136.0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8">C88/100</f>
        <v>0</v>
      </c>
      <c r="X88" s="199">
        <f t="shared" si="78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137.0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9">C89/100</f>
        <v>0</v>
      </c>
      <c r="X89" s="199">
        <f t="shared" si="79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138.0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0">C90/100</f>
        <v>0</v>
      </c>
      <c r="X90" s="199">
        <f t="shared" si="80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139.0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1">C91/100</f>
        <v>0</v>
      </c>
      <c r="X91" s="199">
        <f t="shared" si="81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140.0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2">C92/100</f>
        <v>0</v>
      </c>
      <c r="X92" s="199">
        <f t="shared" si="82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141.0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3">C93/100</f>
        <v>0</v>
      </c>
      <c r="X93" s="199">
        <f t="shared" si="83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142.0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4">C94/100</f>
        <v>0</v>
      </c>
      <c r="X94" s="199">
        <f t="shared" si="84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143.0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5">C95/100</f>
        <v>0</v>
      </c>
      <c r="X95" s="199">
        <f t="shared" si="85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144.0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6">C96/100</f>
        <v>0</v>
      </c>
      <c r="X96" s="199">
        <f t="shared" si="86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145.0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7">C97/100</f>
        <v>0</v>
      </c>
      <c r="X97" s="199">
        <f t="shared" si="87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146.0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8">C98/100</f>
        <v>0</v>
      </c>
      <c r="X98" s="199">
        <f t="shared" si="88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147.0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9">C99/100</f>
        <v>0</v>
      </c>
      <c r="X99" s="199">
        <f t="shared" si="89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148.0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0">C100/100</f>
        <v>0</v>
      </c>
      <c r="X100" s="199">
        <f t="shared" si="90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149.0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1">C101/100</f>
        <v>0</v>
      </c>
      <c r="X101" s="199">
        <f t="shared" si="91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150.0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2">C102/100</f>
        <v>0</v>
      </c>
      <c r="X102" s="199">
        <f t="shared" si="92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151.0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3">C103/100</f>
        <v>0</v>
      </c>
      <c r="X103" s="199">
        <f t="shared" si="93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152.0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4">C104/100</f>
        <v>0</v>
      </c>
      <c r="X104" s="199">
        <f t="shared" si="94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153.0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5">C105/100</f>
        <v>0</v>
      </c>
      <c r="X105" s="199">
        <f t="shared" si="95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154.0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6">C106/100</f>
        <v>0</v>
      </c>
      <c r="X106" s="199">
        <f t="shared" si="96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155.0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7">C107/100</f>
        <v>0</v>
      </c>
      <c r="X107" s="199">
        <f t="shared" si="97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156.0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8">C108/100</f>
        <v>0</v>
      </c>
      <c r="X108" s="199">
        <f t="shared" si="98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157.0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9">C109/100</f>
        <v>0</v>
      </c>
      <c r="X109" s="199">
        <f t="shared" si="99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158.0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0">C110/100</f>
        <v>0</v>
      </c>
      <c r="X110" s="199">
        <f t="shared" si="100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159.0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1">C111/100</f>
        <v>0</v>
      </c>
      <c r="X111" s="199">
        <f t="shared" si="101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160.0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2">C112/100</f>
        <v>0</v>
      </c>
      <c r="X112" s="199">
        <f t="shared" si="102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161.0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3">C113/100</f>
        <v>0</v>
      </c>
      <c r="X113" s="199">
        <f t="shared" si="103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162.0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4">C114/100</f>
        <v>0</v>
      </c>
      <c r="X114" s="199">
        <f t="shared" si="104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163.0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5">C115/100</f>
        <v>0</v>
      </c>
      <c r="X115" s="199">
        <f t="shared" si="105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164.0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6">C116/100</f>
        <v>0</v>
      </c>
      <c r="X116" s="199">
        <f t="shared" si="106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165.0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7">C117/100</f>
        <v>0</v>
      </c>
      <c r="X117" s="199">
        <f t="shared" si="107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166.0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8">C118/100</f>
        <v>0</v>
      </c>
      <c r="X118" s="199">
        <f t="shared" si="108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167.0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9">C119/100</f>
        <v>0</v>
      </c>
      <c r="X119" s="199">
        <f t="shared" si="109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168.0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0">C120/100</f>
        <v>0</v>
      </c>
      <c r="X120" s="199">
        <f t="shared" si="110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169.0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1">C121/100</f>
        <v>0</v>
      </c>
      <c r="X121" s="199">
        <f t="shared" si="111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170.0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2">C122/100</f>
        <v>0</v>
      </c>
      <c r="X122" s="199">
        <f t="shared" si="112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171.0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3">C123/100</f>
        <v>0</v>
      </c>
      <c r="X123" s="199">
        <f t="shared" si="113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172.0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4">C124/100</f>
        <v>0</v>
      </c>
      <c r="X124" s="199">
        <f t="shared" si="114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173.0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5">C125/100</f>
        <v>0</v>
      </c>
      <c r="X125" s="199">
        <f t="shared" si="115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174.0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6">C126/100</f>
        <v>0</v>
      </c>
      <c r="X126" s="199">
        <f t="shared" si="116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175.0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7">C127/100</f>
        <v>0</v>
      </c>
      <c r="X127" s="199">
        <f t="shared" si="117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176.0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8">C128/100</f>
        <v>0</v>
      </c>
      <c r="X128" s="199">
        <f t="shared" si="118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177.0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9">C129/100</f>
        <v>0</v>
      </c>
      <c r="X129" s="199">
        <f t="shared" si="119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178.0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0">C130/100</f>
        <v>0</v>
      </c>
      <c r="X130" s="199">
        <f t="shared" si="120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179.0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1">C131/100</f>
        <v>0</v>
      </c>
      <c r="X131" s="199">
        <f t="shared" si="121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180.0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2">C132/100</f>
        <v>0</v>
      </c>
      <c r="X132" s="199">
        <f t="shared" si="122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181.0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3">C133/100</f>
        <v>0</v>
      </c>
      <c r="X133" s="199">
        <f t="shared" si="123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182.0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4">C134/100</f>
        <v>0</v>
      </c>
      <c r="X134" s="199">
        <f t="shared" si="124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183.0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5">C135/100</f>
        <v>0</v>
      </c>
      <c r="X135" s="199">
        <f t="shared" si="125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184.0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6">C136/100</f>
        <v>0</v>
      </c>
      <c r="X136" s="199">
        <f t="shared" si="126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185.0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7">C137/100</f>
        <v>0</v>
      </c>
      <c r="X137" s="199">
        <f t="shared" si="127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186.0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8">C138/100</f>
        <v>0</v>
      </c>
      <c r="X138" s="199">
        <f t="shared" si="128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187.0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9">C139/100</f>
        <v>0</v>
      </c>
      <c r="X139" s="199">
        <f t="shared" si="129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188.0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0">C140/100</f>
        <v>0</v>
      </c>
      <c r="X140" s="199">
        <f t="shared" si="130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189.0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1">C141/100</f>
        <v>0</v>
      </c>
      <c r="X141" s="199">
        <f t="shared" si="131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190.0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2">C142/100</f>
        <v>0</v>
      </c>
      <c r="X142" s="199">
        <f t="shared" si="132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191.0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3">C143/100</f>
        <v>0</v>
      </c>
      <c r="X143" s="199">
        <f t="shared" si="133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192.0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4">C144/100</f>
        <v>0</v>
      </c>
      <c r="X144" s="199">
        <f t="shared" si="134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193.0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5">C145/100</f>
        <v>0</v>
      </c>
      <c r="X145" s="199">
        <f t="shared" si="135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194.0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6">C146/100</f>
        <v>0</v>
      </c>
      <c r="X146" s="199">
        <f t="shared" si="136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195.0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7">C147/100</f>
        <v>0</v>
      </c>
      <c r="X147" s="199">
        <f t="shared" si="137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196.0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8">C148/100</f>
        <v>0</v>
      </c>
      <c r="X148" s="199">
        <f t="shared" si="138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197.0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9">C149/100</f>
        <v>0</v>
      </c>
      <c r="X149" s="199">
        <f t="shared" si="139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198.0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0">C150/100</f>
        <v>0</v>
      </c>
      <c r="X150" s="199">
        <f t="shared" si="140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199.0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1">C151/100</f>
        <v>0</v>
      </c>
      <c r="X151" s="199">
        <f t="shared" si="141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200.0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2">C152/100</f>
        <v>0</v>
      </c>
      <c r="X152" s="199">
        <f t="shared" si="142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201.0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3">C153/100</f>
        <v>0</v>
      </c>
      <c r="X153" s="199">
        <f t="shared" si="143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202.0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4">C154/100</f>
        <v>0</v>
      </c>
      <c r="X154" s="199">
        <f t="shared" si="144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203.0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5">C155/100</f>
        <v>0</v>
      </c>
      <c r="X155" s="199">
        <f t="shared" si="145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204.0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6">C156/100</f>
        <v>0</v>
      </c>
      <c r="X156" s="199">
        <f t="shared" si="146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205.0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7">C157/100</f>
        <v>0</v>
      </c>
      <c r="X157" s="199">
        <f t="shared" si="147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206.0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8">C158/100</f>
        <v>0</v>
      </c>
      <c r="X158" s="199">
        <f t="shared" si="148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207.0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9">C159/100</f>
        <v>0</v>
      </c>
      <c r="X159" s="199">
        <f t="shared" si="149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208.0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0">C160/100</f>
        <v>0</v>
      </c>
      <c r="X160" s="199">
        <f t="shared" si="150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209.0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1">C161/100</f>
        <v>0</v>
      </c>
      <c r="X161" s="199">
        <f t="shared" si="151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210.0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2">C162/100</f>
        <v>0</v>
      </c>
      <c r="X162" s="199">
        <f t="shared" si="152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211.0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3">C163/100</f>
        <v>0</v>
      </c>
      <c r="X163" s="199">
        <f t="shared" si="153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212.0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4">C164/100</f>
        <v>0</v>
      </c>
      <c r="X164" s="199">
        <f t="shared" si="154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213.0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5">C165/100</f>
        <v>0</v>
      </c>
      <c r="X165" s="199">
        <f t="shared" si="155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214.0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6">C166/100</f>
        <v>0</v>
      </c>
      <c r="X166" s="199">
        <f t="shared" si="156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215.0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7">C167/100</f>
        <v>0</v>
      </c>
      <c r="X167" s="199">
        <f t="shared" si="157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216.0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8">C168/100</f>
        <v>0</v>
      </c>
      <c r="X168" s="199">
        <f t="shared" si="158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217.0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9">C169/100</f>
        <v>0</v>
      </c>
      <c r="X169" s="199">
        <f t="shared" si="159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customHeight="1">
      <c r="A170" s="162"/>
      <c r="B170" s="178"/>
      <c r="C170" s="178"/>
      <c r="D170" s="178"/>
      <c r="E170" s="178"/>
      <c r="F170" s="178"/>
      <c r="G170" s="178"/>
      <c r="H170" s="181"/>
      <c r="I170" s="162"/>
      <c r="J170" s="204">
        <f>+Q226</f>
        <v>96.8</v>
      </c>
      <c r="K170" s="139"/>
      <c r="L170" s="139"/>
      <c r="M170" s="139"/>
      <c r="N170" s="139"/>
      <c r="O170" s="139"/>
      <c r="P170" s="139"/>
      <c r="Q170" s="139"/>
      <c r="R170" s="205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60">C170/100</f>
        <v>0</v>
      </c>
      <c r="X170" s="199">
        <f t="shared" si="160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customHeight="1">
      <c r="A171" s="162"/>
      <c r="B171" s="206"/>
      <c r="C171" s="206"/>
      <c r="D171" s="206"/>
      <c r="E171" s="206"/>
      <c r="F171" s="206"/>
      <c r="G171" s="206"/>
      <c r="H171" s="207"/>
      <c r="I171" s="208">
        <f>SUM(I27:I169)</f>
        <v>26</v>
      </c>
      <c r="J171" s="209">
        <f>SUM(J27:J170)</f>
        <v>17516.80046</v>
      </c>
      <c r="K171" s="210"/>
      <c r="L171" s="210"/>
      <c r="M171" s="210"/>
      <c r="N171" s="210"/>
      <c r="O171" s="210"/>
      <c r="P171" s="210"/>
      <c r="Q171" s="210"/>
      <c r="R171" s="141"/>
      <c r="S171" s="210">
        <f>SUMIFS($T$27:$T$169,$S$27:$S$169,"&gt;=3")</f>
        <v>11</v>
      </c>
      <c r="T171" s="210">
        <f t="shared" ref="T171:U171" si="161">SUM(T27:T169)</f>
        <v>26</v>
      </c>
      <c r="U171" s="210">
        <f t="shared" si="161"/>
        <v>340.69</v>
      </c>
      <c r="V171" s="210"/>
      <c r="W171" s="210"/>
      <c r="X171" s="210"/>
      <c r="Y171" s="210"/>
      <c r="Z171" s="211">
        <f>SUM(Z27:Z170)</f>
        <v>644.478578</v>
      </c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</row>
    <row r="172" ht="29.2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203"/>
      <c r="T172" s="139">
        <f>+T171-S171</f>
        <v>15</v>
      </c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9.2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05"/>
      <c r="S173" s="139"/>
      <c r="T173" s="139" t="s">
        <v>48</v>
      </c>
      <c r="U173" s="139" t="s">
        <v>68</v>
      </c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9.25" customHeight="1">
      <c r="A174" s="139"/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39"/>
      <c r="R174" s="141"/>
      <c r="S174" s="139" t="s">
        <v>31</v>
      </c>
      <c r="T174" s="210">
        <f>SUMIFS($J$27:$J$169,$S$27:$S$169,"&gt;=3")</f>
        <v>16219.83779</v>
      </c>
      <c r="U174" s="213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9.25" customHeight="1">
      <c r="A175" s="139" t="s">
        <v>32</v>
      </c>
      <c r="B175" s="139"/>
      <c r="C175" s="139"/>
      <c r="D175" s="139" t="s">
        <v>33</v>
      </c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39"/>
      <c r="R175" s="141"/>
      <c r="S175" s="139" t="s">
        <v>34</v>
      </c>
      <c r="T175" s="266">
        <f>J171-T174</f>
        <v>1296.962666</v>
      </c>
      <c r="U175" s="210">
        <f>+SUMIFS($U$27:$U$169,$S$27:$S$169,"&gt;=3")</f>
        <v>309.81</v>
      </c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9.25" customHeight="1">
      <c r="A176" s="139"/>
      <c r="B176" s="139"/>
      <c r="C176" s="139"/>
      <c r="D176" s="139"/>
      <c r="E176" s="139"/>
      <c r="F176" s="139"/>
      <c r="G176" s="139"/>
      <c r="H176" s="140"/>
      <c r="I176" s="139"/>
      <c r="J176" s="139"/>
      <c r="K176" s="139"/>
      <c r="L176" s="139"/>
      <c r="M176" s="139"/>
      <c r="N176" s="139"/>
      <c r="O176" s="139"/>
      <c r="P176" s="139"/>
      <c r="Q176" s="139"/>
      <c r="R176" s="205"/>
      <c r="S176" s="139"/>
      <c r="T176" s="214">
        <f>+I171</f>
        <v>26</v>
      </c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39.0" customHeight="1">
      <c r="A177" s="178"/>
      <c r="B177" s="162" t="s">
        <v>12</v>
      </c>
      <c r="C177" s="179" t="s">
        <v>69</v>
      </c>
      <c r="D177" s="52"/>
      <c r="E177" s="53"/>
      <c r="F177" s="180"/>
      <c r="G177" s="180"/>
      <c r="H177" s="181" t="s">
        <v>14</v>
      </c>
      <c r="I177" s="162" t="s">
        <v>15</v>
      </c>
      <c r="J177" s="162" t="s">
        <v>16</v>
      </c>
      <c r="K177" s="139"/>
      <c r="L177" s="139"/>
      <c r="M177" s="139"/>
      <c r="N177" s="139"/>
      <c r="O177" s="139"/>
      <c r="P177" s="139"/>
      <c r="Q177" s="139"/>
      <c r="R177" s="141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55">
        <v>1.0</v>
      </c>
      <c r="B178" s="215" t="s">
        <v>67</v>
      </c>
      <c r="C178" s="215">
        <v>91.0</v>
      </c>
      <c r="D178" s="215">
        <v>191.0</v>
      </c>
      <c r="E178" s="215">
        <v>192.0</v>
      </c>
      <c r="F178" s="215">
        <f t="shared" ref="F178:F192" si="162">1-VALUE(IF(RIGHT(B178, 1)="%", RIGHT(B178, 3), 0))</f>
        <v>0.2</v>
      </c>
      <c r="G178" s="215">
        <f t="shared" ref="G178:G192" si="163">+Q178*C178/100*D178/100*E178/100</f>
        <v>0</v>
      </c>
      <c r="H178" s="216">
        <f t="shared" ref="H178:H192" si="164">IF(F178=0, G178, F178*G178)</f>
        <v>0</v>
      </c>
      <c r="I178" s="215">
        <v>1.0</v>
      </c>
      <c r="J178" s="217">
        <v>55.063007999999996</v>
      </c>
      <c r="K178" s="139"/>
      <c r="L178" s="178">
        <f t="shared" ref="L178:L179" si="165">D178*25.4/1000</f>
        <v>4.8514</v>
      </c>
      <c r="M178" s="162">
        <f t="shared" ref="M178:M179" si="166">+I178</f>
        <v>1</v>
      </c>
      <c r="N178" s="162">
        <f t="shared" ref="N178:N179" si="167">M178*L178</f>
        <v>4.8514</v>
      </c>
      <c r="O178" s="139"/>
      <c r="P178" s="139"/>
      <c r="Q178" s="139"/>
      <c r="R178" s="141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55">
        <v>2.0</v>
      </c>
      <c r="B179" s="215" t="s">
        <v>94</v>
      </c>
      <c r="C179" s="215">
        <v>88.0</v>
      </c>
      <c r="D179" s="215">
        <v>218.0</v>
      </c>
      <c r="E179" s="215">
        <v>190.0</v>
      </c>
      <c r="F179" s="215">
        <f t="shared" si="162"/>
        <v>0.2</v>
      </c>
      <c r="G179" s="215">
        <f t="shared" si="163"/>
        <v>0</v>
      </c>
      <c r="H179" s="216">
        <f t="shared" si="164"/>
        <v>0</v>
      </c>
      <c r="I179" s="215">
        <v>1.0</v>
      </c>
      <c r="J179" s="217">
        <v>84.12755999999999</v>
      </c>
      <c r="K179" s="139"/>
      <c r="L179" s="178">
        <f t="shared" si="165"/>
        <v>5.5372</v>
      </c>
      <c r="M179" s="162">
        <f t="shared" si="166"/>
        <v>1</v>
      </c>
      <c r="N179" s="162">
        <f t="shared" si="167"/>
        <v>5.5372</v>
      </c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55">
        <v>3.0</v>
      </c>
      <c r="B180" s="215" t="s">
        <v>63</v>
      </c>
      <c r="C180" s="215">
        <v>100.0</v>
      </c>
      <c r="D180" s="215">
        <v>178.0</v>
      </c>
      <c r="E180" s="215">
        <v>196.0</v>
      </c>
      <c r="F180" s="215">
        <f t="shared" si="162"/>
        <v>0.2</v>
      </c>
      <c r="G180" s="215">
        <f t="shared" si="163"/>
        <v>0</v>
      </c>
      <c r="H180" s="216">
        <f t="shared" si="164"/>
        <v>0</v>
      </c>
      <c r="I180" s="215">
        <v>1.0</v>
      </c>
      <c r="J180" s="217">
        <v>84.12755999999999</v>
      </c>
      <c r="K180" s="139"/>
      <c r="L180" s="178"/>
      <c r="M180" s="162"/>
      <c r="N180" s="162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customHeight="1">
      <c r="A181" s="155">
        <v>4.0</v>
      </c>
      <c r="B181" s="215" t="s">
        <v>94</v>
      </c>
      <c r="C181" s="215">
        <v>92.0</v>
      </c>
      <c r="D181" s="215">
        <v>163.0</v>
      </c>
      <c r="E181" s="215">
        <v>187.0</v>
      </c>
      <c r="F181" s="215">
        <f t="shared" si="162"/>
        <v>0.2</v>
      </c>
      <c r="G181" s="215">
        <f t="shared" si="163"/>
        <v>0</v>
      </c>
      <c r="H181" s="216">
        <f t="shared" si="164"/>
        <v>0</v>
      </c>
      <c r="I181" s="215">
        <v>1.0</v>
      </c>
      <c r="J181" s="217">
        <v>84.12755999999999</v>
      </c>
      <c r="K181" s="139"/>
      <c r="L181" s="178"/>
      <c r="M181" s="162"/>
      <c r="N181" s="162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customHeight="1">
      <c r="A182" s="155">
        <v>5.0</v>
      </c>
      <c r="B182" s="215" t="s">
        <v>127</v>
      </c>
      <c r="C182" s="215">
        <v>84.0</v>
      </c>
      <c r="D182" s="215">
        <v>203.0</v>
      </c>
      <c r="E182" s="215">
        <v>184.0</v>
      </c>
      <c r="F182" s="215">
        <f t="shared" si="162"/>
        <v>0.2</v>
      </c>
      <c r="G182" s="215">
        <f t="shared" si="163"/>
        <v>0</v>
      </c>
      <c r="H182" s="216">
        <f t="shared" si="164"/>
        <v>0</v>
      </c>
      <c r="I182" s="215">
        <v>1.0</v>
      </c>
      <c r="J182" s="217">
        <v>84.12755999999999</v>
      </c>
      <c r="K182" s="139"/>
      <c r="L182" s="178"/>
      <c r="M182" s="162"/>
      <c r="N182" s="162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customHeight="1">
      <c r="A183" s="155">
        <v>6.0</v>
      </c>
      <c r="B183" s="218"/>
      <c r="C183" s="218"/>
      <c r="D183" s="218"/>
      <c r="E183" s="218"/>
      <c r="F183" s="218">
        <f t="shared" si="162"/>
        <v>1</v>
      </c>
      <c r="G183" s="218">
        <f t="shared" si="163"/>
        <v>0</v>
      </c>
      <c r="H183" s="219">
        <f t="shared" si="164"/>
        <v>0</v>
      </c>
      <c r="I183" s="218">
        <v>1.0</v>
      </c>
      <c r="J183" s="195">
        <v>97.264608</v>
      </c>
      <c r="K183" s="139"/>
      <c r="L183" s="178">
        <f t="shared" ref="L183:L187" si="168">D183*25.4/1000</f>
        <v>0</v>
      </c>
      <c r="M183" s="162">
        <f>+I183</f>
        <v>1</v>
      </c>
      <c r="N183" s="162">
        <f>M183*L183</f>
        <v>0</v>
      </c>
      <c r="O183" s="139"/>
      <c r="P183" s="139"/>
      <c r="Q183" s="139"/>
      <c r="R183" s="139"/>
      <c r="S183" s="220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55">
        <v>6.0</v>
      </c>
      <c r="B184" s="218"/>
      <c r="C184" s="218"/>
      <c r="D184" s="218"/>
      <c r="E184" s="218"/>
      <c r="F184" s="218">
        <f t="shared" si="162"/>
        <v>1</v>
      </c>
      <c r="G184" s="218">
        <f t="shared" si="163"/>
        <v>0</v>
      </c>
      <c r="H184" s="219">
        <f t="shared" si="164"/>
        <v>0</v>
      </c>
      <c r="I184" s="218"/>
      <c r="J184" s="195">
        <f t="shared" ref="J184:J192" si="169">+I184*H184</f>
        <v>0</v>
      </c>
      <c r="K184" s="139"/>
      <c r="L184" s="139">
        <f t="shared" si="168"/>
        <v>0</v>
      </c>
      <c r="M184" s="221"/>
      <c r="N184" s="221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55">
        <v>7.0</v>
      </c>
      <c r="B185" s="218"/>
      <c r="C185" s="218"/>
      <c r="D185" s="218"/>
      <c r="E185" s="218"/>
      <c r="F185" s="218">
        <f t="shared" si="162"/>
        <v>1</v>
      </c>
      <c r="G185" s="218">
        <f t="shared" si="163"/>
        <v>0</v>
      </c>
      <c r="H185" s="219">
        <f t="shared" si="164"/>
        <v>0</v>
      </c>
      <c r="I185" s="218"/>
      <c r="J185" s="195">
        <f t="shared" si="169"/>
        <v>0</v>
      </c>
      <c r="K185" s="139"/>
      <c r="L185" s="139">
        <f t="shared" si="168"/>
        <v>0</v>
      </c>
      <c r="M185" s="221"/>
      <c r="N185" s="221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55">
        <v>8.0</v>
      </c>
      <c r="B186" s="218"/>
      <c r="C186" s="218"/>
      <c r="D186" s="218"/>
      <c r="E186" s="218"/>
      <c r="F186" s="218">
        <f t="shared" si="162"/>
        <v>1</v>
      </c>
      <c r="G186" s="218">
        <f t="shared" si="163"/>
        <v>0</v>
      </c>
      <c r="H186" s="219">
        <f t="shared" si="164"/>
        <v>0</v>
      </c>
      <c r="I186" s="218"/>
      <c r="J186" s="195">
        <f t="shared" si="169"/>
        <v>0</v>
      </c>
      <c r="K186" s="139"/>
      <c r="L186" s="139">
        <f t="shared" si="168"/>
        <v>0</v>
      </c>
      <c r="M186" s="221"/>
      <c r="N186" s="221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55">
        <v>9.0</v>
      </c>
      <c r="B187" s="218"/>
      <c r="C187" s="218"/>
      <c r="D187" s="218"/>
      <c r="E187" s="218"/>
      <c r="F187" s="218">
        <f t="shared" si="162"/>
        <v>1</v>
      </c>
      <c r="G187" s="218">
        <f t="shared" si="163"/>
        <v>0</v>
      </c>
      <c r="H187" s="219">
        <f t="shared" si="164"/>
        <v>0</v>
      </c>
      <c r="I187" s="218"/>
      <c r="J187" s="195">
        <f t="shared" si="169"/>
        <v>0</v>
      </c>
      <c r="K187" s="139"/>
      <c r="L187" s="139">
        <f t="shared" si="168"/>
        <v>0</v>
      </c>
      <c r="M187" s="221"/>
      <c r="N187" s="221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55">
        <v>10.0</v>
      </c>
      <c r="B188" s="193"/>
      <c r="C188" s="193"/>
      <c r="D188" s="193"/>
      <c r="E188" s="193"/>
      <c r="F188" s="193">
        <f t="shared" si="162"/>
        <v>1</v>
      </c>
      <c r="G188" s="193">
        <f t="shared" si="163"/>
        <v>0</v>
      </c>
      <c r="H188" s="194">
        <f t="shared" si="164"/>
        <v>0</v>
      </c>
      <c r="I188" s="193"/>
      <c r="J188" s="195">
        <f t="shared" si="169"/>
        <v>0</v>
      </c>
      <c r="K188" s="139"/>
      <c r="L188" s="139"/>
      <c r="M188" s="221"/>
      <c r="N188" s="221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55">
        <v>11.0</v>
      </c>
      <c r="B189" s="193"/>
      <c r="C189" s="193"/>
      <c r="D189" s="193"/>
      <c r="E189" s="193"/>
      <c r="F189" s="193">
        <f t="shared" si="162"/>
        <v>1</v>
      </c>
      <c r="G189" s="193">
        <f t="shared" si="163"/>
        <v>0</v>
      </c>
      <c r="H189" s="194">
        <f t="shared" si="164"/>
        <v>0</v>
      </c>
      <c r="I189" s="193"/>
      <c r="J189" s="195">
        <f t="shared" si="169"/>
        <v>0</v>
      </c>
      <c r="K189" s="139"/>
      <c r="L189" s="139"/>
      <c r="M189" s="221"/>
      <c r="N189" s="221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55">
        <v>12.0</v>
      </c>
      <c r="B190" s="193"/>
      <c r="C190" s="193"/>
      <c r="D190" s="193"/>
      <c r="E190" s="193"/>
      <c r="F190" s="193">
        <f t="shared" si="162"/>
        <v>1</v>
      </c>
      <c r="G190" s="193">
        <f t="shared" si="163"/>
        <v>0</v>
      </c>
      <c r="H190" s="194">
        <f t="shared" si="164"/>
        <v>0</v>
      </c>
      <c r="I190" s="193"/>
      <c r="J190" s="195">
        <f t="shared" si="169"/>
        <v>0</v>
      </c>
      <c r="K190" s="139"/>
      <c r="L190" s="139"/>
      <c r="M190" s="221"/>
      <c r="N190" s="221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55">
        <v>13.0</v>
      </c>
      <c r="B191" s="193"/>
      <c r="C191" s="193"/>
      <c r="D191" s="193"/>
      <c r="E191" s="193"/>
      <c r="F191" s="193">
        <f t="shared" si="162"/>
        <v>1</v>
      </c>
      <c r="G191" s="193">
        <f t="shared" si="163"/>
        <v>0</v>
      </c>
      <c r="H191" s="194">
        <f t="shared" si="164"/>
        <v>0</v>
      </c>
      <c r="I191" s="193"/>
      <c r="J191" s="195">
        <f t="shared" si="169"/>
        <v>0</v>
      </c>
      <c r="K191" s="139"/>
      <c r="L191" s="139"/>
      <c r="M191" s="221"/>
      <c r="N191" s="221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5">
        <v>14.0</v>
      </c>
      <c r="B192" s="193"/>
      <c r="C192" s="193"/>
      <c r="D192" s="193"/>
      <c r="E192" s="193"/>
      <c r="F192" s="193">
        <f t="shared" si="162"/>
        <v>1</v>
      </c>
      <c r="G192" s="193">
        <f t="shared" si="163"/>
        <v>0</v>
      </c>
      <c r="H192" s="194">
        <f t="shared" si="164"/>
        <v>0</v>
      </c>
      <c r="I192" s="193"/>
      <c r="J192" s="195">
        <f t="shared" si="169"/>
        <v>0</v>
      </c>
      <c r="K192" s="139"/>
      <c r="L192" s="139"/>
      <c r="M192" s="221"/>
      <c r="N192" s="221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customHeight="1">
      <c r="A193" s="162"/>
      <c r="B193" s="197"/>
      <c r="C193" s="197"/>
      <c r="D193" s="197"/>
      <c r="E193" s="197"/>
      <c r="F193" s="197"/>
      <c r="G193" s="197"/>
      <c r="H193" s="222" t="s">
        <v>38</v>
      </c>
      <c r="I193" s="197"/>
      <c r="J193" s="223">
        <f>SUM(J178:J192)</f>
        <v>488.837856</v>
      </c>
      <c r="K193" s="139"/>
      <c r="L193" s="139"/>
      <c r="M193" s="139"/>
      <c r="N193" s="139"/>
      <c r="O193" s="139"/>
      <c r="P193" s="139"/>
      <c r="Q193" s="139"/>
      <c r="R193" s="141"/>
      <c r="S193" s="224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18.75" customHeight="1">
      <c r="A194" s="176"/>
      <c r="B194" s="144"/>
      <c r="C194" s="144"/>
      <c r="D194" s="144"/>
      <c r="E194" s="144"/>
      <c r="F194" s="144"/>
      <c r="G194" s="144"/>
      <c r="H194" s="145"/>
      <c r="I194" s="144"/>
      <c r="J194" s="177"/>
      <c r="K194" s="139"/>
      <c r="L194" s="139"/>
      <c r="M194" s="139"/>
      <c r="N194" s="139"/>
      <c r="O194" s="139"/>
      <c r="P194" s="139"/>
      <c r="Q194" s="139"/>
      <c r="R194" s="141"/>
      <c r="S194" s="224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141"/>
      <c r="S195" s="224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18.75" customHeight="1">
      <c r="A196" s="139"/>
      <c r="B196" s="139"/>
      <c r="C196" s="139"/>
      <c r="D196" s="139"/>
      <c r="E196" s="139"/>
      <c r="F196" s="139"/>
      <c r="G196" s="139"/>
      <c r="H196" s="140"/>
      <c r="I196" s="139"/>
      <c r="J196" s="139"/>
      <c r="K196" s="139"/>
      <c r="L196" s="139"/>
      <c r="M196" s="139"/>
      <c r="N196" s="139"/>
      <c r="O196" s="139"/>
      <c r="P196" s="139"/>
      <c r="Q196" s="139"/>
      <c r="R196" s="224"/>
      <c r="S196" s="224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18.75" customHeight="1">
      <c r="A197" s="139" t="s">
        <v>39</v>
      </c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224"/>
      <c r="S197" s="224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18.7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39"/>
      <c r="R198" s="224"/>
      <c r="S198" s="224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42.0" customHeight="1">
      <c r="A199" s="178"/>
      <c r="B199" s="162" t="s">
        <v>12</v>
      </c>
      <c r="C199" s="179" t="s">
        <v>75</v>
      </c>
      <c r="D199" s="52"/>
      <c r="E199" s="53"/>
      <c r="F199" s="225"/>
      <c r="G199" s="225"/>
      <c r="H199" s="181" t="s">
        <v>14</v>
      </c>
      <c r="I199" s="226" t="s">
        <v>15</v>
      </c>
      <c r="J199" s="162" t="s">
        <v>16</v>
      </c>
      <c r="K199" s="139"/>
      <c r="L199" s="139"/>
      <c r="M199" s="139"/>
      <c r="N199" s="139"/>
      <c r="O199" s="139"/>
      <c r="P199" s="139"/>
      <c r="Q199" s="139"/>
      <c r="R199" s="224"/>
      <c r="S199" s="224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2">
        <v>1.0</v>
      </c>
      <c r="B200" s="183" t="s">
        <v>59</v>
      </c>
      <c r="C200" s="200"/>
      <c r="D200" s="200"/>
      <c r="E200" s="200"/>
      <c r="F200" s="200"/>
      <c r="G200" s="200"/>
      <c r="H200" s="227">
        <v>18.0</v>
      </c>
      <c r="I200" s="200">
        <v>1.0</v>
      </c>
      <c r="J200" s="195">
        <f t="shared" ref="J200:J224" si="170">+I200*H200</f>
        <v>18</v>
      </c>
      <c r="K200" s="178"/>
      <c r="L200" s="178"/>
      <c r="M200" s="178"/>
      <c r="N200" s="178"/>
      <c r="O200" s="178"/>
      <c r="P200" s="178"/>
      <c r="Q200" s="228"/>
      <c r="R200" s="224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2">
        <v>2.0</v>
      </c>
      <c r="B201" s="193" t="s">
        <v>59</v>
      </c>
      <c r="C201" s="200"/>
      <c r="D201" s="200"/>
      <c r="E201" s="200"/>
      <c r="F201" s="200"/>
      <c r="G201" s="200"/>
      <c r="H201" s="227">
        <v>18.0</v>
      </c>
      <c r="I201" s="200">
        <v>1.0</v>
      </c>
      <c r="J201" s="195">
        <f t="shared" si="170"/>
        <v>18</v>
      </c>
      <c r="K201" s="178"/>
      <c r="L201" s="178"/>
      <c r="M201" s="178"/>
      <c r="N201" s="178"/>
      <c r="O201" s="178"/>
      <c r="P201" s="178"/>
      <c r="Q201" s="228"/>
      <c r="R201" s="224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customHeight="1">
      <c r="A202" s="162">
        <v>3.0</v>
      </c>
      <c r="B202" s="183" t="s">
        <v>57</v>
      </c>
      <c r="C202" s="200"/>
      <c r="D202" s="200"/>
      <c r="E202" s="200"/>
      <c r="F202" s="200"/>
      <c r="G202" s="200"/>
      <c r="H202" s="227">
        <v>25.0</v>
      </c>
      <c r="I202" s="200">
        <v>1.0</v>
      </c>
      <c r="J202" s="195">
        <f t="shared" si="170"/>
        <v>25</v>
      </c>
      <c r="K202" s="178"/>
      <c r="L202" s="178"/>
      <c r="M202" s="178"/>
      <c r="N202" s="178"/>
      <c r="O202" s="178"/>
      <c r="P202" s="178"/>
      <c r="Q202" s="228"/>
      <c r="R202" s="224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customHeight="1">
      <c r="A203" s="162">
        <v>4.0</v>
      </c>
      <c r="B203" s="193" t="s">
        <v>57</v>
      </c>
      <c r="C203" s="200"/>
      <c r="D203" s="200"/>
      <c r="E203" s="200"/>
      <c r="F203" s="200"/>
      <c r="G203" s="200"/>
      <c r="H203" s="227">
        <v>21.0</v>
      </c>
      <c r="I203" s="200">
        <v>1.0</v>
      </c>
      <c r="J203" s="195">
        <f t="shared" si="170"/>
        <v>21</v>
      </c>
      <c r="K203" s="178"/>
      <c r="L203" s="178"/>
      <c r="M203" s="178"/>
      <c r="N203" s="178"/>
      <c r="O203" s="178"/>
      <c r="P203" s="178"/>
      <c r="Q203" s="228"/>
      <c r="R203" s="224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customHeight="1">
      <c r="A204" s="162">
        <v>5.0</v>
      </c>
      <c r="B204" s="183" t="s">
        <v>55</v>
      </c>
      <c r="C204" s="200"/>
      <c r="D204" s="200"/>
      <c r="E204" s="200"/>
      <c r="F204" s="200"/>
      <c r="G204" s="200"/>
      <c r="H204" s="227">
        <v>36.0</v>
      </c>
      <c r="I204" s="200">
        <v>1.0</v>
      </c>
      <c r="J204" s="195">
        <f t="shared" si="170"/>
        <v>36</v>
      </c>
      <c r="K204" s="178"/>
      <c r="L204" s="178"/>
      <c r="M204" s="178"/>
      <c r="N204" s="178"/>
      <c r="O204" s="178"/>
      <c r="P204" s="178"/>
      <c r="Q204" s="228"/>
      <c r="R204" s="224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customHeight="1">
      <c r="A205" s="162">
        <v>6.0</v>
      </c>
      <c r="B205" s="193" t="s">
        <v>55</v>
      </c>
      <c r="C205" s="200"/>
      <c r="D205" s="200"/>
      <c r="E205" s="200"/>
      <c r="F205" s="200"/>
      <c r="G205" s="200"/>
      <c r="H205" s="227">
        <v>28.0</v>
      </c>
      <c r="I205" s="200">
        <v>1.0</v>
      </c>
      <c r="J205" s="195">
        <f t="shared" si="170"/>
        <v>28</v>
      </c>
      <c r="K205" s="178"/>
      <c r="L205" s="178"/>
      <c r="M205" s="178"/>
      <c r="N205" s="178"/>
      <c r="O205" s="178"/>
      <c r="P205" s="178"/>
      <c r="Q205" s="228"/>
      <c r="R205" s="224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2">
        <v>7.0</v>
      </c>
      <c r="B206" s="183" t="s">
        <v>57</v>
      </c>
      <c r="C206" s="200"/>
      <c r="D206" s="200"/>
      <c r="E206" s="200"/>
      <c r="F206" s="200"/>
      <c r="G206" s="200"/>
      <c r="H206" s="227">
        <v>23.0</v>
      </c>
      <c r="I206" s="200">
        <v>1.0</v>
      </c>
      <c r="J206" s="195">
        <f t="shared" si="170"/>
        <v>23</v>
      </c>
      <c r="K206" s="178"/>
      <c r="L206" s="178"/>
      <c r="M206" s="178"/>
      <c r="N206" s="178"/>
      <c r="O206" s="178"/>
      <c r="P206" s="178"/>
      <c r="Q206" s="228"/>
      <c r="R206" s="224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2">
        <v>8.0</v>
      </c>
      <c r="B207" s="193" t="s">
        <v>57</v>
      </c>
      <c r="C207" s="200"/>
      <c r="D207" s="200"/>
      <c r="E207" s="200"/>
      <c r="F207" s="200"/>
      <c r="G207" s="200"/>
      <c r="H207" s="227">
        <v>12.0</v>
      </c>
      <c r="I207" s="200">
        <v>1.0</v>
      </c>
      <c r="J207" s="195">
        <f t="shared" si="170"/>
        <v>12</v>
      </c>
      <c r="K207" s="178"/>
      <c r="L207" s="178"/>
      <c r="M207" s="178"/>
      <c r="N207" s="178"/>
      <c r="O207" s="178"/>
      <c r="P207" s="178"/>
      <c r="Q207" s="228"/>
      <c r="R207" s="224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9.0</v>
      </c>
      <c r="B208" s="183" t="s">
        <v>124</v>
      </c>
      <c r="C208" s="200"/>
      <c r="D208" s="200"/>
      <c r="E208" s="200"/>
      <c r="F208" s="200"/>
      <c r="G208" s="200"/>
      <c r="H208" s="227">
        <v>31.0</v>
      </c>
      <c r="I208" s="200">
        <v>1.0</v>
      </c>
      <c r="J208" s="195">
        <f t="shared" si="170"/>
        <v>31</v>
      </c>
      <c r="K208" s="178"/>
      <c r="L208" s="178"/>
      <c r="M208" s="178"/>
      <c r="N208" s="178"/>
      <c r="O208" s="178"/>
      <c r="P208" s="178"/>
      <c r="Q208" s="228"/>
      <c r="R208" s="22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10.0</v>
      </c>
      <c r="B209" s="193" t="s">
        <v>124</v>
      </c>
      <c r="C209" s="200"/>
      <c r="D209" s="200"/>
      <c r="E209" s="200"/>
      <c r="F209" s="200"/>
      <c r="G209" s="200"/>
      <c r="H209" s="227">
        <v>30.0</v>
      </c>
      <c r="I209" s="200">
        <v>1.0</v>
      </c>
      <c r="J209" s="195">
        <f t="shared" si="170"/>
        <v>30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2">
        <v>21.0</v>
      </c>
      <c r="B210" s="229"/>
      <c r="C210" s="200"/>
      <c r="D210" s="200"/>
      <c r="E210" s="200"/>
      <c r="F210" s="200"/>
      <c r="G210" s="200"/>
      <c r="H210" s="227"/>
      <c r="I210" s="200"/>
      <c r="J210" s="195">
        <f t="shared" si="170"/>
        <v>0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2">
        <v>22.0</v>
      </c>
      <c r="B211" s="229"/>
      <c r="C211" s="200"/>
      <c r="D211" s="200"/>
      <c r="E211" s="200"/>
      <c r="F211" s="200"/>
      <c r="G211" s="200"/>
      <c r="H211" s="227"/>
      <c r="I211" s="200"/>
      <c r="J211" s="195">
        <f t="shared" si="170"/>
        <v>0</v>
      </c>
      <c r="K211" s="178"/>
      <c r="L211" s="178"/>
      <c r="M211" s="178"/>
      <c r="N211" s="178"/>
      <c r="O211" s="178"/>
      <c r="P211" s="178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hidden="1" customHeight="1">
      <c r="A212" s="162">
        <v>23.0</v>
      </c>
      <c r="B212" s="229"/>
      <c r="C212" s="200"/>
      <c r="D212" s="200"/>
      <c r="E212" s="200"/>
      <c r="F212" s="200"/>
      <c r="G212" s="200"/>
      <c r="H212" s="227"/>
      <c r="I212" s="200"/>
      <c r="J212" s="195">
        <f t="shared" si="170"/>
        <v>0</v>
      </c>
      <c r="K212" s="178"/>
      <c r="L212" s="178"/>
      <c r="M212" s="178"/>
      <c r="N212" s="178"/>
      <c r="O212" s="178"/>
      <c r="P212" s="178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2">
        <v>24.0</v>
      </c>
      <c r="B213" s="229"/>
      <c r="C213" s="200"/>
      <c r="D213" s="200"/>
      <c r="E213" s="200"/>
      <c r="F213" s="200"/>
      <c r="G213" s="200"/>
      <c r="H213" s="227"/>
      <c r="I213" s="200"/>
      <c r="J213" s="195">
        <f t="shared" si="170"/>
        <v>0</v>
      </c>
      <c r="K213" s="178"/>
      <c r="L213" s="178"/>
      <c r="M213" s="178"/>
      <c r="N213" s="178"/>
      <c r="O213" s="178"/>
      <c r="P213" s="178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2">
        <v>25.0</v>
      </c>
      <c r="B214" s="229"/>
      <c r="C214" s="200"/>
      <c r="D214" s="200"/>
      <c r="E214" s="200"/>
      <c r="F214" s="200"/>
      <c r="G214" s="200"/>
      <c r="H214" s="227"/>
      <c r="I214" s="200"/>
      <c r="J214" s="195">
        <f t="shared" si="170"/>
        <v>0</v>
      </c>
      <c r="K214" s="178"/>
      <c r="L214" s="178"/>
      <c r="M214" s="178"/>
      <c r="N214" s="178"/>
      <c r="O214" s="178"/>
      <c r="P214" s="178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2">
        <v>26.0</v>
      </c>
      <c r="B215" s="229"/>
      <c r="C215" s="200"/>
      <c r="D215" s="200"/>
      <c r="E215" s="200"/>
      <c r="F215" s="200"/>
      <c r="G215" s="200"/>
      <c r="H215" s="227"/>
      <c r="I215" s="200"/>
      <c r="J215" s="195">
        <f t="shared" si="170"/>
        <v>0</v>
      </c>
      <c r="K215" s="178"/>
      <c r="L215" s="178"/>
      <c r="M215" s="178"/>
      <c r="N215" s="178"/>
      <c r="O215" s="178"/>
      <c r="P215" s="178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2">
        <v>27.0</v>
      </c>
      <c r="B216" s="229"/>
      <c r="C216" s="200"/>
      <c r="D216" s="200"/>
      <c r="E216" s="200"/>
      <c r="F216" s="200"/>
      <c r="G216" s="200"/>
      <c r="H216" s="200"/>
      <c r="I216" s="200"/>
      <c r="J216" s="195">
        <f t="shared" si="170"/>
        <v>0</v>
      </c>
      <c r="K216" s="178"/>
      <c r="L216" s="178"/>
      <c r="M216" s="178"/>
      <c r="N216" s="178"/>
      <c r="O216" s="178"/>
      <c r="P216" s="178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28.0</v>
      </c>
      <c r="B217" s="229"/>
      <c r="C217" s="200"/>
      <c r="D217" s="200"/>
      <c r="E217" s="200"/>
      <c r="F217" s="200"/>
      <c r="G217" s="200"/>
      <c r="H217" s="200"/>
      <c r="I217" s="200"/>
      <c r="J217" s="195">
        <f t="shared" si="170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29.0</v>
      </c>
      <c r="B218" s="230"/>
      <c r="C218" s="200"/>
      <c r="D218" s="200"/>
      <c r="E218" s="200"/>
      <c r="F218" s="200"/>
      <c r="G218" s="200"/>
      <c r="H218" s="200"/>
      <c r="I218" s="200"/>
      <c r="J218" s="195">
        <f t="shared" si="170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30.0</v>
      </c>
      <c r="B219" s="230"/>
      <c r="C219" s="200"/>
      <c r="D219" s="200"/>
      <c r="E219" s="200"/>
      <c r="F219" s="200"/>
      <c r="G219" s="200"/>
      <c r="H219" s="227"/>
      <c r="I219" s="200"/>
      <c r="J219" s="195">
        <f t="shared" si="170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31.0</v>
      </c>
      <c r="B220" s="218"/>
      <c r="C220" s="200"/>
      <c r="D220" s="200"/>
      <c r="E220" s="200"/>
      <c r="F220" s="200"/>
      <c r="G220" s="200"/>
      <c r="H220" s="227"/>
      <c r="I220" s="200"/>
      <c r="J220" s="195">
        <f t="shared" si="170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32.0</v>
      </c>
      <c r="B221" s="218"/>
      <c r="C221" s="162"/>
      <c r="D221" s="162"/>
      <c r="E221" s="162"/>
      <c r="F221" s="162"/>
      <c r="G221" s="162"/>
      <c r="H221" s="162"/>
      <c r="I221" s="162"/>
      <c r="J221" s="195">
        <f t="shared" si="170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33.0</v>
      </c>
      <c r="B222" s="230"/>
      <c r="C222" s="162"/>
      <c r="D222" s="162"/>
      <c r="E222" s="162"/>
      <c r="F222" s="162"/>
      <c r="G222" s="162"/>
      <c r="H222" s="162"/>
      <c r="I222" s="162"/>
      <c r="J222" s="195">
        <f t="shared" si="170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34.0</v>
      </c>
      <c r="B223" s="231"/>
      <c r="C223" s="162"/>
      <c r="D223" s="162"/>
      <c r="E223" s="162"/>
      <c r="F223" s="162"/>
      <c r="G223" s="162"/>
      <c r="H223" s="162"/>
      <c r="I223" s="162"/>
      <c r="J223" s="195">
        <f t="shared" si="170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35.0</v>
      </c>
      <c r="B224" s="232"/>
      <c r="C224" s="162"/>
      <c r="D224" s="162"/>
      <c r="E224" s="162"/>
      <c r="F224" s="162"/>
      <c r="G224" s="162"/>
      <c r="H224" s="162"/>
      <c r="I224" s="162"/>
      <c r="J224" s="195">
        <f t="shared" si="170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8.75" customHeight="1">
      <c r="A225" s="139"/>
      <c r="B225" s="139"/>
      <c r="C225" s="139"/>
      <c r="D225" s="139"/>
      <c r="E225" s="139"/>
      <c r="F225" s="139"/>
      <c r="G225" s="139"/>
      <c r="H225" s="140" t="s">
        <v>38</v>
      </c>
      <c r="I225" s="139"/>
      <c r="J225" s="233">
        <f>SUM(J200:J224)</f>
        <v>242</v>
      </c>
      <c r="K225" s="234"/>
      <c r="L225" s="234"/>
      <c r="M225" s="234"/>
      <c r="N225" s="234"/>
      <c r="O225" s="234"/>
      <c r="P225" s="234"/>
      <c r="Q225" s="234"/>
      <c r="R225" s="139"/>
      <c r="S225" s="22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44"/>
      <c r="B226" s="144"/>
      <c r="C226" s="144"/>
      <c r="D226" s="144"/>
      <c r="E226" s="144"/>
      <c r="F226" s="144"/>
      <c r="G226" s="144"/>
      <c r="H226" s="145"/>
      <c r="I226" s="175"/>
      <c r="J226" s="206">
        <f>+J225*60%</f>
        <v>145.2</v>
      </c>
      <c r="K226" s="206"/>
      <c r="L226" s="206"/>
      <c r="M226" s="206"/>
      <c r="N226" s="206"/>
      <c r="O226" s="206"/>
      <c r="P226" s="206"/>
      <c r="Q226" s="206">
        <f>+J225*40%</f>
        <v>96.8</v>
      </c>
      <c r="R226" s="139"/>
      <c r="S226" s="224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39"/>
      <c r="S227" s="224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39"/>
      <c r="S228" s="224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9.5" customHeight="1">
      <c r="A229" s="235" t="s">
        <v>41</v>
      </c>
      <c r="B229" s="139"/>
      <c r="C229" s="139"/>
      <c r="D229" s="139"/>
      <c r="E229" s="139"/>
      <c r="F229" s="139"/>
      <c r="G229" s="139"/>
      <c r="H229" s="140"/>
      <c r="I229" s="139"/>
      <c r="J229" s="139"/>
      <c r="K229" s="139"/>
      <c r="L229" s="139"/>
      <c r="M229" s="139"/>
      <c r="N229" s="139"/>
      <c r="O229" s="139"/>
      <c r="P229" s="139"/>
      <c r="Q229" s="139"/>
      <c r="R229" s="139"/>
      <c r="S229" s="224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57.0" customHeight="1">
      <c r="A230" s="236"/>
      <c r="B230" s="237" t="s">
        <v>42</v>
      </c>
      <c r="C230" s="237" t="s">
        <v>43</v>
      </c>
      <c r="D230" s="237" t="s">
        <v>44</v>
      </c>
      <c r="E230" s="237" t="s">
        <v>45</v>
      </c>
      <c r="F230" s="237"/>
      <c r="G230" s="237"/>
      <c r="H230" s="238" t="s">
        <v>46</v>
      </c>
      <c r="I230" s="239" t="s">
        <v>47</v>
      </c>
      <c r="J230" s="139"/>
      <c r="K230" s="139"/>
      <c r="L230" s="139"/>
      <c r="M230" s="139"/>
      <c r="N230" s="139"/>
      <c r="O230" s="139"/>
      <c r="P230" s="139"/>
      <c r="Q230" s="139"/>
      <c r="R230" s="141"/>
      <c r="S230" s="224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240" t="s">
        <v>48</v>
      </c>
      <c r="B231" s="241">
        <f>+E20</f>
        <v>19152.0555</v>
      </c>
      <c r="C231" s="242">
        <f>+J171</f>
        <v>17516.80046</v>
      </c>
      <c r="D231" s="242">
        <f>+J193</f>
        <v>488.837856</v>
      </c>
      <c r="E231" s="243">
        <f>J226</f>
        <v>145.2</v>
      </c>
      <c r="F231" s="243"/>
      <c r="G231" s="243"/>
      <c r="H231" s="244">
        <f>+I20</f>
        <v>666.8355141</v>
      </c>
      <c r="I231" s="245">
        <f>+B231-C231-D231-E231-H231</f>
        <v>334.3816746</v>
      </c>
      <c r="J231" s="139"/>
      <c r="K231" s="139"/>
      <c r="L231" s="139"/>
      <c r="M231" s="139"/>
      <c r="N231" s="139"/>
      <c r="O231" s="139"/>
      <c r="P231" s="139"/>
      <c r="Q231" s="139"/>
      <c r="R231" s="141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9.5" customHeight="1">
      <c r="A232" s="246" t="s">
        <v>49</v>
      </c>
      <c r="B232" s="247"/>
      <c r="C232" s="248">
        <f>+C231/B231</f>
        <v>0.9146172564</v>
      </c>
      <c r="D232" s="248">
        <f>+D231/B231</f>
        <v>0.02552404132</v>
      </c>
      <c r="E232" s="248">
        <f>+E231/B231</f>
        <v>0.007581431664</v>
      </c>
      <c r="F232" s="248"/>
      <c r="G232" s="248"/>
      <c r="H232" s="249">
        <f>+H231/B231</f>
        <v>0.03481796062</v>
      </c>
      <c r="I232" s="250">
        <f>+I231/B231</f>
        <v>0.01745931003</v>
      </c>
      <c r="J232" s="139"/>
      <c r="K232" s="139"/>
      <c r="L232" s="139"/>
      <c r="M232" s="139"/>
      <c r="N232" s="139"/>
      <c r="O232" s="139"/>
      <c r="P232" s="139"/>
      <c r="Q232" s="139"/>
      <c r="R232" s="141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9.5" customHeight="1">
      <c r="A233" s="165"/>
      <c r="B233" s="221"/>
      <c r="C233" s="251"/>
      <c r="D233" s="251"/>
      <c r="E233" s="251"/>
      <c r="F233" s="251"/>
      <c r="G233" s="251"/>
      <c r="H233" s="252"/>
      <c r="I233" s="253"/>
      <c r="J233" s="139"/>
      <c r="K233" s="139"/>
      <c r="L233" s="139"/>
      <c r="M233" s="139"/>
      <c r="N233" s="139"/>
      <c r="O233" s="139"/>
      <c r="P233" s="139"/>
      <c r="Q233" s="139"/>
      <c r="R233" s="141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254"/>
      <c r="B234" s="255"/>
      <c r="C234" s="255"/>
      <c r="D234" s="255" t="s">
        <v>50</v>
      </c>
      <c r="E234" s="255" t="s">
        <v>48</v>
      </c>
      <c r="F234" s="255"/>
      <c r="G234" s="255"/>
      <c r="H234" s="256">
        <f>+D231+E231+H231+I231</f>
        <v>1635.255045</v>
      </c>
      <c r="I234" s="257"/>
      <c r="J234" s="139"/>
      <c r="K234" s="139"/>
      <c r="L234" s="139"/>
      <c r="M234" s="139"/>
      <c r="N234" s="139"/>
      <c r="O234" s="139"/>
      <c r="P234" s="139"/>
      <c r="Q234" s="139"/>
      <c r="R234" s="141"/>
      <c r="S234" s="140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258"/>
      <c r="B235" s="139"/>
      <c r="C235" s="139"/>
      <c r="D235" s="139"/>
      <c r="E235" s="139" t="s">
        <v>49</v>
      </c>
      <c r="F235" s="139"/>
      <c r="G235" s="139"/>
      <c r="H235" s="252">
        <f>+H234/B231</f>
        <v>0.08538274363</v>
      </c>
      <c r="I235" s="259"/>
      <c r="J235" s="139"/>
      <c r="K235" s="139"/>
      <c r="L235" s="139"/>
      <c r="M235" s="139"/>
      <c r="N235" s="139"/>
      <c r="O235" s="139"/>
      <c r="P235" s="139"/>
      <c r="Q235" s="139"/>
      <c r="R235" s="141"/>
      <c r="S235" s="140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258"/>
      <c r="B236" s="139"/>
      <c r="C236" s="139" t="s">
        <v>51</v>
      </c>
      <c r="D236" s="139"/>
      <c r="E236" s="139"/>
      <c r="F236" s="139"/>
      <c r="G236" s="139"/>
      <c r="H236" s="140"/>
      <c r="I236" s="259"/>
      <c r="J236" s="139"/>
      <c r="K236" s="139"/>
      <c r="L236" s="139"/>
      <c r="M236" s="139"/>
      <c r="N236" s="139"/>
      <c r="O236" s="139"/>
      <c r="P236" s="139"/>
      <c r="Q236" s="139"/>
      <c r="R236" s="141"/>
      <c r="S236" s="140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58"/>
      <c r="B237" s="139"/>
      <c r="C237" s="139"/>
      <c r="D237" s="139" t="s">
        <v>52</v>
      </c>
      <c r="E237" s="139"/>
      <c r="F237" s="139"/>
      <c r="G237" s="139"/>
      <c r="H237" s="140">
        <f>+H236*(H234-H231)</f>
        <v>0</v>
      </c>
      <c r="I237" s="259"/>
      <c r="J237" s="139"/>
      <c r="K237" s="139"/>
      <c r="L237" s="139"/>
      <c r="M237" s="139"/>
      <c r="N237" s="139"/>
      <c r="O237" s="139"/>
      <c r="P237" s="139"/>
      <c r="Q237" s="139"/>
      <c r="R237" s="141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9.5" customHeight="1">
      <c r="A238" s="260"/>
      <c r="B238" s="261"/>
      <c r="C238" s="261"/>
      <c r="D238" s="261"/>
      <c r="E238" s="261"/>
      <c r="F238" s="261"/>
      <c r="G238" s="261"/>
      <c r="H238" s="262"/>
      <c r="I238" s="263"/>
      <c r="J238" s="139"/>
      <c r="K238" s="139"/>
      <c r="L238" s="139"/>
      <c r="M238" s="139"/>
      <c r="N238" s="139"/>
      <c r="O238" s="139"/>
      <c r="P238" s="139"/>
      <c r="Q238" s="139"/>
      <c r="R238" s="141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41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41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139"/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41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7"/>
      <c r="R242" s="26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7"/>
      <c r="R243" s="26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7"/>
      <c r="R244" s="26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7"/>
      <c r="R245" s="26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0:D20"/>
    <mergeCell ref="E21:H21"/>
    <mergeCell ref="C26:E26"/>
    <mergeCell ref="C177:E177"/>
    <mergeCell ref="C199:E199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8" width="9.14"/>
    <col customWidth="1" min="29" max="29" width="15.0"/>
    <col customWidth="1" min="30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  <c r="AL1" s="139"/>
      <c r="AM1" s="139"/>
      <c r="AN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39"/>
      <c r="AM3" s="139"/>
      <c r="AN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44540.0</v>
      </c>
      <c r="J4" s="139" t="str">
        <f>+B8&amp;"/"&amp;B9&amp;"/"&amp;B10&amp;"/"&amp;B11&amp;"/"&amp;B12&amp;"/"&amp;B13&amp;"/"&amp;B14&amp;"/"&amp;B15&amp;"/"&amp;B16</f>
        <v>HRD2940/HRD2940/HRD2940/D2550GT/D2270CC/D2070CC/HRD2930//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  <c r="AL4" s="139"/>
      <c r="AM4" s="139"/>
      <c r="AN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</row>
    <row r="7" ht="36.0" customHeight="1">
      <c r="A7" s="146" t="s">
        <v>6</v>
      </c>
      <c r="B7" s="147"/>
      <c r="C7" s="148" t="s">
        <v>133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+I253</f>
        <v>0.02941502722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252.8*37.2</f>
        <v>9404.16</v>
      </c>
      <c r="F8" s="157"/>
      <c r="G8" s="157"/>
      <c r="H8" s="158">
        <v>37.2</v>
      </c>
      <c r="I8" s="159">
        <f t="shared" ref="I8:I21" si="1">+D8*E8</f>
        <v>137.300736</v>
      </c>
      <c r="J8" s="160">
        <f t="shared" ref="J8:J21" si="2">E8-I8</f>
        <v>9266.859264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39"/>
      <c r="AM8" s="139"/>
      <c r="AN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252.8*52.962</f>
        <v>13388.7936</v>
      </c>
      <c r="F9" s="157"/>
      <c r="G9" s="157"/>
      <c r="H9" s="158">
        <v>52.962</v>
      </c>
      <c r="I9" s="159">
        <f t="shared" si="1"/>
        <v>195.4763866</v>
      </c>
      <c r="J9" s="160">
        <f t="shared" si="2"/>
        <v>13193.31721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252.8*14.9</f>
        <v>3766.72</v>
      </c>
      <c r="F10" s="157"/>
      <c r="G10" s="157"/>
      <c r="H10" s="158">
        <v>14.9</v>
      </c>
      <c r="I10" s="159">
        <f t="shared" si="1"/>
        <v>54.994112</v>
      </c>
      <c r="J10" s="160">
        <f t="shared" si="2"/>
        <v>3711.725888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</row>
    <row r="11" ht="26.25" customHeight="1">
      <c r="A11" s="154">
        <v>4.0</v>
      </c>
      <c r="B11" s="162" t="s">
        <v>78</v>
      </c>
      <c r="C11" s="155">
        <v>25.5</v>
      </c>
      <c r="D11" s="163">
        <v>0.0577</v>
      </c>
      <c r="E11" s="164">
        <f>262.54*13.2</f>
        <v>3465.528</v>
      </c>
      <c r="F11" s="164"/>
      <c r="G11" s="164"/>
      <c r="H11" s="158">
        <v>13.2</v>
      </c>
      <c r="I11" s="159">
        <f t="shared" si="1"/>
        <v>199.9609656</v>
      </c>
      <c r="J11" s="160">
        <f t="shared" si="2"/>
        <v>3265.567034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</row>
    <row r="12" ht="26.25" customHeight="1">
      <c r="A12" s="154">
        <v>5.0</v>
      </c>
      <c r="B12" s="162" t="s">
        <v>80</v>
      </c>
      <c r="C12" s="162">
        <v>22.5</v>
      </c>
      <c r="D12" s="163">
        <v>0.0737</v>
      </c>
      <c r="E12" s="164">
        <f>243.06*31.2</f>
        <v>7583.472</v>
      </c>
      <c r="F12" s="164"/>
      <c r="G12" s="164"/>
      <c r="H12" s="158">
        <v>31.2</v>
      </c>
      <c r="I12" s="159">
        <f t="shared" si="1"/>
        <v>558.9018864</v>
      </c>
      <c r="J12" s="160">
        <f t="shared" si="2"/>
        <v>7024.570114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  <c r="AL12" s="139"/>
      <c r="AM12" s="139"/>
      <c r="AN12" s="139"/>
    </row>
    <row r="13" ht="26.25" customHeight="1">
      <c r="A13" s="154">
        <v>6.0</v>
      </c>
      <c r="B13" s="162" t="s">
        <v>105</v>
      </c>
      <c r="C13" s="162">
        <v>20.5</v>
      </c>
      <c r="D13" s="163">
        <v>0.0813</v>
      </c>
      <c r="E13" s="164">
        <f>230.06*12.9</f>
        <v>2967.774</v>
      </c>
      <c r="F13" s="164"/>
      <c r="G13" s="164"/>
      <c r="H13" s="158">
        <v>12.9</v>
      </c>
      <c r="I13" s="159">
        <f t="shared" si="1"/>
        <v>241.2800262</v>
      </c>
      <c r="J13" s="160">
        <f t="shared" si="2"/>
        <v>2726.493974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  <c r="AL13" s="139"/>
      <c r="AM13" s="139"/>
      <c r="AN13" s="139"/>
    </row>
    <row r="14" ht="26.25" customHeight="1">
      <c r="A14" s="154">
        <v>7.0</v>
      </c>
      <c r="B14" s="162" t="s">
        <v>57</v>
      </c>
      <c r="C14" s="162">
        <v>29.5</v>
      </c>
      <c r="D14" s="163">
        <v>0.0155</v>
      </c>
      <c r="E14" s="164">
        <f>253.14*23.5</f>
        <v>5948.79</v>
      </c>
      <c r="F14" s="164"/>
      <c r="G14" s="164"/>
      <c r="H14" s="158">
        <v>23.5</v>
      </c>
      <c r="I14" s="159">
        <f t="shared" si="1"/>
        <v>92.206245</v>
      </c>
      <c r="J14" s="160">
        <f t="shared" si="2"/>
        <v>5856.583755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 t="s">
        <v>5</v>
      </c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  <c r="AL14" s="139"/>
      <c r="AM14" s="139"/>
      <c r="AN14" s="139"/>
    </row>
    <row r="15" ht="26.25" hidden="1" customHeight="1">
      <c r="A15" s="154">
        <v>11.0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</row>
    <row r="16" ht="26.25" hidden="1" customHeight="1">
      <c r="A16" s="154">
        <v>12.0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</row>
    <row r="17" ht="26.25" hidden="1" customHeight="1">
      <c r="A17" s="154">
        <v>13.0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</row>
    <row r="18" ht="26.25" hidden="1" customHeight="1">
      <c r="A18" s="154">
        <v>14.0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39"/>
    </row>
    <row r="19" ht="26.25" hidden="1" customHeight="1">
      <c r="A19" s="154">
        <v>15.0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39"/>
      <c r="AM19" s="139"/>
      <c r="AN19" s="139"/>
    </row>
    <row r="20" ht="26.25" hidden="1" customHeight="1">
      <c r="A20" s="154">
        <v>16.0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  <c r="AL20" s="139"/>
      <c r="AM20" s="139"/>
      <c r="AN20" s="139"/>
    </row>
    <row r="21" ht="26.25" hidden="1" customHeight="1">
      <c r="A21" s="154">
        <v>17.0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  <c r="AL21" s="139"/>
      <c r="AM21" s="139"/>
      <c r="AN21" s="139"/>
    </row>
    <row r="22" ht="18.75" customHeight="1">
      <c r="A22" s="165"/>
      <c r="B22" s="166"/>
      <c r="C22" s="167"/>
      <c r="D22" s="168"/>
      <c r="E22" s="169">
        <f>SUM(E8:E21)</f>
        <v>46525.2376</v>
      </c>
      <c r="F22" s="170"/>
      <c r="G22" s="170"/>
      <c r="H22" s="171"/>
      <c r="I22" s="172">
        <f t="shared" ref="I22:J22" si="3">SUM(I8:I21)</f>
        <v>1480.120358</v>
      </c>
      <c r="J22" s="173">
        <f t="shared" si="3"/>
        <v>45045.11724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  <c r="AL22" s="139"/>
      <c r="AM22" s="139"/>
      <c r="AN22" s="139"/>
    </row>
    <row r="23" ht="18.75" customHeight="1">
      <c r="A23" s="174"/>
      <c r="B23" s="144"/>
      <c r="C23" s="144"/>
      <c r="D23" s="175"/>
      <c r="E23" s="176"/>
      <c r="F23" s="151"/>
      <c r="G23" s="151"/>
      <c r="H23" s="147"/>
      <c r="I23" s="177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40.5" customHeight="1">
      <c r="A28" s="178"/>
      <c r="B28" s="162" t="s">
        <v>12</v>
      </c>
      <c r="C28" s="179" t="s">
        <v>60</v>
      </c>
      <c r="D28" s="52"/>
      <c r="E28" s="53"/>
      <c r="F28" s="180"/>
      <c r="G28" s="180"/>
      <c r="H28" s="181" t="s">
        <v>14</v>
      </c>
      <c r="I28" s="162" t="s">
        <v>15</v>
      </c>
      <c r="J28" s="162" t="s">
        <v>16</v>
      </c>
      <c r="K28" s="139"/>
      <c r="L28" s="162" t="s">
        <v>17</v>
      </c>
      <c r="M28" s="162" t="s">
        <v>15</v>
      </c>
      <c r="N28" s="178" t="s">
        <v>18</v>
      </c>
      <c r="O28" s="139"/>
      <c r="P28" s="139"/>
      <c r="Q28" s="178" t="s">
        <v>61</v>
      </c>
      <c r="R28" s="182"/>
      <c r="S28" s="162" t="s">
        <v>17</v>
      </c>
      <c r="T28" s="162" t="s">
        <v>15</v>
      </c>
      <c r="U28" s="178" t="s">
        <v>18</v>
      </c>
      <c r="V28" s="139"/>
      <c r="W28" s="178" t="s">
        <v>19</v>
      </c>
      <c r="X28" s="178" t="s">
        <v>20</v>
      </c>
      <c r="Y28" s="178" t="s">
        <v>21</v>
      </c>
      <c r="Z28" s="178" t="s">
        <v>134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1.0</v>
      </c>
      <c r="B29" s="183" t="s">
        <v>63</v>
      </c>
      <c r="C29" s="184">
        <v>77.0</v>
      </c>
      <c r="D29" s="184">
        <v>202.0</v>
      </c>
      <c r="E29" s="184">
        <v>180.0</v>
      </c>
      <c r="F29" s="184">
        <f t="shared" ref="F29:F194" si="5">VALUE(IF(RIGHT(B29, 1)="%", RIGHT(B29, 3), 0))</f>
        <v>0.8</v>
      </c>
      <c r="G29" s="184">
        <f t="shared" ref="G29:G194" si="6">+R29*C29/100*D29/100*E29/100</f>
        <v>83.9916</v>
      </c>
      <c r="H29" s="185">
        <f t="shared" ref="H29:H194" si="7">IF(F29=0, G29, F29*G29)</f>
        <v>67.19328</v>
      </c>
      <c r="I29" s="184">
        <v>1.0</v>
      </c>
      <c r="J29" s="186">
        <f t="shared" ref="J29:J194" si="8">+I29*H29</f>
        <v>67.19328</v>
      </c>
      <c r="K29" s="187"/>
      <c r="L29" s="188">
        <f>D29*25.4/1000</f>
        <v>5.1308</v>
      </c>
      <c r="M29" s="189">
        <f>+I29</f>
        <v>1</v>
      </c>
      <c r="N29" s="189">
        <f>M29*L29</f>
        <v>5.1308</v>
      </c>
      <c r="O29" s="187"/>
      <c r="P29" s="187"/>
      <c r="Q29" s="188">
        <v>95.0</v>
      </c>
      <c r="R29" s="190">
        <v>30.0</v>
      </c>
      <c r="S29" s="178">
        <f t="shared" ref="S29:S195" si="9">E29/100</f>
        <v>1.8</v>
      </c>
      <c r="T29" s="162">
        <f t="shared" ref="T29:T195" si="10">I29</f>
        <v>1</v>
      </c>
      <c r="U29" s="162">
        <f t="shared" ref="U29:U195" si="11">T29*S29</f>
        <v>1.8</v>
      </c>
      <c r="V29" s="191">
        <f t="shared" ref="V29:V77" si="12">R29*C29/100*D29/100*E29/100</f>
        <v>83.9916</v>
      </c>
      <c r="W29" s="178">
        <f t="shared" ref="W29:X29" si="4">C29/100</f>
        <v>0.77</v>
      </c>
      <c r="X29" s="178">
        <f t="shared" si="4"/>
        <v>2.02</v>
      </c>
      <c r="Y29" s="178">
        <f t="shared" ref="Y29:Y195" si="14">U29</f>
        <v>1.8</v>
      </c>
      <c r="Z29" s="192">
        <f t="shared" ref="Z29:Z195" si="15">W29*X29*Y29</f>
        <v>2.79972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2.0</v>
      </c>
      <c r="B30" s="193" t="s">
        <v>55</v>
      </c>
      <c r="C30" s="193">
        <v>100.0</v>
      </c>
      <c r="D30" s="193">
        <v>202.0</v>
      </c>
      <c r="E30" s="193">
        <v>212.0</v>
      </c>
      <c r="F30" s="193">
        <f t="shared" si="5"/>
        <v>0</v>
      </c>
      <c r="G30" s="193">
        <f t="shared" si="6"/>
        <v>128.472</v>
      </c>
      <c r="H30" s="194">
        <f t="shared" si="7"/>
        <v>128.472</v>
      </c>
      <c r="I30" s="193">
        <v>1.0</v>
      </c>
      <c r="J30" s="195">
        <f t="shared" si="8"/>
        <v>128.472</v>
      </c>
      <c r="K30" s="139"/>
      <c r="L30" s="178"/>
      <c r="M30" s="162"/>
      <c r="N30" s="162"/>
      <c r="O30" s="139"/>
      <c r="P30" s="139"/>
      <c r="Q30" s="178">
        <v>125.0</v>
      </c>
      <c r="R30" s="190">
        <v>30.0</v>
      </c>
      <c r="S30" s="178">
        <f t="shared" si="9"/>
        <v>2.12</v>
      </c>
      <c r="T30" s="162">
        <f t="shared" si="10"/>
        <v>1</v>
      </c>
      <c r="U30" s="162">
        <f t="shared" si="11"/>
        <v>2.12</v>
      </c>
      <c r="V30" s="191">
        <f t="shared" si="12"/>
        <v>128.472</v>
      </c>
      <c r="W30" s="178">
        <f t="shared" ref="W30:X30" si="13">C30/100</f>
        <v>1</v>
      </c>
      <c r="X30" s="178">
        <f t="shared" si="13"/>
        <v>2.02</v>
      </c>
      <c r="Y30" s="178">
        <f t="shared" si="14"/>
        <v>2.12</v>
      </c>
      <c r="Z30" s="192">
        <f t="shared" si="15"/>
        <v>4.2824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3.0</v>
      </c>
      <c r="B31" s="193" t="s">
        <v>55</v>
      </c>
      <c r="C31" s="193">
        <v>100.0</v>
      </c>
      <c r="D31" s="193">
        <v>202.0</v>
      </c>
      <c r="E31" s="193">
        <v>2885.0</v>
      </c>
      <c r="F31" s="193">
        <f t="shared" si="5"/>
        <v>0</v>
      </c>
      <c r="G31" s="193">
        <f t="shared" si="6"/>
        <v>1748.31</v>
      </c>
      <c r="H31" s="194">
        <f t="shared" si="7"/>
        <v>1748.31</v>
      </c>
      <c r="I31" s="193">
        <v>1.0</v>
      </c>
      <c r="J31" s="195">
        <f t="shared" si="8"/>
        <v>1748.31</v>
      </c>
      <c r="K31" s="139"/>
      <c r="L31" s="178">
        <f t="shared" ref="L31:L53" si="17">D31*25.4/1000</f>
        <v>5.1308</v>
      </c>
      <c r="M31" s="162">
        <f t="shared" ref="M31:M66" si="18">+I31</f>
        <v>1</v>
      </c>
      <c r="N31" s="162">
        <f t="shared" ref="N31:N53" si="19">M31*L31</f>
        <v>5.1308</v>
      </c>
      <c r="O31" s="139"/>
      <c r="P31" s="139"/>
      <c r="Q31" s="178">
        <v>1745.0</v>
      </c>
      <c r="R31" s="190">
        <v>30.0</v>
      </c>
      <c r="S31" s="178">
        <f t="shared" si="9"/>
        <v>28.85</v>
      </c>
      <c r="T31" s="162">
        <f t="shared" si="10"/>
        <v>1</v>
      </c>
      <c r="U31" s="162">
        <f t="shared" si="11"/>
        <v>28.85</v>
      </c>
      <c r="V31" s="191">
        <f t="shared" si="12"/>
        <v>1748.31</v>
      </c>
      <c r="W31" s="178">
        <f t="shared" ref="W31:X31" si="16">C31/100</f>
        <v>1</v>
      </c>
      <c r="X31" s="178">
        <f t="shared" si="16"/>
        <v>2.02</v>
      </c>
      <c r="Y31" s="178">
        <f t="shared" si="14"/>
        <v>28.85</v>
      </c>
      <c r="Z31" s="192">
        <f t="shared" si="15"/>
        <v>58.277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4.0</v>
      </c>
      <c r="B32" s="193" t="s">
        <v>55</v>
      </c>
      <c r="C32" s="193">
        <v>99.0</v>
      </c>
      <c r="D32" s="193">
        <v>202.0</v>
      </c>
      <c r="E32" s="193">
        <v>2885.0</v>
      </c>
      <c r="F32" s="193">
        <f t="shared" si="5"/>
        <v>0</v>
      </c>
      <c r="G32" s="193">
        <f t="shared" si="6"/>
        <v>1730.8269</v>
      </c>
      <c r="H32" s="194">
        <f t="shared" si="7"/>
        <v>1730.8269</v>
      </c>
      <c r="I32" s="193">
        <v>1.0</v>
      </c>
      <c r="J32" s="195">
        <f t="shared" si="8"/>
        <v>1730.8269</v>
      </c>
      <c r="K32" s="139"/>
      <c r="L32" s="178">
        <f t="shared" si="17"/>
        <v>5.1308</v>
      </c>
      <c r="M32" s="162">
        <f t="shared" si="18"/>
        <v>1</v>
      </c>
      <c r="N32" s="162">
        <f t="shared" si="19"/>
        <v>5.1308</v>
      </c>
      <c r="O32" s="139"/>
      <c r="P32" s="139"/>
      <c r="Q32" s="178">
        <v>1735.0</v>
      </c>
      <c r="R32" s="190">
        <v>30.0</v>
      </c>
      <c r="S32" s="178">
        <f t="shared" si="9"/>
        <v>28.85</v>
      </c>
      <c r="T32" s="162">
        <f t="shared" si="10"/>
        <v>1</v>
      </c>
      <c r="U32" s="162">
        <f t="shared" si="11"/>
        <v>28.85</v>
      </c>
      <c r="V32" s="191">
        <f t="shared" si="12"/>
        <v>1730.8269</v>
      </c>
      <c r="W32" s="178">
        <f t="shared" ref="W32:X32" si="20">C32/100</f>
        <v>0.99</v>
      </c>
      <c r="X32" s="178">
        <f t="shared" si="20"/>
        <v>2.02</v>
      </c>
      <c r="Y32" s="178">
        <f t="shared" si="14"/>
        <v>28.85</v>
      </c>
      <c r="Z32" s="192">
        <f t="shared" si="15"/>
        <v>57.69423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5.0</v>
      </c>
      <c r="B33" s="193" t="s">
        <v>55</v>
      </c>
      <c r="C33" s="193">
        <v>99.0</v>
      </c>
      <c r="D33" s="193">
        <v>202.0</v>
      </c>
      <c r="E33" s="193">
        <v>2878.0</v>
      </c>
      <c r="F33" s="193">
        <f t="shared" si="5"/>
        <v>0</v>
      </c>
      <c r="G33" s="193">
        <f t="shared" si="6"/>
        <v>1726.62732</v>
      </c>
      <c r="H33" s="194">
        <f t="shared" si="7"/>
        <v>1726.62732</v>
      </c>
      <c r="I33" s="193">
        <v>1.0</v>
      </c>
      <c r="J33" s="195">
        <f t="shared" si="8"/>
        <v>1726.62732</v>
      </c>
      <c r="K33" s="139"/>
      <c r="L33" s="178">
        <f t="shared" si="17"/>
        <v>5.1308</v>
      </c>
      <c r="M33" s="162">
        <f t="shared" si="18"/>
        <v>1</v>
      </c>
      <c r="N33" s="162">
        <f t="shared" si="19"/>
        <v>5.1308</v>
      </c>
      <c r="O33" s="139"/>
      <c r="P33" s="139"/>
      <c r="Q33" s="178">
        <v>1720.0</v>
      </c>
      <c r="R33" s="190">
        <v>30.0</v>
      </c>
      <c r="S33" s="178">
        <f t="shared" si="9"/>
        <v>28.78</v>
      </c>
      <c r="T33" s="162">
        <f t="shared" si="10"/>
        <v>1</v>
      </c>
      <c r="U33" s="162">
        <f t="shared" si="11"/>
        <v>28.78</v>
      </c>
      <c r="V33" s="191">
        <f t="shared" si="12"/>
        <v>1726.62732</v>
      </c>
      <c r="W33" s="178">
        <f t="shared" ref="W33:X33" si="21">C33/100</f>
        <v>0.99</v>
      </c>
      <c r="X33" s="178">
        <f t="shared" si="21"/>
        <v>2.02</v>
      </c>
      <c r="Y33" s="178">
        <f t="shared" si="14"/>
        <v>28.78</v>
      </c>
      <c r="Z33" s="192">
        <f t="shared" si="15"/>
        <v>57.554244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6.0</v>
      </c>
      <c r="B34" s="193" t="s">
        <v>55</v>
      </c>
      <c r="C34" s="193">
        <v>100.0</v>
      </c>
      <c r="D34" s="193">
        <v>202.0</v>
      </c>
      <c r="E34" s="193">
        <v>2878.0</v>
      </c>
      <c r="F34" s="193">
        <f t="shared" si="5"/>
        <v>0</v>
      </c>
      <c r="G34" s="193">
        <f t="shared" si="6"/>
        <v>1744.068</v>
      </c>
      <c r="H34" s="194">
        <f t="shared" si="7"/>
        <v>1744.068</v>
      </c>
      <c r="I34" s="193">
        <v>1.0</v>
      </c>
      <c r="J34" s="195">
        <f t="shared" si="8"/>
        <v>1744.068</v>
      </c>
      <c r="K34" s="139"/>
      <c r="L34" s="178">
        <f t="shared" si="17"/>
        <v>5.1308</v>
      </c>
      <c r="M34" s="162">
        <f t="shared" si="18"/>
        <v>1</v>
      </c>
      <c r="N34" s="162">
        <f t="shared" si="19"/>
        <v>5.1308</v>
      </c>
      <c r="O34" s="139"/>
      <c r="P34" s="139"/>
      <c r="Q34" s="178">
        <v>1735.0</v>
      </c>
      <c r="R34" s="190">
        <v>30.0</v>
      </c>
      <c r="S34" s="178">
        <f t="shared" si="9"/>
        <v>28.78</v>
      </c>
      <c r="T34" s="162">
        <f t="shared" si="10"/>
        <v>1</v>
      </c>
      <c r="U34" s="162">
        <f t="shared" si="11"/>
        <v>28.78</v>
      </c>
      <c r="V34" s="191">
        <f t="shared" si="12"/>
        <v>1744.068</v>
      </c>
      <c r="W34" s="178">
        <f t="shared" ref="W34:X34" si="22">C34/100</f>
        <v>1</v>
      </c>
      <c r="X34" s="178">
        <f t="shared" si="22"/>
        <v>2.02</v>
      </c>
      <c r="Y34" s="178">
        <f t="shared" si="14"/>
        <v>28.78</v>
      </c>
      <c r="Z34" s="192">
        <f t="shared" si="15"/>
        <v>58.1356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7.0</v>
      </c>
      <c r="B35" s="193" t="s">
        <v>55</v>
      </c>
      <c r="C35" s="193">
        <v>97.0</v>
      </c>
      <c r="D35" s="193">
        <v>202.0</v>
      </c>
      <c r="E35" s="193">
        <v>2815.0</v>
      </c>
      <c r="F35" s="193">
        <f t="shared" si="5"/>
        <v>0</v>
      </c>
      <c r="G35" s="193">
        <f t="shared" si="6"/>
        <v>1654.7133</v>
      </c>
      <c r="H35" s="194">
        <f t="shared" si="7"/>
        <v>1654.7133</v>
      </c>
      <c r="I35" s="193">
        <v>1.0</v>
      </c>
      <c r="J35" s="195">
        <f t="shared" si="8"/>
        <v>1654.7133</v>
      </c>
      <c r="K35" s="139"/>
      <c r="L35" s="178">
        <f t="shared" si="17"/>
        <v>5.1308</v>
      </c>
      <c r="M35" s="162">
        <f t="shared" si="18"/>
        <v>1</v>
      </c>
      <c r="N35" s="162">
        <f t="shared" si="19"/>
        <v>5.1308</v>
      </c>
      <c r="O35" s="139"/>
      <c r="P35" s="139"/>
      <c r="Q35" s="178">
        <v>1660.0</v>
      </c>
      <c r="R35" s="190">
        <v>30.0</v>
      </c>
      <c r="S35" s="178">
        <f t="shared" si="9"/>
        <v>28.15</v>
      </c>
      <c r="T35" s="162">
        <f t="shared" si="10"/>
        <v>1</v>
      </c>
      <c r="U35" s="162">
        <f t="shared" si="11"/>
        <v>28.15</v>
      </c>
      <c r="V35" s="191">
        <f t="shared" si="12"/>
        <v>1654.7133</v>
      </c>
      <c r="W35" s="178">
        <f t="shared" ref="W35:X35" si="23">C35/100</f>
        <v>0.97</v>
      </c>
      <c r="X35" s="178">
        <f t="shared" si="23"/>
        <v>2.02</v>
      </c>
      <c r="Y35" s="178">
        <f t="shared" si="14"/>
        <v>28.15</v>
      </c>
      <c r="Z35" s="192">
        <f t="shared" si="15"/>
        <v>55.15711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8.0</v>
      </c>
      <c r="B36" s="183" t="s">
        <v>63</v>
      </c>
      <c r="C36" s="184">
        <v>92.0</v>
      </c>
      <c r="D36" s="184">
        <v>195.0</v>
      </c>
      <c r="E36" s="184">
        <v>198.0</v>
      </c>
      <c r="F36" s="184">
        <f t="shared" si="5"/>
        <v>0.8</v>
      </c>
      <c r="G36" s="184">
        <f t="shared" si="6"/>
        <v>106.5636</v>
      </c>
      <c r="H36" s="185">
        <f t="shared" si="7"/>
        <v>85.25088</v>
      </c>
      <c r="I36" s="184">
        <v>1.0</v>
      </c>
      <c r="J36" s="186">
        <f t="shared" si="8"/>
        <v>85.25088</v>
      </c>
      <c r="K36" s="187"/>
      <c r="L36" s="188">
        <f t="shared" si="17"/>
        <v>4.953</v>
      </c>
      <c r="M36" s="189">
        <f t="shared" si="18"/>
        <v>1</v>
      </c>
      <c r="N36" s="189">
        <f t="shared" si="19"/>
        <v>4.953</v>
      </c>
      <c r="O36" s="187"/>
      <c r="P36" s="187"/>
      <c r="Q36" s="188">
        <v>109.0</v>
      </c>
      <c r="R36" s="190">
        <v>30.0</v>
      </c>
      <c r="S36" s="178">
        <f t="shared" si="9"/>
        <v>1.98</v>
      </c>
      <c r="T36" s="162">
        <f t="shared" si="10"/>
        <v>1</v>
      </c>
      <c r="U36" s="162">
        <f t="shared" si="11"/>
        <v>1.98</v>
      </c>
      <c r="V36" s="191">
        <f t="shared" si="12"/>
        <v>106.5636</v>
      </c>
      <c r="W36" s="178">
        <f t="shared" ref="W36:X36" si="24">C36/100</f>
        <v>0.92</v>
      </c>
      <c r="X36" s="178">
        <f t="shared" si="24"/>
        <v>1.95</v>
      </c>
      <c r="Y36" s="178">
        <f t="shared" si="14"/>
        <v>1.98</v>
      </c>
      <c r="Z36" s="192">
        <f t="shared" si="15"/>
        <v>3.55212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9.0</v>
      </c>
      <c r="B37" s="193" t="s">
        <v>55</v>
      </c>
      <c r="C37" s="193">
        <v>101.0</v>
      </c>
      <c r="D37" s="193">
        <v>195.0</v>
      </c>
      <c r="E37" s="193">
        <v>200.0</v>
      </c>
      <c r="F37" s="193">
        <f t="shared" si="5"/>
        <v>0</v>
      </c>
      <c r="G37" s="193">
        <f t="shared" si="6"/>
        <v>118.17</v>
      </c>
      <c r="H37" s="194">
        <f t="shared" si="7"/>
        <v>118.17</v>
      </c>
      <c r="I37" s="193">
        <v>1.0</v>
      </c>
      <c r="J37" s="195">
        <f t="shared" si="8"/>
        <v>118.17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121.0</v>
      </c>
      <c r="R37" s="190">
        <v>30.0</v>
      </c>
      <c r="S37" s="178">
        <f t="shared" si="9"/>
        <v>2</v>
      </c>
      <c r="T37" s="162">
        <f t="shared" si="10"/>
        <v>1</v>
      </c>
      <c r="U37" s="162">
        <f t="shared" si="11"/>
        <v>2</v>
      </c>
      <c r="V37" s="191">
        <f t="shared" si="12"/>
        <v>118.17</v>
      </c>
      <c r="W37" s="178">
        <f t="shared" ref="W37:X37" si="25">C37/100</f>
        <v>1.01</v>
      </c>
      <c r="X37" s="178">
        <f t="shared" si="25"/>
        <v>1.95</v>
      </c>
      <c r="Y37" s="178">
        <f t="shared" si="14"/>
        <v>2</v>
      </c>
      <c r="Z37" s="192">
        <f t="shared" si="15"/>
        <v>3.939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10.0</v>
      </c>
      <c r="B38" s="193" t="s">
        <v>55</v>
      </c>
      <c r="C38" s="193">
        <v>102.0</v>
      </c>
      <c r="D38" s="193">
        <v>195.0</v>
      </c>
      <c r="E38" s="193">
        <v>2881.0</v>
      </c>
      <c r="F38" s="193">
        <f t="shared" si="5"/>
        <v>0</v>
      </c>
      <c r="G38" s="193">
        <f t="shared" si="6"/>
        <v>1719.0927</v>
      </c>
      <c r="H38" s="194">
        <f t="shared" si="7"/>
        <v>1719.0927</v>
      </c>
      <c r="I38" s="193">
        <v>1.0</v>
      </c>
      <c r="J38" s="195">
        <f t="shared" si="8"/>
        <v>1719.0927</v>
      </c>
      <c r="K38" s="139"/>
      <c r="L38" s="178">
        <f t="shared" si="17"/>
        <v>4.953</v>
      </c>
      <c r="M38" s="162">
        <f t="shared" si="18"/>
        <v>1</v>
      </c>
      <c r="N38" s="162">
        <f t="shared" si="19"/>
        <v>4.953</v>
      </c>
      <c r="O38" s="139"/>
      <c r="P38" s="139"/>
      <c r="Q38" s="178">
        <v>1725.0</v>
      </c>
      <c r="R38" s="190">
        <v>30.0</v>
      </c>
      <c r="S38" s="178">
        <f t="shared" si="9"/>
        <v>28.81</v>
      </c>
      <c r="T38" s="162">
        <f t="shared" si="10"/>
        <v>1</v>
      </c>
      <c r="U38" s="162">
        <f t="shared" si="11"/>
        <v>28.81</v>
      </c>
      <c r="V38" s="191">
        <f t="shared" si="12"/>
        <v>1719.0927</v>
      </c>
      <c r="W38" s="178">
        <f t="shared" ref="W38:X38" si="26">C38/100</f>
        <v>1.02</v>
      </c>
      <c r="X38" s="178">
        <f t="shared" si="26"/>
        <v>1.95</v>
      </c>
      <c r="Y38" s="178">
        <f t="shared" si="14"/>
        <v>28.81</v>
      </c>
      <c r="Z38" s="192">
        <f t="shared" si="15"/>
        <v>57.30309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11.0</v>
      </c>
      <c r="B39" s="193" t="s">
        <v>55</v>
      </c>
      <c r="C39" s="193">
        <v>102.0</v>
      </c>
      <c r="D39" s="193">
        <v>195.0</v>
      </c>
      <c r="E39" s="193">
        <v>2882.0</v>
      </c>
      <c r="F39" s="193">
        <f t="shared" si="5"/>
        <v>0</v>
      </c>
      <c r="G39" s="193">
        <f t="shared" si="6"/>
        <v>1719.6894</v>
      </c>
      <c r="H39" s="194">
        <f t="shared" si="7"/>
        <v>1719.6894</v>
      </c>
      <c r="I39" s="193">
        <v>1.0</v>
      </c>
      <c r="J39" s="195">
        <f t="shared" si="8"/>
        <v>1719.6894</v>
      </c>
      <c r="K39" s="139"/>
      <c r="L39" s="178">
        <f t="shared" si="17"/>
        <v>4.953</v>
      </c>
      <c r="M39" s="162">
        <f t="shared" si="18"/>
        <v>1</v>
      </c>
      <c r="N39" s="162">
        <f t="shared" si="19"/>
        <v>4.953</v>
      </c>
      <c r="O39" s="139"/>
      <c r="P39" s="139"/>
      <c r="Q39" s="178">
        <v>1750.0</v>
      </c>
      <c r="R39" s="190">
        <v>30.0</v>
      </c>
      <c r="S39" s="178">
        <f t="shared" si="9"/>
        <v>28.82</v>
      </c>
      <c r="T39" s="162">
        <f t="shared" si="10"/>
        <v>1</v>
      </c>
      <c r="U39" s="162">
        <f t="shared" si="11"/>
        <v>28.82</v>
      </c>
      <c r="V39" s="191">
        <f t="shared" si="12"/>
        <v>1719.6894</v>
      </c>
      <c r="W39" s="178">
        <f t="shared" ref="W39:X39" si="27">C39/100</f>
        <v>1.02</v>
      </c>
      <c r="X39" s="178">
        <f t="shared" si="27"/>
        <v>1.95</v>
      </c>
      <c r="Y39" s="178">
        <f t="shared" si="14"/>
        <v>28.82</v>
      </c>
      <c r="Z39" s="192">
        <f t="shared" si="15"/>
        <v>57.32298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12.0</v>
      </c>
      <c r="B40" s="193" t="s">
        <v>55</v>
      </c>
      <c r="C40" s="193">
        <v>102.0</v>
      </c>
      <c r="D40" s="193">
        <v>195.0</v>
      </c>
      <c r="E40" s="193">
        <v>2878.0</v>
      </c>
      <c r="F40" s="193">
        <f t="shared" si="5"/>
        <v>0</v>
      </c>
      <c r="G40" s="193">
        <f t="shared" si="6"/>
        <v>1717.3026</v>
      </c>
      <c r="H40" s="194">
        <f t="shared" si="7"/>
        <v>1717.3026</v>
      </c>
      <c r="I40" s="193">
        <v>1.0</v>
      </c>
      <c r="J40" s="195">
        <f t="shared" si="8"/>
        <v>1717.3026</v>
      </c>
      <c r="K40" s="139"/>
      <c r="L40" s="178">
        <f t="shared" si="17"/>
        <v>4.953</v>
      </c>
      <c r="M40" s="162">
        <f t="shared" si="18"/>
        <v>1</v>
      </c>
      <c r="N40" s="162">
        <f t="shared" si="19"/>
        <v>4.953</v>
      </c>
      <c r="O40" s="139"/>
      <c r="P40" s="139"/>
      <c r="Q40" s="178">
        <v>1735.0</v>
      </c>
      <c r="R40" s="190">
        <v>30.0</v>
      </c>
      <c r="S40" s="178">
        <f t="shared" si="9"/>
        <v>28.78</v>
      </c>
      <c r="T40" s="162">
        <f t="shared" si="10"/>
        <v>1</v>
      </c>
      <c r="U40" s="162">
        <f t="shared" si="11"/>
        <v>28.78</v>
      </c>
      <c r="V40" s="191">
        <f t="shared" si="12"/>
        <v>1717.3026</v>
      </c>
      <c r="W40" s="178">
        <f t="shared" ref="W40:X40" si="28">C40/100</f>
        <v>1.02</v>
      </c>
      <c r="X40" s="178">
        <f t="shared" si="28"/>
        <v>1.95</v>
      </c>
      <c r="Y40" s="178">
        <f t="shared" si="14"/>
        <v>28.78</v>
      </c>
      <c r="Z40" s="192">
        <f t="shared" si="15"/>
        <v>57.24342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13.0</v>
      </c>
      <c r="B41" s="193" t="s">
        <v>55</v>
      </c>
      <c r="C41" s="193">
        <v>102.0</v>
      </c>
      <c r="D41" s="193">
        <v>195.0</v>
      </c>
      <c r="E41" s="193">
        <v>2880.0</v>
      </c>
      <c r="F41" s="193">
        <f t="shared" si="5"/>
        <v>0</v>
      </c>
      <c r="G41" s="193">
        <f t="shared" si="6"/>
        <v>1718.496</v>
      </c>
      <c r="H41" s="194">
        <f t="shared" si="7"/>
        <v>1718.496</v>
      </c>
      <c r="I41" s="193">
        <v>1.0</v>
      </c>
      <c r="J41" s="195">
        <f t="shared" si="8"/>
        <v>1718.496</v>
      </c>
      <c r="K41" s="139"/>
      <c r="L41" s="178">
        <f t="shared" si="17"/>
        <v>4.953</v>
      </c>
      <c r="M41" s="162">
        <f t="shared" si="18"/>
        <v>1</v>
      </c>
      <c r="N41" s="162">
        <f t="shared" si="19"/>
        <v>4.953</v>
      </c>
      <c r="O41" s="139"/>
      <c r="P41" s="139"/>
      <c r="Q41" s="178">
        <v>1735.0</v>
      </c>
      <c r="R41" s="190">
        <v>30.0</v>
      </c>
      <c r="S41" s="178">
        <f t="shared" si="9"/>
        <v>28.8</v>
      </c>
      <c r="T41" s="162">
        <f t="shared" si="10"/>
        <v>1</v>
      </c>
      <c r="U41" s="162">
        <f t="shared" si="11"/>
        <v>28.8</v>
      </c>
      <c r="V41" s="191">
        <f t="shared" si="12"/>
        <v>1718.496</v>
      </c>
      <c r="W41" s="178">
        <f t="shared" ref="W41:X41" si="29">C41/100</f>
        <v>1.02</v>
      </c>
      <c r="X41" s="178">
        <f t="shared" si="29"/>
        <v>1.95</v>
      </c>
      <c r="Y41" s="178">
        <f t="shared" si="14"/>
        <v>28.8</v>
      </c>
      <c r="Z41" s="192">
        <f t="shared" si="15"/>
        <v>57.2832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14.0</v>
      </c>
      <c r="B42" s="193" t="s">
        <v>55</v>
      </c>
      <c r="C42" s="193">
        <v>102.0</v>
      </c>
      <c r="D42" s="193">
        <v>195.0</v>
      </c>
      <c r="E42" s="193">
        <v>2883.0</v>
      </c>
      <c r="F42" s="193">
        <f t="shared" si="5"/>
        <v>0</v>
      </c>
      <c r="G42" s="193">
        <f t="shared" si="6"/>
        <v>1720.2861</v>
      </c>
      <c r="H42" s="194">
        <f t="shared" si="7"/>
        <v>1720.2861</v>
      </c>
      <c r="I42" s="193">
        <v>1.0</v>
      </c>
      <c r="J42" s="195">
        <f t="shared" si="8"/>
        <v>1720.2861</v>
      </c>
      <c r="K42" s="139"/>
      <c r="L42" s="178">
        <f t="shared" si="17"/>
        <v>4.953</v>
      </c>
      <c r="M42" s="162">
        <f t="shared" si="18"/>
        <v>1</v>
      </c>
      <c r="N42" s="162">
        <f t="shared" si="19"/>
        <v>4.953</v>
      </c>
      <c r="O42" s="139"/>
      <c r="P42" s="139"/>
      <c r="Q42" s="178">
        <v>1745.0</v>
      </c>
      <c r="R42" s="190">
        <v>30.0</v>
      </c>
      <c r="S42" s="178">
        <f t="shared" si="9"/>
        <v>28.83</v>
      </c>
      <c r="T42" s="162">
        <f t="shared" si="10"/>
        <v>1</v>
      </c>
      <c r="U42" s="162">
        <f t="shared" si="11"/>
        <v>28.83</v>
      </c>
      <c r="V42" s="191">
        <f t="shared" si="12"/>
        <v>1720.2861</v>
      </c>
      <c r="W42" s="178">
        <f t="shared" ref="W42:X42" si="30">C42/100</f>
        <v>1.02</v>
      </c>
      <c r="X42" s="178">
        <f t="shared" si="30"/>
        <v>1.95</v>
      </c>
      <c r="Y42" s="178">
        <f t="shared" si="14"/>
        <v>28.83</v>
      </c>
      <c r="Z42" s="192">
        <f t="shared" si="15"/>
        <v>57.34287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15.0</v>
      </c>
      <c r="B43" s="193" t="s">
        <v>55</v>
      </c>
      <c r="C43" s="193">
        <v>104.0</v>
      </c>
      <c r="D43" s="193">
        <v>195.0</v>
      </c>
      <c r="E43" s="193">
        <v>2873.0</v>
      </c>
      <c r="F43" s="193">
        <f t="shared" si="5"/>
        <v>0</v>
      </c>
      <c r="G43" s="193">
        <f t="shared" si="6"/>
        <v>1747.9332</v>
      </c>
      <c r="H43" s="194">
        <f t="shared" si="7"/>
        <v>1747.9332</v>
      </c>
      <c r="I43" s="193">
        <v>1.0</v>
      </c>
      <c r="J43" s="195">
        <f t="shared" si="8"/>
        <v>1747.9332</v>
      </c>
      <c r="K43" s="139"/>
      <c r="L43" s="178">
        <f t="shared" si="17"/>
        <v>4.953</v>
      </c>
      <c r="M43" s="162">
        <f t="shared" si="18"/>
        <v>1</v>
      </c>
      <c r="N43" s="162">
        <f t="shared" si="19"/>
        <v>4.953</v>
      </c>
      <c r="O43" s="139"/>
      <c r="P43" s="139"/>
      <c r="Q43" s="178">
        <v>1755.0</v>
      </c>
      <c r="R43" s="190">
        <v>30.0</v>
      </c>
      <c r="S43" s="178">
        <f t="shared" si="9"/>
        <v>28.73</v>
      </c>
      <c r="T43" s="162">
        <f t="shared" si="10"/>
        <v>1</v>
      </c>
      <c r="U43" s="162">
        <f t="shared" si="11"/>
        <v>28.73</v>
      </c>
      <c r="V43" s="191">
        <f t="shared" si="12"/>
        <v>1747.9332</v>
      </c>
      <c r="W43" s="178">
        <f t="shared" ref="W43:X43" si="31">C43/100</f>
        <v>1.04</v>
      </c>
      <c r="X43" s="178">
        <f t="shared" si="31"/>
        <v>1.95</v>
      </c>
      <c r="Y43" s="178">
        <f t="shared" si="14"/>
        <v>28.73</v>
      </c>
      <c r="Z43" s="192">
        <f t="shared" si="15"/>
        <v>58.26444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16.0</v>
      </c>
      <c r="B44" s="193" t="s">
        <v>55</v>
      </c>
      <c r="C44" s="193">
        <v>103.0</v>
      </c>
      <c r="D44" s="193">
        <v>195.0</v>
      </c>
      <c r="E44" s="193">
        <v>2875.0</v>
      </c>
      <c r="F44" s="193">
        <f t="shared" si="5"/>
        <v>0</v>
      </c>
      <c r="G44" s="193">
        <f t="shared" si="6"/>
        <v>1732.33125</v>
      </c>
      <c r="H44" s="194">
        <f t="shared" si="7"/>
        <v>1732.33125</v>
      </c>
      <c r="I44" s="193">
        <v>1.0</v>
      </c>
      <c r="J44" s="195">
        <f t="shared" si="8"/>
        <v>1732.33125</v>
      </c>
      <c r="K44" s="139"/>
      <c r="L44" s="178">
        <f t="shared" si="17"/>
        <v>4.953</v>
      </c>
      <c r="M44" s="162">
        <f t="shared" si="18"/>
        <v>1</v>
      </c>
      <c r="N44" s="162">
        <f t="shared" si="19"/>
        <v>4.953</v>
      </c>
      <c r="O44" s="139"/>
      <c r="P44" s="139"/>
      <c r="Q44" s="178">
        <v>1740.0</v>
      </c>
      <c r="R44" s="190">
        <v>30.0</v>
      </c>
      <c r="S44" s="178">
        <f t="shared" si="9"/>
        <v>28.75</v>
      </c>
      <c r="T44" s="162">
        <f t="shared" si="10"/>
        <v>1</v>
      </c>
      <c r="U44" s="162">
        <f t="shared" si="11"/>
        <v>28.75</v>
      </c>
      <c r="V44" s="191">
        <f t="shared" si="12"/>
        <v>1732.33125</v>
      </c>
      <c r="W44" s="178">
        <f t="shared" ref="W44:X44" si="32">C44/100</f>
        <v>1.03</v>
      </c>
      <c r="X44" s="178">
        <f t="shared" si="32"/>
        <v>1.95</v>
      </c>
      <c r="Y44" s="178">
        <f t="shared" si="14"/>
        <v>28.75</v>
      </c>
      <c r="Z44" s="192">
        <f t="shared" si="15"/>
        <v>57.744375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17.0</v>
      </c>
      <c r="B45" s="183" t="s">
        <v>63</v>
      </c>
      <c r="C45" s="184">
        <v>92.0</v>
      </c>
      <c r="D45" s="184">
        <v>195.0</v>
      </c>
      <c r="E45" s="184">
        <v>188.0</v>
      </c>
      <c r="F45" s="184">
        <f t="shared" si="5"/>
        <v>0.8</v>
      </c>
      <c r="G45" s="184">
        <f t="shared" si="6"/>
        <v>101.1816</v>
      </c>
      <c r="H45" s="185">
        <f t="shared" si="7"/>
        <v>80.94528</v>
      </c>
      <c r="I45" s="184">
        <v>1.0</v>
      </c>
      <c r="J45" s="186">
        <f t="shared" si="8"/>
        <v>80.94528</v>
      </c>
      <c r="K45" s="187"/>
      <c r="L45" s="188">
        <f t="shared" si="17"/>
        <v>4.953</v>
      </c>
      <c r="M45" s="189">
        <f t="shared" si="18"/>
        <v>1</v>
      </c>
      <c r="N45" s="189">
        <f t="shared" si="19"/>
        <v>4.953</v>
      </c>
      <c r="O45" s="187"/>
      <c r="P45" s="187"/>
      <c r="Q45" s="188">
        <v>102.0</v>
      </c>
      <c r="R45" s="190">
        <v>30.0</v>
      </c>
      <c r="S45" s="178">
        <f t="shared" si="9"/>
        <v>1.88</v>
      </c>
      <c r="T45" s="162">
        <f t="shared" si="10"/>
        <v>1</v>
      </c>
      <c r="U45" s="162">
        <f t="shared" si="11"/>
        <v>1.88</v>
      </c>
      <c r="V45" s="191">
        <f t="shared" si="12"/>
        <v>101.1816</v>
      </c>
      <c r="W45" s="178">
        <f t="shared" ref="W45:X45" si="33">C45/100</f>
        <v>0.92</v>
      </c>
      <c r="X45" s="178">
        <f t="shared" si="33"/>
        <v>1.95</v>
      </c>
      <c r="Y45" s="178">
        <f t="shared" si="14"/>
        <v>1.88</v>
      </c>
      <c r="Z45" s="192">
        <f t="shared" si="15"/>
        <v>3.37272</v>
      </c>
      <c r="AA45" s="139"/>
      <c r="AB45" s="139"/>
      <c r="AC45" s="293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18.0</v>
      </c>
      <c r="B46" s="193" t="s">
        <v>55</v>
      </c>
      <c r="C46" s="193">
        <v>82.0</v>
      </c>
      <c r="D46" s="193">
        <v>195.0</v>
      </c>
      <c r="E46" s="193">
        <v>240.0</v>
      </c>
      <c r="F46" s="193">
        <f t="shared" si="5"/>
        <v>0</v>
      </c>
      <c r="G46" s="193">
        <f t="shared" si="6"/>
        <v>115.128</v>
      </c>
      <c r="H46" s="194">
        <f t="shared" si="7"/>
        <v>115.128</v>
      </c>
      <c r="I46" s="193">
        <v>1.0</v>
      </c>
      <c r="J46" s="195">
        <f t="shared" si="8"/>
        <v>115.128</v>
      </c>
      <c r="K46" s="139"/>
      <c r="L46" s="178">
        <f t="shared" si="17"/>
        <v>4.953</v>
      </c>
      <c r="M46" s="162">
        <f t="shared" si="18"/>
        <v>1</v>
      </c>
      <c r="N46" s="162">
        <f t="shared" si="19"/>
        <v>4.953</v>
      </c>
      <c r="O46" s="139"/>
      <c r="P46" s="139"/>
      <c r="Q46" s="178">
        <v>119.0</v>
      </c>
      <c r="R46" s="190">
        <v>30.0</v>
      </c>
      <c r="S46" s="178">
        <f t="shared" si="9"/>
        <v>2.4</v>
      </c>
      <c r="T46" s="162">
        <f t="shared" si="10"/>
        <v>1</v>
      </c>
      <c r="U46" s="162">
        <f t="shared" si="11"/>
        <v>2.4</v>
      </c>
      <c r="V46" s="191">
        <f t="shared" si="12"/>
        <v>115.128</v>
      </c>
      <c r="W46" s="178">
        <f t="shared" ref="W46:X46" si="34">C46/100</f>
        <v>0.82</v>
      </c>
      <c r="X46" s="178">
        <f t="shared" si="34"/>
        <v>1.95</v>
      </c>
      <c r="Y46" s="178">
        <f t="shared" si="14"/>
        <v>2.4</v>
      </c>
      <c r="Z46" s="192">
        <f t="shared" si="15"/>
        <v>3.8376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19.0</v>
      </c>
      <c r="B47" s="193" t="s">
        <v>55</v>
      </c>
      <c r="C47" s="193">
        <v>98.0</v>
      </c>
      <c r="D47" s="193">
        <v>195.0</v>
      </c>
      <c r="E47" s="193">
        <v>193.0</v>
      </c>
      <c r="F47" s="193">
        <f t="shared" si="5"/>
        <v>0</v>
      </c>
      <c r="G47" s="193">
        <f t="shared" si="6"/>
        <v>110.6469</v>
      </c>
      <c r="H47" s="194">
        <f t="shared" si="7"/>
        <v>110.6469</v>
      </c>
      <c r="I47" s="193">
        <v>1.0</v>
      </c>
      <c r="J47" s="195">
        <f t="shared" si="8"/>
        <v>110.6469</v>
      </c>
      <c r="K47" s="139"/>
      <c r="L47" s="178">
        <f t="shared" si="17"/>
        <v>4.953</v>
      </c>
      <c r="M47" s="162">
        <f t="shared" si="18"/>
        <v>1</v>
      </c>
      <c r="N47" s="162">
        <f t="shared" si="19"/>
        <v>4.953</v>
      </c>
      <c r="O47" s="139"/>
      <c r="P47" s="139"/>
      <c r="Q47" s="178">
        <v>115.0</v>
      </c>
      <c r="R47" s="190">
        <v>30.0</v>
      </c>
      <c r="S47" s="178">
        <f t="shared" si="9"/>
        <v>1.93</v>
      </c>
      <c r="T47" s="162">
        <f t="shared" si="10"/>
        <v>1</v>
      </c>
      <c r="U47" s="162">
        <f t="shared" si="11"/>
        <v>1.93</v>
      </c>
      <c r="V47" s="191">
        <f t="shared" si="12"/>
        <v>110.6469</v>
      </c>
      <c r="W47" s="178">
        <f t="shared" ref="W47:X47" si="35">C47/100</f>
        <v>0.98</v>
      </c>
      <c r="X47" s="178">
        <f t="shared" si="35"/>
        <v>1.95</v>
      </c>
      <c r="Y47" s="178">
        <f t="shared" si="14"/>
        <v>1.93</v>
      </c>
      <c r="Z47" s="192">
        <f t="shared" si="15"/>
        <v>3.68823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20.0</v>
      </c>
      <c r="B48" s="193" t="s">
        <v>55</v>
      </c>
      <c r="C48" s="193">
        <v>98.0</v>
      </c>
      <c r="D48" s="193">
        <v>195.0</v>
      </c>
      <c r="E48" s="193">
        <v>2598.0</v>
      </c>
      <c r="F48" s="193">
        <f t="shared" si="5"/>
        <v>0</v>
      </c>
      <c r="G48" s="193">
        <f t="shared" si="6"/>
        <v>1489.4334</v>
      </c>
      <c r="H48" s="194">
        <f t="shared" si="7"/>
        <v>1489.4334</v>
      </c>
      <c r="I48" s="193">
        <v>1.0</v>
      </c>
      <c r="J48" s="195">
        <f t="shared" si="8"/>
        <v>1489.4334</v>
      </c>
      <c r="K48" s="139"/>
      <c r="L48" s="178">
        <f t="shared" si="17"/>
        <v>4.953</v>
      </c>
      <c r="M48" s="162">
        <f t="shared" si="18"/>
        <v>1</v>
      </c>
      <c r="N48" s="162">
        <f t="shared" si="19"/>
        <v>4.953</v>
      </c>
      <c r="O48" s="139"/>
      <c r="P48" s="139"/>
      <c r="Q48" s="178">
        <v>1545.0</v>
      </c>
      <c r="R48" s="190">
        <v>30.0</v>
      </c>
      <c r="S48" s="178">
        <f t="shared" si="9"/>
        <v>25.98</v>
      </c>
      <c r="T48" s="162">
        <f t="shared" si="10"/>
        <v>1</v>
      </c>
      <c r="U48" s="162">
        <f t="shared" si="11"/>
        <v>25.98</v>
      </c>
      <c r="V48" s="191">
        <f t="shared" si="12"/>
        <v>1489.4334</v>
      </c>
      <c r="W48" s="178">
        <f t="shared" ref="W48:X48" si="36">C48/100</f>
        <v>0.98</v>
      </c>
      <c r="X48" s="178">
        <f t="shared" si="36"/>
        <v>1.95</v>
      </c>
      <c r="Y48" s="178">
        <f t="shared" si="14"/>
        <v>25.98</v>
      </c>
      <c r="Z48" s="192">
        <f t="shared" si="15"/>
        <v>49.64778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21.0</v>
      </c>
      <c r="B49" s="193" t="s">
        <v>55</v>
      </c>
      <c r="C49" s="193">
        <v>98.0</v>
      </c>
      <c r="D49" s="193">
        <v>195.0</v>
      </c>
      <c r="E49" s="193">
        <v>2873.0</v>
      </c>
      <c r="F49" s="193">
        <f t="shared" si="5"/>
        <v>0</v>
      </c>
      <c r="G49" s="193">
        <f t="shared" si="6"/>
        <v>1647.0909</v>
      </c>
      <c r="H49" s="194">
        <f t="shared" si="7"/>
        <v>1647.0909</v>
      </c>
      <c r="I49" s="193">
        <v>1.0</v>
      </c>
      <c r="J49" s="195">
        <f t="shared" si="8"/>
        <v>1647.0909</v>
      </c>
      <c r="K49" s="139"/>
      <c r="L49" s="178">
        <f t="shared" si="17"/>
        <v>4.953</v>
      </c>
      <c r="M49" s="162">
        <f t="shared" si="18"/>
        <v>1</v>
      </c>
      <c r="N49" s="162">
        <f t="shared" si="19"/>
        <v>4.953</v>
      </c>
      <c r="O49" s="139"/>
      <c r="P49" s="139"/>
      <c r="Q49" s="178">
        <v>1700.0</v>
      </c>
      <c r="R49" s="190">
        <v>30.0</v>
      </c>
      <c r="S49" s="178">
        <f t="shared" si="9"/>
        <v>28.73</v>
      </c>
      <c r="T49" s="162">
        <f t="shared" si="10"/>
        <v>1</v>
      </c>
      <c r="U49" s="162">
        <f t="shared" si="11"/>
        <v>28.73</v>
      </c>
      <c r="V49" s="191">
        <f t="shared" si="12"/>
        <v>1647.0909</v>
      </c>
      <c r="W49" s="178">
        <f t="shared" ref="W49:X49" si="37">C49/100</f>
        <v>0.98</v>
      </c>
      <c r="X49" s="178">
        <f t="shared" si="37"/>
        <v>1.95</v>
      </c>
      <c r="Y49" s="178">
        <f t="shared" si="14"/>
        <v>28.73</v>
      </c>
      <c r="Z49" s="192">
        <f t="shared" si="15"/>
        <v>54.90303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22.0</v>
      </c>
      <c r="B50" s="183" t="s">
        <v>85</v>
      </c>
      <c r="C50" s="184">
        <v>84.0</v>
      </c>
      <c r="D50" s="184">
        <v>204.0</v>
      </c>
      <c r="E50" s="184">
        <v>181.0</v>
      </c>
      <c r="F50" s="184">
        <f t="shared" si="5"/>
        <v>0.8</v>
      </c>
      <c r="G50" s="184">
        <f t="shared" si="6"/>
        <v>77.5404</v>
      </c>
      <c r="H50" s="185">
        <f t="shared" si="7"/>
        <v>62.03232</v>
      </c>
      <c r="I50" s="184">
        <v>1.0</v>
      </c>
      <c r="J50" s="186">
        <f t="shared" si="8"/>
        <v>62.03232</v>
      </c>
      <c r="K50" s="187"/>
      <c r="L50" s="188">
        <f t="shared" si="17"/>
        <v>5.1816</v>
      </c>
      <c r="M50" s="189">
        <f t="shared" si="18"/>
        <v>1</v>
      </c>
      <c r="N50" s="189">
        <f t="shared" si="19"/>
        <v>5.1816</v>
      </c>
      <c r="O50" s="187"/>
      <c r="P50" s="187"/>
      <c r="Q50" s="188">
        <v>88.0</v>
      </c>
      <c r="R50" s="190">
        <v>25.0</v>
      </c>
      <c r="S50" s="178">
        <f t="shared" si="9"/>
        <v>1.81</v>
      </c>
      <c r="T50" s="162">
        <f t="shared" si="10"/>
        <v>1</v>
      </c>
      <c r="U50" s="162">
        <f t="shared" si="11"/>
        <v>1.81</v>
      </c>
      <c r="V50" s="191">
        <f t="shared" si="12"/>
        <v>77.5404</v>
      </c>
      <c r="W50" s="178">
        <f t="shared" ref="W50:X50" si="38">C50/100</f>
        <v>0.84</v>
      </c>
      <c r="X50" s="178">
        <f t="shared" si="38"/>
        <v>2.04</v>
      </c>
      <c r="Y50" s="178">
        <f t="shared" si="14"/>
        <v>1.81</v>
      </c>
      <c r="Z50" s="192">
        <f t="shared" si="15"/>
        <v>3.101616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23.0</v>
      </c>
      <c r="B51" s="193" t="s">
        <v>78</v>
      </c>
      <c r="C51" s="193">
        <v>101.0</v>
      </c>
      <c r="D51" s="193">
        <v>204.0</v>
      </c>
      <c r="E51" s="193">
        <v>198.0</v>
      </c>
      <c r="F51" s="193">
        <f t="shared" si="5"/>
        <v>0</v>
      </c>
      <c r="G51" s="193">
        <f t="shared" si="6"/>
        <v>101.9898</v>
      </c>
      <c r="H51" s="194">
        <f t="shared" si="7"/>
        <v>101.9898</v>
      </c>
      <c r="I51" s="193">
        <v>1.0</v>
      </c>
      <c r="J51" s="195">
        <f t="shared" si="8"/>
        <v>101.9898</v>
      </c>
      <c r="K51" s="139"/>
      <c r="L51" s="178">
        <f t="shared" si="17"/>
        <v>5.1816</v>
      </c>
      <c r="M51" s="162">
        <f t="shared" si="18"/>
        <v>1</v>
      </c>
      <c r="N51" s="162">
        <f t="shared" si="19"/>
        <v>5.1816</v>
      </c>
      <c r="O51" s="139"/>
      <c r="P51" s="139"/>
      <c r="Q51" s="178">
        <v>106.0</v>
      </c>
      <c r="R51" s="190">
        <v>25.0</v>
      </c>
      <c r="S51" s="178">
        <f t="shared" si="9"/>
        <v>1.98</v>
      </c>
      <c r="T51" s="162">
        <f t="shared" si="10"/>
        <v>1</v>
      </c>
      <c r="U51" s="162">
        <f t="shared" si="11"/>
        <v>1.98</v>
      </c>
      <c r="V51" s="191">
        <f t="shared" si="12"/>
        <v>101.9898</v>
      </c>
      <c r="W51" s="178">
        <f t="shared" ref="W51:X51" si="39">C51/100</f>
        <v>1.01</v>
      </c>
      <c r="X51" s="178">
        <f t="shared" si="39"/>
        <v>2.04</v>
      </c>
      <c r="Y51" s="178">
        <f t="shared" si="14"/>
        <v>1.98</v>
      </c>
      <c r="Z51" s="192">
        <f t="shared" si="15"/>
        <v>4.079592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24.0</v>
      </c>
      <c r="B52" s="193" t="s">
        <v>78</v>
      </c>
      <c r="C52" s="193">
        <v>102.0</v>
      </c>
      <c r="D52" s="193">
        <v>204.0</v>
      </c>
      <c r="E52" s="193">
        <v>2863.0</v>
      </c>
      <c r="F52" s="193">
        <f t="shared" si="5"/>
        <v>0</v>
      </c>
      <c r="G52" s="193">
        <f t="shared" si="6"/>
        <v>1489.3326</v>
      </c>
      <c r="H52" s="194">
        <f t="shared" si="7"/>
        <v>1489.3326</v>
      </c>
      <c r="I52" s="193">
        <v>1.0</v>
      </c>
      <c r="J52" s="195">
        <f t="shared" si="8"/>
        <v>1489.3326</v>
      </c>
      <c r="K52" s="139"/>
      <c r="L52" s="178">
        <f t="shared" si="17"/>
        <v>5.1816</v>
      </c>
      <c r="M52" s="162">
        <f t="shared" si="18"/>
        <v>1</v>
      </c>
      <c r="N52" s="162">
        <f t="shared" si="19"/>
        <v>5.1816</v>
      </c>
      <c r="O52" s="139"/>
      <c r="P52" s="139"/>
      <c r="Q52" s="178">
        <v>1500.0</v>
      </c>
      <c r="R52" s="190">
        <v>25.0</v>
      </c>
      <c r="S52" s="178">
        <f t="shared" si="9"/>
        <v>28.63</v>
      </c>
      <c r="T52" s="162">
        <f t="shared" si="10"/>
        <v>1</v>
      </c>
      <c r="U52" s="162">
        <f t="shared" si="11"/>
        <v>28.63</v>
      </c>
      <c r="V52" s="191">
        <f t="shared" si="12"/>
        <v>1489.3326</v>
      </c>
      <c r="W52" s="178">
        <f t="shared" ref="W52:X52" si="40">C52/100</f>
        <v>1.02</v>
      </c>
      <c r="X52" s="178">
        <f t="shared" si="40"/>
        <v>2.04</v>
      </c>
      <c r="Y52" s="178">
        <f t="shared" si="14"/>
        <v>28.63</v>
      </c>
      <c r="Z52" s="192">
        <f t="shared" si="15"/>
        <v>59.573304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25.0</v>
      </c>
      <c r="B53" s="193" t="s">
        <v>78</v>
      </c>
      <c r="C53" s="193">
        <v>103.0</v>
      </c>
      <c r="D53" s="193">
        <v>204.0</v>
      </c>
      <c r="E53" s="193">
        <v>2816.0</v>
      </c>
      <c r="F53" s="193">
        <f t="shared" si="5"/>
        <v>0</v>
      </c>
      <c r="G53" s="193">
        <f t="shared" si="6"/>
        <v>1479.2448</v>
      </c>
      <c r="H53" s="194">
        <f t="shared" si="7"/>
        <v>1479.2448</v>
      </c>
      <c r="I53" s="193">
        <v>1.0</v>
      </c>
      <c r="J53" s="195">
        <f t="shared" si="8"/>
        <v>1479.2448</v>
      </c>
      <c r="K53" s="139"/>
      <c r="L53" s="178">
        <f t="shared" si="17"/>
        <v>5.1816</v>
      </c>
      <c r="M53" s="162">
        <f t="shared" si="18"/>
        <v>1</v>
      </c>
      <c r="N53" s="162">
        <f t="shared" si="19"/>
        <v>5.1816</v>
      </c>
      <c r="O53" s="139"/>
      <c r="P53" s="139"/>
      <c r="Q53" s="178">
        <v>1415.0</v>
      </c>
      <c r="R53" s="190">
        <v>25.0</v>
      </c>
      <c r="S53" s="178">
        <f t="shared" si="9"/>
        <v>28.16</v>
      </c>
      <c r="T53" s="162">
        <f t="shared" si="10"/>
        <v>1</v>
      </c>
      <c r="U53" s="162">
        <f t="shared" si="11"/>
        <v>28.16</v>
      </c>
      <c r="V53" s="191">
        <f t="shared" si="12"/>
        <v>1479.2448</v>
      </c>
      <c r="W53" s="178">
        <f t="shared" ref="W53:X53" si="41">C53/100</f>
        <v>1.03</v>
      </c>
      <c r="X53" s="178">
        <f t="shared" si="41"/>
        <v>2.04</v>
      </c>
      <c r="Y53" s="178">
        <f t="shared" si="14"/>
        <v>28.16</v>
      </c>
      <c r="Z53" s="192">
        <f t="shared" si="15"/>
        <v>59.169792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26.0</v>
      </c>
      <c r="B54" s="183" t="s">
        <v>87</v>
      </c>
      <c r="C54" s="184">
        <v>82.0</v>
      </c>
      <c r="D54" s="184">
        <v>216.0</v>
      </c>
      <c r="E54" s="184">
        <v>198.0</v>
      </c>
      <c r="F54" s="184">
        <f t="shared" si="5"/>
        <v>0.8</v>
      </c>
      <c r="G54" s="184">
        <f t="shared" si="6"/>
        <v>85.920912</v>
      </c>
      <c r="H54" s="185">
        <f t="shared" si="7"/>
        <v>68.7367296</v>
      </c>
      <c r="I54" s="184">
        <v>1.0</v>
      </c>
      <c r="J54" s="186">
        <f t="shared" si="8"/>
        <v>68.7367296</v>
      </c>
      <c r="K54" s="187"/>
      <c r="L54" s="188"/>
      <c r="M54" s="189">
        <f t="shared" si="18"/>
        <v>1</v>
      </c>
      <c r="N54" s="189"/>
      <c r="O54" s="187"/>
      <c r="P54" s="187"/>
      <c r="Q54" s="188">
        <v>89.0</v>
      </c>
      <c r="R54" s="190">
        <v>24.5</v>
      </c>
      <c r="S54" s="178">
        <f t="shared" si="9"/>
        <v>1.98</v>
      </c>
      <c r="T54" s="162">
        <f t="shared" si="10"/>
        <v>1</v>
      </c>
      <c r="U54" s="162">
        <f t="shared" si="11"/>
        <v>1.98</v>
      </c>
      <c r="V54" s="191">
        <f t="shared" si="12"/>
        <v>85.920912</v>
      </c>
      <c r="W54" s="178">
        <f t="shared" ref="W54:X54" si="42">C54/100</f>
        <v>0.82</v>
      </c>
      <c r="X54" s="178">
        <f t="shared" si="42"/>
        <v>2.16</v>
      </c>
      <c r="Y54" s="178">
        <f t="shared" si="14"/>
        <v>1.98</v>
      </c>
      <c r="Z54" s="192">
        <f t="shared" si="15"/>
        <v>3.506976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27.0</v>
      </c>
      <c r="B55" s="193" t="s">
        <v>80</v>
      </c>
      <c r="C55" s="193">
        <v>72.0</v>
      </c>
      <c r="D55" s="193">
        <v>216.0</v>
      </c>
      <c r="E55" s="193">
        <v>246.0</v>
      </c>
      <c r="F55" s="193">
        <f t="shared" si="5"/>
        <v>0</v>
      </c>
      <c r="G55" s="193">
        <f t="shared" si="6"/>
        <v>93.731904</v>
      </c>
      <c r="H55" s="194">
        <f t="shared" si="7"/>
        <v>93.731904</v>
      </c>
      <c r="I55" s="193">
        <v>1.0</v>
      </c>
      <c r="J55" s="195">
        <f t="shared" si="8"/>
        <v>93.731904</v>
      </c>
      <c r="K55" s="139"/>
      <c r="L55" s="197"/>
      <c r="M55" s="198">
        <f t="shared" si="18"/>
        <v>1</v>
      </c>
      <c r="N55" s="198"/>
      <c r="O55" s="139"/>
      <c r="P55" s="139"/>
      <c r="Q55" s="178">
        <v>117.0</v>
      </c>
      <c r="R55" s="190">
        <v>24.5</v>
      </c>
      <c r="S55" s="178">
        <f t="shared" si="9"/>
        <v>2.46</v>
      </c>
      <c r="T55" s="162">
        <f t="shared" si="10"/>
        <v>1</v>
      </c>
      <c r="U55" s="162">
        <f t="shared" si="11"/>
        <v>2.46</v>
      </c>
      <c r="V55" s="191">
        <f t="shared" si="12"/>
        <v>93.731904</v>
      </c>
      <c r="W55" s="178">
        <f t="shared" ref="W55:X55" si="43">C55/100</f>
        <v>0.72</v>
      </c>
      <c r="X55" s="178">
        <f t="shared" si="43"/>
        <v>2.16</v>
      </c>
      <c r="Y55" s="178">
        <f t="shared" si="14"/>
        <v>2.46</v>
      </c>
      <c r="Z55" s="192">
        <f t="shared" si="15"/>
        <v>3.825792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28.0</v>
      </c>
      <c r="B56" s="193" t="s">
        <v>80</v>
      </c>
      <c r="C56" s="193">
        <v>92.0</v>
      </c>
      <c r="D56" s="193">
        <v>216.0</v>
      </c>
      <c r="E56" s="193">
        <v>248.0</v>
      </c>
      <c r="F56" s="193">
        <f t="shared" si="5"/>
        <v>0</v>
      </c>
      <c r="G56" s="193">
        <f t="shared" si="6"/>
        <v>120.742272</v>
      </c>
      <c r="H56" s="194">
        <f t="shared" si="7"/>
        <v>120.742272</v>
      </c>
      <c r="I56" s="193">
        <v>1.0</v>
      </c>
      <c r="J56" s="195">
        <f t="shared" si="8"/>
        <v>120.742272</v>
      </c>
      <c r="K56" s="139"/>
      <c r="L56" s="197"/>
      <c r="M56" s="198">
        <f t="shared" si="18"/>
        <v>1</v>
      </c>
      <c r="N56" s="198"/>
      <c r="O56" s="139"/>
      <c r="P56" s="139"/>
      <c r="Q56" s="178">
        <v>123.0</v>
      </c>
      <c r="R56" s="190">
        <v>24.5</v>
      </c>
      <c r="S56" s="178">
        <f t="shared" si="9"/>
        <v>2.48</v>
      </c>
      <c r="T56" s="162">
        <f t="shared" si="10"/>
        <v>1</v>
      </c>
      <c r="U56" s="162">
        <f t="shared" si="11"/>
        <v>2.48</v>
      </c>
      <c r="V56" s="191">
        <f t="shared" si="12"/>
        <v>120.742272</v>
      </c>
      <c r="W56" s="178">
        <f t="shared" ref="W56:X56" si="44">C56/100</f>
        <v>0.92</v>
      </c>
      <c r="X56" s="178">
        <f t="shared" si="44"/>
        <v>2.16</v>
      </c>
      <c r="Y56" s="178">
        <f t="shared" si="14"/>
        <v>2.48</v>
      </c>
      <c r="Z56" s="192">
        <f t="shared" si="15"/>
        <v>4.928256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29.0</v>
      </c>
      <c r="B57" s="193" t="s">
        <v>80</v>
      </c>
      <c r="C57" s="193">
        <v>93.0</v>
      </c>
      <c r="D57" s="193">
        <v>216.0</v>
      </c>
      <c r="E57" s="193">
        <v>250.0</v>
      </c>
      <c r="F57" s="193">
        <f t="shared" si="5"/>
        <v>0</v>
      </c>
      <c r="G57" s="193">
        <f t="shared" si="6"/>
        <v>123.039</v>
      </c>
      <c r="H57" s="194">
        <f t="shared" si="7"/>
        <v>123.039</v>
      </c>
      <c r="I57" s="193">
        <v>1.0</v>
      </c>
      <c r="J57" s="195">
        <f t="shared" si="8"/>
        <v>123.039</v>
      </c>
      <c r="K57" s="139"/>
      <c r="L57" s="197"/>
      <c r="M57" s="198">
        <f t="shared" si="18"/>
        <v>1</v>
      </c>
      <c r="N57" s="198"/>
      <c r="O57" s="139"/>
      <c r="P57" s="139"/>
      <c r="Q57" s="178">
        <v>122.0</v>
      </c>
      <c r="R57" s="190">
        <v>24.5</v>
      </c>
      <c r="S57" s="178">
        <f t="shared" si="9"/>
        <v>2.5</v>
      </c>
      <c r="T57" s="162">
        <f t="shared" si="10"/>
        <v>1</v>
      </c>
      <c r="U57" s="162">
        <f t="shared" si="11"/>
        <v>2.5</v>
      </c>
      <c r="V57" s="191">
        <f t="shared" si="12"/>
        <v>123.039</v>
      </c>
      <c r="W57" s="178">
        <f t="shared" ref="W57:X57" si="45">C57/100</f>
        <v>0.93</v>
      </c>
      <c r="X57" s="178">
        <f t="shared" si="45"/>
        <v>2.16</v>
      </c>
      <c r="Y57" s="178">
        <f t="shared" si="14"/>
        <v>2.5</v>
      </c>
      <c r="Z57" s="192">
        <f t="shared" si="15"/>
        <v>5.022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30.0</v>
      </c>
      <c r="B58" s="193" t="s">
        <v>80</v>
      </c>
      <c r="C58" s="193">
        <v>92.0</v>
      </c>
      <c r="D58" s="193">
        <v>216.0</v>
      </c>
      <c r="E58" s="193">
        <v>246.0</v>
      </c>
      <c r="F58" s="193">
        <f t="shared" si="5"/>
        <v>0</v>
      </c>
      <c r="G58" s="193">
        <f t="shared" si="6"/>
        <v>119.768544</v>
      </c>
      <c r="H58" s="194">
        <f t="shared" si="7"/>
        <v>119.768544</v>
      </c>
      <c r="I58" s="193">
        <v>1.0</v>
      </c>
      <c r="J58" s="195">
        <f t="shared" si="8"/>
        <v>119.768544</v>
      </c>
      <c r="K58" s="139"/>
      <c r="L58" s="197"/>
      <c r="M58" s="198">
        <f t="shared" si="18"/>
        <v>1</v>
      </c>
      <c r="N58" s="198"/>
      <c r="O58" s="139"/>
      <c r="P58" s="139"/>
      <c r="Q58" s="178">
        <v>119.0</v>
      </c>
      <c r="R58" s="190">
        <v>24.5</v>
      </c>
      <c r="S58" s="178">
        <f t="shared" si="9"/>
        <v>2.46</v>
      </c>
      <c r="T58" s="162">
        <f t="shared" si="10"/>
        <v>1</v>
      </c>
      <c r="U58" s="162">
        <f t="shared" si="11"/>
        <v>2.46</v>
      </c>
      <c r="V58" s="191">
        <f t="shared" si="12"/>
        <v>119.768544</v>
      </c>
      <c r="W58" s="178">
        <f t="shared" ref="W58:X58" si="46">C58/100</f>
        <v>0.92</v>
      </c>
      <c r="X58" s="178">
        <f t="shared" si="46"/>
        <v>2.16</v>
      </c>
      <c r="Y58" s="178">
        <f t="shared" si="14"/>
        <v>2.46</v>
      </c>
      <c r="Z58" s="192">
        <f t="shared" si="15"/>
        <v>4.888512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31.0</v>
      </c>
      <c r="B59" s="193" t="s">
        <v>80</v>
      </c>
      <c r="C59" s="193">
        <v>93.0</v>
      </c>
      <c r="D59" s="193">
        <v>216.0</v>
      </c>
      <c r="E59" s="193">
        <v>246.0</v>
      </c>
      <c r="F59" s="193">
        <f t="shared" si="5"/>
        <v>0</v>
      </c>
      <c r="G59" s="193">
        <f t="shared" si="6"/>
        <v>121.070376</v>
      </c>
      <c r="H59" s="194">
        <f t="shared" si="7"/>
        <v>121.070376</v>
      </c>
      <c r="I59" s="193">
        <v>1.0</v>
      </c>
      <c r="J59" s="195">
        <f t="shared" si="8"/>
        <v>121.070376</v>
      </c>
      <c r="K59" s="139"/>
      <c r="L59" s="197"/>
      <c r="M59" s="198">
        <f t="shared" si="18"/>
        <v>1</v>
      </c>
      <c r="N59" s="198"/>
      <c r="O59" s="139"/>
      <c r="P59" s="139"/>
      <c r="Q59" s="178">
        <v>119.0</v>
      </c>
      <c r="R59" s="190">
        <v>24.5</v>
      </c>
      <c r="S59" s="178">
        <f t="shared" si="9"/>
        <v>2.46</v>
      </c>
      <c r="T59" s="162">
        <f t="shared" si="10"/>
        <v>1</v>
      </c>
      <c r="U59" s="162">
        <f t="shared" si="11"/>
        <v>2.46</v>
      </c>
      <c r="V59" s="191">
        <f t="shared" si="12"/>
        <v>121.070376</v>
      </c>
      <c r="W59" s="178">
        <f t="shared" ref="W59:X59" si="47">C59/100</f>
        <v>0.93</v>
      </c>
      <c r="X59" s="178">
        <f t="shared" si="47"/>
        <v>2.16</v>
      </c>
      <c r="Y59" s="178">
        <f t="shared" si="14"/>
        <v>2.46</v>
      </c>
      <c r="Z59" s="192">
        <f t="shared" si="15"/>
        <v>4.941648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32.0</v>
      </c>
      <c r="B60" s="193" t="s">
        <v>80</v>
      </c>
      <c r="C60" s="193">
        <v>83.0</v>
      </c>
      <c r="D60" s="193">
        <v>216.0</v>
      </c>
      <c r="E60" s="193">
        <v>122.0</v>
      </c>
      <c r="F60" s="193">
        <f t="shared" si="5"/>
        <v>0</v>
      </c>
      <c r="G60" s="193">
        <f t="shared" si="6"/>
        <v>53.586792</v>
      </c>
      <c r="H60" s="194">
        <f t="shared" si="7"/>
        <v>53.586792</v>
      </c>
      <c r="I60" s="193">
        <v>1.0</v>
      </c>
      <c r="J60" s="195">
        <f t="shared" si="8"/>
        <v>53.586792</v>
      </c>
      <c r="K60" s="139"/>
      <c r="L60" s="197"/>
      <c r="M60" s="198">
        <f t="shared" si="18"/>
        <v>1</v>
      </c>
      <c r="N60" s="198"/>
      <c r="O60" s="139"/>
      <c r="P60" s="139"/>
      <c r="Q60" s="178">
        <v>57.0</v>
      </c>
      <c r="R60" s="190">
        <v>24.5</v>
      </c>
      <c r="S60" s="178">
        <f t="shared" si="9"/>
        <v>1.22</v>
      </c>
      <c r="T60" s="162">
        <f t="shared" si="10"/>
        <v>1</v>
      </c>
      <c r="U60" s="162">
        <f t="shared" si="11"/>
        <v>1.22</v>
      </c>
      <c r="V60" s="191">
        <f t="shared" si="12"/>
        <v>53.586792</v>
      </c>
      <c r="W60" s="178">
        <f t="shared" ref="W60:X60" si="48">C60/100</f>
        <v>0.83</v>
      </c>
      <c r="X60" s="178">
        <f t="shared" si="48"/>
        <v>2.16</v>
      </c>
      <c r="Y60" s="178">
        <f t="shared" si="14"/>
        <v>1.22</v>
      </c>
      <c r="Z60" s="192">
        <f t="shared" si="15"/>
        <v>2.187216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33.0</v>
      </c>
      <c r="B61" s="193" t="s">
        <v>80</v>
      </c>
      <c r="C61" s="193">
        <v>92.0</v>
      </c>
      <c r="D61" s="193">
        <v>216.0</v>
      </c>
      <c r="E61" s="193">
        <v>249.0</v>
      </c>
      <c r="F61" s="193">
        <f t="shared" si="5"/>
        <v>0</v>
      </c>
      <c r="G61" s="193">
        <f t="shared" si="6"/>
        <v>121.229136</v>
      </c>
      <c r="H61" s="194">
        <f t="shared" si="7"/>
        <v>121.229136</v>
      </c>
      <c r="I61" s="193">
        <v>1.0</v>
      </c>
      <c r="J61" s="195">
        <f t="shared" si="8"/>
        <v>121.229136</v>
      </c>
      <c r="K61" s="139"/>
      <c r="L61" s="197"/>
      <c r="M61" s="198">
        <f t="shared" si="18"/>
        <v>1</v>
      </c>
      <c r="N61" s="198"/>
      <c r="O61" s="139"/>
      <c r="P61" s="139"/>
      <c r="Q61" s="178">
        <v>120.0</v>
      </c>
      <c r="R61" s="190">
        <v>24.5</v>
      </c>
      <c r="S61" s="178">
        <f t="shared" si="9"/>
        <v>2.49</v>
      </c>
      <c r="T61" s="162">
        <f t="shared" si="10"/>
        <v>1</v>
      </c>
      <c r="U61" s="162">
        <f t="shared" si="11"/>
        <v>2.49</v>
      </c>
      <c r="V61" s="191">
        <f t="shared" si="12"/>
        <v>121.229136</v>
      </c>
      <c r="W61" s="178">
        <f t="shared" ref="W61:X61" si="49">C61/100</f>
        <v>0.92</v>
      </c>
      <c r="X61" s="178">
        <f t="shared" si="49"/>
        <v>2.16</v>
      </c>
      <c r="Y61" s="178">
        <f t="shared" si="14"/>
        <v>2.49</v>
      </c>
      <c r="Z61" s="192">
        <f t="shared" si="15"/>
        <v>4.948128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2">
        <v>34.0</v>
      </c>
      <c r="B62" s="193" t="s">
        <v>80</v>
      </c>
      <c r="C62" s="193">
        <v>90.0</v>
      </c>
      <c r="D62" s="193">
        <v>216.0</v>
      </c>
      <c r="E62" s="193">
        <v>245.0</v>
      </c>
      <c r="F62" s="193">
        <f t="shared" si="5"/>
        <v>0</v>
      </c>
      <c r="G62" s="193">
        <f t="shared" si="6"/>
        <v>116.6886</v>
      </c>
      <c r="H62" s="194">
        <f t="shared" si="7"/>
        <v>116.6886</v>
      </c>
      <c r="I62" s="193">
        <v>1.0</v>
      </c>
      <c r="J62" s="195">
        <f t="shared" si="8"/>
        <v>116.6886</v>
      </c>
      <c r="K62" s="139"/>
      <c r="L62" s="197"/>
      <c r="M62" s="198">
        <f t="shared" si="18"/>
        <v>1</v>
      </c>
      <c r="N62" s="198"/>
      <c r="O62" s="139"/>
      <c r="P62" s="139"/>
      <c r="Q62" s="178">
        <v>118.0</v>
      </c>
      <c r="R62" s="190">
        <v>24.5</v>
      </c>
      <c r="S62" s="178">
        <f t="shared" si="9"/>
        <v>2.45</v>
      </c>
      <c r="T62" s="162">
        <f t="shared" si="10"/>
        <v>1</v>
      </c>
      <c r="U62" s="162">
        <f t="shared" si="11"/>
        <v>2.45</v>
      </c>
      <c r="V62" s="191">
        <f t="shared" si="12"/>
        <v>116.6886</v>
      </c>
      <c r="W62" s="178">
        <f t="shared" ref="W62:X62" si="50">C62/100</f>
        <v>0.9</v>
      </c>
      <c r="X62" s="178">
        <f t="shared" si="50"/>
        <v>2.16</v>
      </c>
      <c r="Y62" s="178">
        <f t="shared" si="14"/>
        <v>2.45</v>
      </c>
      <c r="Z62" s="192">
        <f t="shared" si="15"/>
        <v>4.7628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2">
        <v>35.0</v>
      </c>
      <c r="B63" s="193" t="s">
        <v>80</v>
      </c>
      <c r="C63" s="193">
        <v>93.0</v>
      </c>
      <c r="D63" s="193">
        <v>216.0</v>
      </c>
      <c r="E63" s="193">
        <v>244.0</v>
      </c>
      <c r="F63" s="193">
        <f t="shared" si="5"/>
        <v>0</v>
      </c>
      <c r="G63" s="193">
        <f t="shared" si="6"/>
        <v>120.086064</v>
      </c>
      <c r="H63" s="194">
        <f t="shared" si="7"/>
        <v>120.086064</v>
      </c>
      <c r="I63" s="193">
        <v>1.0</v>
      </c>
      <c r="J63" s="195">
        <f t="shared" si="8"/>
        <v>120.086064</v>
      </c>
      <c r="K63" s="139"/>
      <c r="L63" s="197"/>
      <c r="M63" s="198">
        <f t="shared" si="18"/>
        <v>1</v>
      </c>
      <c r="N63" s="198"/>
      <c r="O63" s="139"/>
      <c r="P63" s="139"/>
      <c r="Q63" s="178">
        <v>120.0</v>
      </c>
      <c r="R63" s="190">
        <v>24.5</v>
      </c>
      <c r="S63" s="178">
        <f t="shared" si="9"/>
        <v>2.44</v>
      </c>
      <c r="T63" s="162">
        <f t="shared" si="10"/>
        <v>1</v>
      </c>
      <c r="U63" s="162">
        <f t="shared" si="11"/>
        <v>2.44</v>
      </c>
      <c r="V63" s="191">
        <f t="shared" si="12"/>
        <v>120.086064</v>
      </c>
      <c r="W63" s="178">
        <f t="shared" ref="W63:X63" si="51">C63/100</f>
        <v>0.93</v>
      </c>
      <c r="X63" s="178">
        <f t="shared" si="51"/>
        <v>2.16</v>
      </c>
      <c r="Y63" s="178">
        <f t="shared" si="14"/>
        <v>2.44</v>
      </c>
      <c r="Z63" s="192">
        <f t="shared" si="15"/>
        <v>4.901472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2">
        <v>36.0</v>
      </c>
      <c r="B64" s="193" t="s">
        <v>80</v>
      </c>
      <c r="C64" s="193">
        <v>92.0</v>
      </c>
      <c r="D64" s="193">
        <v>216.0</v>
      </c>
      <c r="E64" s="193">
        <v>248.0</v>
      </c>
      <c r="F64" s="193">
        <f t="shared" si="5"/>
        <v>0</v>
      </c>
      <c r="G64" s="193">
        <f t="shared" si="6"/>
        <v>120.742272</v>
      </c>
      <c r="H64" s="194">
        <f t="shared" si="7"/>
        <v>120.742272</v>
      </c>
      <c r="I64" s="193">
        <v>1.0</v>
      </c>
      <c r="J64" s="195">
        <f t="shared" si="8"/>
        <v>120.742272</v>
      </c>
      <c r="K64" s="139"/>
      <c r="L64" s="197"/>
      <c r="M64" s="198">
        <f t="shared" si="18"/>
        <v>1</v>
      </c>
      <c r="N64" s="198"/>
      <c r="O64" s="139"/>
      <c r="P64" s="139"/>
      <c r="Q64" s="178">
        <v>119.0</v>
      </c>
      <c r="R64" s="190">
        <v>24.5</v>
      </c>
      <c r="S64" s="178">
        <f t="shared" si="9"/>
        <v>2.48</v>
      </c>
      <c r="T64" s="162">
        <f t="shared" si="10"/>
        <v>1</v>
      </c>
      <c r="U64" s="162">
        <f t="shared" si="11"/>
        <v>2.48</v>
      </c>
      <c r="V64" s="191">
        <f t="shared" si="12"/>
        <v>120.742272</v>
      </c>
      <c r="W64" s="178">
        <f t="shared" ref="W64:X64" si="52">C64/100</f>
        <v>0.92</v>
      </c>
      <c r="X64" s="178">
        <f t="shared" si="52"/>
        <v>2.16</v>
      </c>
      <c r="Y64" s="178">
        <f t="shared" si="14"/>
        <v>2.48</v>
      </c>
      <c r="Z64" s="192">
        <f t="shared" si="15"/>
        <v>4.928256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2">
        <v>37.0</v>
      </c>
      <c r="B65" s="193" t="s">
        <v>80</v>
      </c>
      <c r="C65" s="193">
        <v>93.0</v>
      </c>
      <c r="D65" s="193">
        <v>216.0</v>
      </c>
      <c r="E65" s="193">
        <v>2863.0</v>
      </c>
      <c r="F65" s="193">
        <f t="shared" si="5"/>
        <v>0</v>
      </c>
      <c r="G65" s="193">
        <f t="shared" si="6"/>
        <v>1409.042628</v>
      </c>
      <c r="H65" s="194">
        <f t="shared" si="7"/>
        <v>1409.042628</v>
      </c>
      <c r="I65" s="193">
        <v>1.0</v>
      </c>
      <c r="J65" s="195">
        <f t="shared" si="8"/>
        <v>1409.042628</v>
      </c>
      <c r="K65" s="139"/>
      <c r="L65" s="197"/>
      <c r="M65" s="198">
        <f t="shared" si="18"/>
        <v>1</v>
      </c>
      <c r="N65" s="198"/>
      <c r="O65" s="139"/>
      <c r="P65" s="139"/>
      <c r="Q65" s="178">
        <v>1405.0</v>
      </c>
      <c r="R65" s="190">
        <v>24.5</v>
      </c>
      <c r="S65" s="178">
        <f t="shared" si="9"/>
        <v>28.63</v>
      </c>
      <c r="T65" s="162">
        <f t="shared" si="10"/>
        <v>1</v>
      </c>
      <c r="U65" s="162">
        <f t="shared" si="11"/>
        <v>28.63</v>
      </c>
      <c r="V65" s="191">
        <f t="shared" si="12"/>
        <v>1409.042628</v>
      </c>
      <c r="W65" s="178">
        <f t="shared" ref="W65:X65" si="53">C65/100</f>
        <v>0.93</v>
      </c>
      <c r="X65" s="178">
        <f t="shared" si="53"/>
        <v>2.16</v>
      </c>
      <c r="Y65" s="178">
        <f t="shared" si="14"/>
        <v>28.63</v>
      </c>
      <c r="Z65" s="192">
        <f t="shared" si="15"/>
        <v>57.511944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2">
        <v>38.0</v>
      </c>
      <c r="B66" s="193" t="s">
        <v>80</v>
      </c>
      <c r="C66" s="193">
        <v>92.0</v>
      </c>
      <c r="D66" s="193">
        <v>216.0</v>
      </c>
      <c r="E66" s="193">
        <v>2860.0</v>
      </c>
      <c r="F66" s="193">
        <f t="shared" si="5"/>
        <v>0</v>
      </c>
      <c r="G66" s="193">
        <f t="shared" si="6"/>
        <v>1392.43104</v>
      </c>
      <c r="H66" s="194">
        <f t="shared" si="7"/>
        <v>1392.43104</v>
      </c>
      <c r="I66" s="193">
        <v>1.0</v>
      </c>
      <c r="J66" s="195">
        <f t="shared" si="8"/>
        <v>1392.43104</v>
      </c>
      <c r="K66" s="139"/>
      <c r="L66" s="197"/>
      <c r="M66" s="198">
        <f t="shared" si="18"/>
        <v>1</v>
      </c>
      <c r="N66" s="198"/>
      <c r="O66" s="139"/>
      <c r="P66" s="139"/>
      <c r="Q66" s="178">
        <v>1400.0</v>
      </c>
      <c r="R66" s="190">
        <v>24.5</v>
      </c>
      <c r="S66" s="178">
        <f t="shared" si="9"/>
        <v>28.6</v>
      </c>
      <c r="T66" s="162">
        <f t="shared" si="10"/>
        <v>1</v>
      </c>
      <c r="U66" s="162">
        <f t="shared" si="11"/>
        <v>28.6</v>
      </c>
      <c r="V66" s="191">
        <f t="shared" si="12"/>
        <v>1392.43104</v>
      </c>
      <c r="W66" s="178">
        <f t="shared" ref="W66:X66" si="54">C66/100</f>
        <v>0.92</v>
      </c>
      <c r="X66" s="178">
        <f t="shared" si="54"/>
        <v>2.16</v>
      </c>
      <c r="Y66" s="178">
        <f t="shared" si="14"/>
        <v>28.6</v>
      </c>
      <c r="Z66" s="192">
        <f t="shared" si="15"/>
        <v>56.83392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2">
        <v>39.0</v>
      </c>
      <c r="B67" s="193" t="s">
        <v>80</v>
      </c>
      <c r="C67" s="193">
        <v>93.0</v>
      </c>
      <c r="D67" s="193">
        <v>216.0</v>
      </c>
      <c r="E67" s="193">
        <v>2860.0</v>
      </c>
      <c r="F67" s="193">
        <f t="shared" si="5"/>
        <v>0</v>
      </c>
      <c r="G67" s="193">
        <f t="shared" si="6"/>
        <v>1407.56616</v>
      </c>
      <c r="H67" s="194">
        <f t="shared" si="7"/>
        <v>1407.56616</v>
      </c>
      <c r="I67" s="193">
        <v>1.0</v>
      </c>
      <c r="J67" s="195">
        <f t="shared" si="8"/>
        <v>1407.56616</v>
      </c>
      <c r="K67" s="139"/>
      <c r="L67" s="197"/>
      <c r="M67" s="198"/>
      <c r="N67" s="198"/>
      <c r="O67" s="139"/>
      <c r="P67" s="139"/>
      <c r="Q67" s="178">
        <v>1405.0</v>
      </c>
      <c r="R67" s="190">
        <v>24.5</v>
      </c>
      <c r="S67" s="178">
        <f t="shared" si="9"/>
        <v>28.6</v>
      </c>
      <c r="T67" s="162">
        <f t="shared" si="10"/>
        <v>1</v>
      </c>
      <c r="U67" s="162">
        <f t="shared" si="11"/>
        <v>28.6</v>
      </c>
      <c r="V67" s="191">
        <f t="shared" si="12"/>
        <v>1407.56616</v>
      </c>
      <c r="W67" s="178">
        <f t="shared" ref="W67:X67" si="55">C67/100</f>
        <v>0.93</v>
      </c>
      <c r="X67" s="178">
        <f t="shared" si="55"/>
        <v>2.16</v>
      </c>
      <c r="Y67" s="178">
        <f t="shared" si="14"/>
        <v>28.6</v>
      </c>
      <c r="Z67" s="192">
        <f t="shared" si="15"/>
        <v>57.45168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2">
        <v>40.0</v>
      </c>
      <c r="B68" s="193" t="s">
        <v>80</v>
      </c>
      <c r="C68" s="193">
        <v>94.0</v>
      </c>
      <c r="D68" s="193">
        <v>216.0</v>
      </c>
      <c r="E68" s="193">
        <v>2858.0</v>
      </c>
      <c r="F68" s="193">
        <f t="shared" si="5"/>
        <v>0</v>
      </c>
      <c r="G68" s="193">
        <f t="shared" si="6"/>
        <v>1421.706384</v>
      </c>
      <c r="H68" s="194">
        <f t="shared" si="7"/>
        <v>1421.706384</v>
      </c>
      <c r="I68" s="193">
        <v>1.0</v>
      </c>
      <c r="J68" s="195">
        <f t="shared" si="8"/>
        <v>1421.706384</v>
      </c>
      <c r="K68" s="139"/>
      <c r="L68" s="197"/>
      <c r="M68" s="198"/>
      <c r="N68" s="198"/>
      <c r="O68" s="139"/>
      <c r="P68" s="139"/>
      <c r="Q68" s="178">
        <v>1410.0</v>
      </c>
      <c r="R68" s="190">
        <v>24.5</v>
      </c>
      <c r="S68" s="178">
        <f t="shared" si="9"/>
        <v>28.58</v>
      </c>
      <c r="T68" s="162">
        <f t="shared" si="10"/>
        <v>1</v>
      </c>
      <c r="U68" s="162">
        <f t="shared" si="11"/>
        <v>28.58</v>
      </c>
      <c r="V68" s="191">
        <f t="shared" si="12"/>
        <v>1421.706384</v>
      </c>
      <c r="W68" s="178">
        <f t="shared" ref="W68:X68" si="56">C68/100</f>
        <v>0.94</v>
      </c>
      <c r="X68" s="178">
        <f t="shared" si="56"/>
        <v>2.16</v>
      </c>
      <c r="Y68" s="178">
        <f t="shared" si="14"/>
        <v>28.58</v>
      </c>
      <c r="Z68" s="192">
        <f t="shared" si="15"/>
        <v>58.028832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2">
        <v>41.0</v>
      </c>
      <c r="B69" s="183" t="s">
        <v>109</v>
      </c>
      <c r="C69" s="184">
        <v>75.0</v>
      </c>
      <c r="D69" s="184">
        <v>216.0</v>
      </c>
      <c r="E69" s="184">
        <v>184.0</v>
      </c>
      <c r="F69" s="184">
        <f t="shared" si="5"/>
        <v>0.8</v>
      </c>
      <c r="G69" s="184">
        <f t="shared" si="6"/>
        <v>65.5776</v>
      </c>
      <c r="H69" s="185">
        <f t="shared" si="7"/>
        <v>52.46208</v>
      </c>
      <c r="I69" s="184">
        <v>1.0</v>
      </c>
      <c r="J69" s="186">
        <f t="shared" si="8"/>
        <v>52.46208</v>
      </c>
      <c r="K69" s="187"/>
      <c r="L69" s="188"/>
      <c r="M69" s="189"/>
      <c r="N69" s="189"/>
      <c r="O69" s="187"/>
      <c r="P69" s="187"/>
      <c r="Q69" s="188">
        <v>74.0</v>
      </c>
      <c r="R69" s="190">
        <v>22.0</v>
      </c>
      <c r="S69" s="178">
        <f t="shared" si="9"/>
        <v>1.84</v>
      </c>
      <c r="T69" s="162">
        <f t="shared" si="10"/>
        <v>1</v>
      </c>
      <c r="U69" s="162">
        <f t="shared" si="11"/>
        <v>1.84</v>
      </c>
      <c r="V69" s="191">
        <f t="shared" si="12"/>
        <v>65.5776</v>
      </c>
      <c r="W69" s="178">
        <f t="shared" ref="W69:X69" si="57">C69/100</f>
        <v>0.75</v>
      </c>
      <c r="X69" s="178">
        <f t="shared" si="57"/>
        <v>2.16</v>
      </c>
      <c r="Y69" s="178">
        <f t="shared" si="14"/>
        <v>1.84</v>
      </c>
      <c r="Z69" s="192">
        <f t="shared" si="15"/>
        <v>2.9808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2">
        <v>42.0</v>
      </c>
      <c r="B70" s="193" t="s">
        <v>105</v>
      </c>
      <c r="C70" s="193">
        <v>91.0</v>
      </c>
      <c r="D70" s="193">
        <v>216.0</v>
      </c>
      <c r="E70" s="193">
        <v>210.0</v>
      </c>
      <c r="F70" s="193">
        <f t="shared" si="5"/>
        <v>0</v>
      </c>
      <c r="G70" s="193">
        <f t="shared" si="6"/>
        <v>90.81072</v>
      </c>
      <c r="H70" s="194">
        <f t="shared" si="7"/>
        <v>90.81072</v>
      </c>
      <c r="I70" s="193">
        <v>1.0</v>
      </c>
      <c r="J70" s="195">
        <f t="shared" si="8"/>
        <v>90.81072</v>
      </c>
      <c r="K70" s="139"/>
      <c r="L70" s="197"/>
      <c r="M70" s="198"/>
      <c r="N70" s="198"/>
      <c r="O70" s="139"/>
      <c r="P70" s="139"/>
      <c r="Q70" s="178">
        <v>94.0</v>
      </c>
      <c r="R70" s="190">
        <v>22.0</v>
      </c>
      <c r="S70" s="178">
        <f t="shared" si="9"/>
        <v>2.1</v>
      </c>
      <c r="T70" s="162">
        <f t="shared" si="10"/>
        <v>1</v>
      </c>
      <c r="U70" s="162">
        <f t="shared" si="11"/>
        <v>2.1</v>
      </c>
      <c r="V70" s="191">
        <f t="shared" si="12"/>
        <v>90.81072</v>
      </c>
      <c r="W70" s="178">
        <f t="shared" ref="W70:X70" si="58">C70/100</f>
        <v>0.91</v>
      </c>
      <c r="X70" s="178">
        <f t="shared" si="58"/>
        <v>2.16</v>
      </c>
      <c r="Y70" s="178">
        <f t="shared" si="14"/>
        <v>2.1</v>
      </c>
      <c r="Z70" s="192">
        <f t="shared" si="15"/>
        <v>4.12776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2">
        <v>43.0</v>
      </c>
      <c r="B71" s="193" t="s">
        <v>105</v>
      </c>
      <c r="C71" s="193">
        <v>95.0</v>
      </c>
      <c r="D71" s="193">
        <v>216.0</v>
      </c>
      <c r="E71" s="193">
        <v>2674.0</v>
      </c>
      <c r="F71" s="193">
        <f t="shared" si="5"/>
        <v>0</v>
      </c>
      <c r="G71" s="193">
        <f t="shared" si="6"/>
        <v>1207.15056</v>
      </c>
      <c r="H71" s="194">
        <f t="shared" si="7"/>
        <v>1207.15056</v>
      </c>
      <c r="I71" s="193">
        <v>1.0</v>
      </c>
      <c r="J71" s="195">
        <f t="shared" si="8"/>
        <v>1207.15056</v>
      </c>
      <c r="K71" s="139"/>
      <c r="L71" s="197"/>
      <c r="M71" s="198"/>
      <c r="N71" s="198"/>
      <c r="O71" s="139"/>
      <c r="P71" s="139"/>
      <c r="Q71" s="178">
        <v>1200.0</v>
      </c>
      <c r="R71" s="190">
        <v>22.0</v>
      </c>
      <c r="S71" s="178">
        <f t="shared" si="9"/>
        <v>26.74</v>
      </c>
      <c r="T71" s="162">
        <f t="shared" si="10"/>
        <v>1</v>
      </c>
      <c r="U71" s="162">
        <f t="shared" si="11"/>
        <v>26.74</v>
      </c>
      <c r="V71" s="191">
        <f t="shared" si="12"/>
        <v>1207.15056</v>
      </c>
      <c r="W71" s="178">
        <f t="shared" ref="W71:X71" si="59">C71/100</f>
        <v>0.95</v>
      </c>
      <c r="X71" s="178">
        <f t="shared" si="59"/>
        <v>2.16</v>
      </c>
      <c r="Y71" s="178">
        <f t="shared" si="14"/>
        <v>26.74</v>
      </c>
      <c r="Z71" s="192">
        <f t="shared" si="15"/>
        <v>54.87048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2">
        <v>44.0</v>
      </c>
      <c r="B72" s="193" t="s">
        <v>105</v>
      </c>
      <c r="C72" s="193">
        <v>94.0</v>
      </c>
      <c r="D72" s="193">
        <v>216.0</v>
      </c>
      <c r="E72" s="193">
        <v>2860.0</v>
      </c>
      <c r="F72" s="193">
        <f t="shared" si="5"/>
        <v>0</v>
      </c>
      <c r="G72" s="193">
        <f t="shared" si="6"/>
        <v>1277.52768</v>
      </c>
      <c r="H72" s="194">
        <f t="shared" si="7"/>
        <v>1277.52768</v>
      </c>
      <c r="I72" s="193">
        <v>1.0</v>
      </c>
      <c r="J72" s="195">
        <f t="shared" si="8"/>
        <v>1277.52768</v>
      </c>
      <c r="K72" s="139"/>
      <c r="L72" s="197"/>
      <c r="M72" s="198"/>
      <c r="N72" s="198"/>
      <c r="O72" s="139"/>
      <c r="P72" s="139"/>
      <c r="Q72" s="178">
        <v>1275.0</v>
      </c>
      <c r="R72" s="190">
        <v>22.0</v>
      </c>
      <c r="S72" s="178">
        <f t="shared" si="9"/>
        <v>28.6</v>
      </c>
      <c r="T72" s="162">
        <f t="shared" si="10"/>
        <v>1</v>
      </c>
      <c r="U72" s="162">
        <f t="shared" si="11"/>
        <v>28.6</v>
      </c>
      <c r="V72" s="191">
        <f t="shared" si="12"/>
        <v>1277.52768</v>
      </c>
      <c r="W72" s="178">
        <f t="shared" ref="W72:X72" si="60">C72/100</f>
        <v>0.94</v>
      </c>
      <c r="X72" s="178">
        <f t="shared" si="60"/>
        <v>2.16</v>
      </c>
      <c r="Y72" s="178">
        <f t="shared" si="14"/>
        <v>28.6</v>
      </c>
      <c r="Z72" s="192">
        <f t="shared" si="15"/>
        <v>58.06944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2">
        <v>45.0</v>
      </c>
      <c r="B73" s="183" t="s">
        <v>94</v>
      </c>
      <c r="C73" s="184">
        <v>82.0</v>
      </c>
      <c r="D73" s="184">
        <v>218.0</v>
      </c>
      <c r="E73" s="184">
        <v>167.0</v>
      </c>
      <c r="F73" s="184">
        <f t="shared" si="5"/>
        <v>0.8</v>
      </c>
      <c r="G73" s="184">
        <f t="shared" si="6"/>
        <v>89.55876</v>
      </c>
      <c r="H73" s="185">
        <f t="shared" si="7"/>
        <v>71.647008</v>
      </c>
      <c r="I73" s="184">
        <v>1.0</v>
      </c>
      <c r="J73" s="186">
        <f t="shared" si="8"/>
        <v>71.647008</v>
      </c>
      <c r="K73" s="187"/>
      <c r="L73" s="188"/>
      <c r="M73" s="189"/>
      <c r="N73" s="189"/>
      <c r="O73" s="187"/>
      <c r="P73" s="187"/>
      <c r="Q73" s="188">
        <v>95.0</v>
      </c>
      <c r="R73" s="141">
        <v>30.0</v>
      </c>
      <c r="S73" s="178">
        <f t="shared" si="9"/>
        <v>1.67</v>
      </c>
      <c r="T73" s="162">
        <f t="shared" si="10"/>
        <v>1</v>
      </c>
      <c r="U73" s="162">
        <f t="shared" si="11"/>
        <v>1.67</v>
      </c>
      <c r="V73" s="191">
        <f t="shared" si="12"/>
        <v>89.55876</v>
      </c>
      <c r="W73" s="178">
        <f t="shared" ref="W73:X73" si="61">C73/100</f>
        <v>0.82</v>
      </c>
      <c r="X73" s="178">
        <f t="shared" si="61"/>
        <v>2.18</v>
      </c>
      <c r="Y73" s="178">
        <f t="shared" si="14"/>
        <v>1.67</v>
      </c>
      <c r="Z73" s="192">
        <f t="shared" si="15"/>
        <v>2.985292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2">
        <v>46.0</v>
      </c>
      <c r="B74" s="193" t="s">
        <v>57</v>
      </c>
      <c r="C74" s="193">
        <v>97.0</v>
      </c>
      <c r="D74" s="193">
        <v>218.0</v>
      </c>
      <c r="E74" s="193">
        <v>199.0</v>
      </c>
      <c r="F74" s="193">
        <f t="shared" si="5"/>
        <v>0</v>
      </c>
      <c r="G74" s="193">
        <f t="shared" si="6"/>
        <v>126.24162</v>
      </c>
      <c r="H74" s="194">
        <f t="shared" si="7"/>
        <v>126.24162</v>
      </c>
      <c r="I74" s="193">
        <v>1.0</v>
      </c>
      <c r="J74" s="195">
        <f t="shared" si="8"/>
        <v>126.24162</v>
      </c>
      <c r="K74" s="139"/>
      <c r="L74" s="197"/>
      <c r="M74" s="198"/>
      <c r="N74" s="198"/>
      <c r="O74" s="139"/>
      <c r="P74" s="139"/>
      <c r="Q74" s="178">
        <v>124.0</v>
      </c>
      <c r="R74" s="141">
        <v>30.0</v>
      </c>
      <c r="S74" s="178">
        <f t="shared" si="9"/>
        <v>1.99</v>
      </c>
      <c r="T74" s="162">
        <f t="shared" si="10"/>
        <v>1</v>
      </c>
      <c r="U74" s="162">
        <f t="shared" si="11"/>
        <v>1.99</v>
      </c>
      <c r="V74" s="191">
        <f t="shared" si="12"/>
        <v>126.24162</v>
      </c>
      <c r="W74" s="178">
        <f t="shared" ref="W74:X74" si="62">C74/100</f>
        <v>0.97</v>
      </c>
      <c r="X74" s="178">
        <f t="shared" si="62"/>
        <v>2.18</v>
      </c>
      <c r="Y74" s="178">
        <f t="shared" si="14"/>
        <v>1.99</v>
      </c>
      <c r="Z74" s="192">
        <f t="shared" si="15"/>
        <v>4.208054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2">
        <v>47.0</v>
      </c>
      <c r="B75" s="193" t="s">
        <v>57</v>
      </c>
      <c r="C75" s="193">
        <v>97.0</v>
      </c>
      <c r="D75" s="193">
        <v>218.0</v>
      </c>
      <c r="E75" s="193">
        <v>2877.0</v>
      </c>
      <c r="F75" s="193">
        <f t="shared" si="5"/>
        <v>0</v>
      </c>
      <c r="G75" s="193">
        <f t="shared" si="6"/>
        <v>1825.11126</v>
      </c>
      <c r="H75" s="194">
        <f t="shared" si="7"/>
        <v>1825.11126</v>
      </c>
      <c r="I75" s="193">
        <v>1.0</v>
      </c>
      <c r="J75" s="195">
        <f t="shared" si="8"/>
        <v>1825.11126</v>
      </c>
      <c r="K75" s="139"/>
      <c r="L75" s="197"/>
      <c r="M75" s="198"/>
      <c r="N75" s="198"/>
      <c r="O75" s="139"/>
      <c r="P75" s="139"/>
      <c r="Q75" s="178">
        <v>1800.0</v>
      </c>
      <c r="R75" s="141">
        <v>30.0</v>
      </c>
      <c r="S75" s="178">
        <f t="shared" si="9"/>
        <v>28.77</v>
      </c>
      <c r="T75" s="162">
        <f t="shared" si="10"/>
        <v>1</v>
      </c>
      <c r="U75" s="162">
        <f t="shared" si="11"/>
        <v>28.77</v>
      </c>
      <c r="V75" s="191">
        <f t="shared" si="12"/>
        <v>1825.11126</v>
      </c>
      <c r="W75" s="178">
        <f t="shared" ref="W75:X75" si="63">C75/100</f>
        <v>0.97</v>
      </c>
      <c r="X75" s="178">
        <f t="shared" si="63"/>
        <v>2.18</v>
      </c>
      <c r="Y75" s="178">
        <f t="shared" si="14"/>
        <v>28.77</v>
      </c>
      <c r="Z75" s="192">
        <f t="shared" si="15"/>
        <v>60.837042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2">
        <v>48.0</v>
      </c>
      <c r="B76" s="193" t="s">
        <v>57</v>
      </c>
      <c r="C76" s="193">
        <v>97.0</v>
      </c>
      <c r="D76" s="193">
        <v>218.0</v>
      </c>
      <c r="E76" s="193">
        <v>2878.0</v>
      </c>
      <c r="F76" s="193">
        <f t="shared" si="5"/>
        <v>0</v>
      </c>
      <c r="G76" s="193">
        <f t="shared" si="6"/>
        <v>1825.74564</v>
      </c>
      <c r="H76" s="194">
        <f t="shared" si="7"/>
        <v>1825.74564</v>
      </c>
      <c r="I76" s="193">
        <v>1.0</v>
      </c>
      <c r="J76" s="195">
        <f t="shared" si="8"/>
        <v>1825.74564</v>
      </c>
      <c r="K76" s="139"/>
      <c r="L76" s="197"/>
      <c r="M76" s="198"/>
      <c r="N76" s="198"/>
      <c r="O76" s="139"/>
      <c r="P76" s="139"/>
      <c r="Q76" s="178">
        <v>1810.0</v>
      </c>
      <c r="R76" s="141">
        <v>30.0</v>
      </c>
      <c r="S76" s="178">
        <f t="shared" si="9"/>
        <v>28.78</v>
      </c>
      <c r="T76" s="162">
        <f t="shared" si="10"/>
        <v>1</v>
      </c>
      <c r="U76" s="162">
        <f t="shared" si="11"/>
        <v>28.78</v>
      </c>
      <c r="V76" s="191">
        <f t="shared" si="12"/>
        <v>1825.74564</v>
      </c>
      <c r="W76" s="178">
        <f t="shared" ref="W76:X76" si="64">C76/100</f>
        <v>0.97</v>
      </c>
      <c r="X76" s="178">
        <f t="shared" si="64"/>
        <v>2.18</v>
      </c>
      <c r="Y76" s="178">
        <f t="shared" si="14"/>
        <v>28.78</v>
      </c>
      <c r="Z76" s="192">
        <f t="shared" si="15"/>
        <v>60.858188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2">
        <v>49.0</v>
      </c>
      <c r="B77" s="193" t="s">
        <v>57</v>
      </c>
      <c r="C77" s="193">
        <v>96.0</v>
      </c>
      <c r="D77" s="193">
        <v>218.0</v>
      </c>
      <c r="E77" s="193">
        <v>2736.0</v>
      </c>
      <c r="F77" s="193">
        <f t="shared" si="5"/>
        <v>0</v>
      </c>
      <c r="G77" s="193">
        <f t="shared" si="6"/>
        <v>1717.77024</v>
      </c>
      <c r="H77" s="194">
        <f t="shared" si="7"/>
        <v>1717.77024</v>
      </c>
      <c r="I77" s="193">
        <v>1.0</v>
      </c>
      <c r="J77" s="195">
        <f t="shared" si="8"/>
        <v>1717.77024</v>
      </c>
      <c r="K77" s="139"/>
      <c r="L77" s="197"/>
      <c r="M77" s="198"/>
      <c r="N77" s="198"/>
      <c r="O77" s="139"/>
      <c r="P77" s="139"/>
      <c r="Q77" s="178">
        <v>1700.0</v>
      </c>
      <c r="R77" s="141">
        <v>30.0</v>
      </c>
      <c r="S77" s="178">
        <f t="shared" si="9"/>
        <v>27.36</v>
      </c>
      <c r="T77" s="162">
        <f t="shared" si="10"/>
        <v>1</v>
      </c>
      <c r="U77" s="162">
        <f t="shared" si="11"/>
        <v>27.36</v>
      </c>
      <c r="V77" s="191">
        <f t="shared" si="12"/>
        <v>1717.77024</v>
      </c>
      <c r="W77" s="178">
        <f t="shared" ref="W77:X77" si="65">C77/100</f>
        <v>0.96</v>
      </c>
      <c r="X77" s="178">
        <f t="shared" si="65"/>
        <v>2.18</v>
      </c>
      <c r="Y77" s="178">
        <f t="shared" si="14"/>
        <v>27.36</v>
      </c>
      <c r="Z77" s="192">
        <f t="shared" si="15"/>
        <v>57.259008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101.0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6">C78/100</f>
        <v>0</v>
      </c>
      <c r="X78" s="199">
        <f t="shared" si="66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102.0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7">C79/100</f>
        <v>0</v>
      </c>
      <c r="X79" s="199">
        <f t="shared" si="67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103.0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8">C80/100</f>
        <v>0</v>
      </c>
      <c r="X80" s="199">
        <f t="shared" si="68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104.0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9">C81/100</f>
        <v>0</v>
      </c>
      <c r="X81" s="199">
        <f t="shared" si="69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105.0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0">C82/100</f>
        <v>0</v>
      </c>
      <c r="X82" s="199">
        <f t="shared" si="70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106.0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1">C83/100</f>
        <v>0</v>
      </c>
      <c r="X83" s="199">
        <f t="shared" si="71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107.0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2">C84/100</f>
        <v>0</v>
      </c>
      <c r="X84" s="199">
        <f t="shared" si="72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108.0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3">C85/100</f>
        <v>0</v>
      </c>
      <c r="X85" s="199">
        <f t="shared" si="73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109.0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4">C86/100</f>
        <v>0</v>
      </c>
      <c r="X86" s="199">
        <f t="shared" si="74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110.0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5">C87/100</f>
        <v>0</v>
      </c>
      <c r="X87" s="199">
        <f t="shared" si="75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111.0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6">C88/100</f>
        <v>0</v>
      </c>
      <c r="X88" s="199">
        <f t="shared" si="76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112.0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7">C89/100</f>
        <v>0</v>
      </c>
      <c r="X89" s="199">
        <f t="shared" si="77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113.0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8">C90/100</f>
        <v>0</v>
      </c>
      <c r="X90" s="199">
        <f t="shared" si="78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114.0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9">C91/100</f>
        <v>0</v>
      </c>
      <c r="X91" s="199">
        <f t="shared" si="79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115.0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0">C92/100</f>
        <v>0</v>
      </c>
      <c r="X92" s="199">
        <f t="shared" si="80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116.0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1">C93/100</f>
        <v>0</v>
      </c>
      <c r="X93" s="199">
        <f t="shared" si="81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117.0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2">C94/100</f>
        <v>0</v>
      </c>
      <c r="X94" s="199">
        <f t="shared" si="82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118.0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3">C95/100</f>
        <v>0</v>
      </c>
      <c r="X95" s="199">
        <f t="shared" si="83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119.0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4">C96/100</f>
        <v>0</v>
      </c>
      <c r="X96" s="199">
        <f t="shared" si="84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120.0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5">C97/100</f>
        <v>0</v>
      </c>
      <c r="X97" s="199">
        <f t="shared" si="85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121.0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6">C98/100</f>
        <v>0</v>
      </c>
      <c r="X98" s="199">
        <f t="shared" si="86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122.0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7">C99/100</f>
        <v>0</v>
      </c>
      <c r="X99" s="199">
        <f t="shared" si="87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123.0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8">C100/100</f>
        <v>0</v>
      </c>
      <c r="X100" s="199">
        <f t="shared" si="88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124.0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9">C101/100</f>
        <v>0</v>
      </c>
      <c r="X101" s="199">
        <f t="shared" si="89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125.0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0">C102/100</f>
        <v>0</v>
      </c>
      <c r="X102" s="199">
        <f t="shared" si="90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126.0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1">C103/100</f>
        <v>0</v>
      </c>
      <c r="X103" s="199">
        <f t="shared" si="91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127.0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2">C104/100</f>
        <v>0</v>
      </c>
      <c r="X104" s="199">
        <f t="shared" si="92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128.0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3">C105/100</f>
        <v>0</v>
      </c>
      <c r="X105" s="199">
        <f t="shared" si="93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129.0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4">C106/100</f>
        <v>0</v>
      </c>
      <c r="X106" s="199">
        <f t="shared" si="94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130.0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5">C107/100</f>
        <v>0</v>
      </c>
      <c r="X107" s="199">
        <f t="shared" si="95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131.0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6">C108/100</f>
        <v>0</v>
      </c>
      <c r="X108" s="199">
        <f t="shared" si="96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132.0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7">C109/100</f>
        <v>0</v>
      </c>
      <c r="X109" s="199">
        <f t="shared" si="97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133.0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8">C110/100</f>
        <v>0</v>
      </c>
      <c r="X110" s="199">
        <f t="shared" si="98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134.0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9">C111/100</f>
        <v>0</v>
      </c>
      <c r="X111" s="199">
        <f t="shared" si="99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135.0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0">C112/100</f>
        <v>0</v>
      </c>
      <c r="X112" s="199">
        <f t="shared" si="100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136.0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1">C113/100</f>
        <v>0</v>
      </c>
      <c r="X113" s="199">
        <f t="shared" si="101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137.0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2">C114/100</f>
        <v>0</v>
      </c>
      <c r="X114" s="199">
        <f t="shared" si="102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138.0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3">C115/100</f>
        <v>0</v>
      </c>
      <c r="X115" s="199">
        <f t="shared" si="103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139.0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4">C116/100</f>
        <v>0</v>
      </c>
      <c r="X116" s="199">
        <f t="shared" si="104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140.0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5">C117/100</f>
        <v>0</v>
      </c>
      <c r="X117" s="199">
        <f t="shared" si="105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141.0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6">C118/100</f>
        <v>0</v>
      </c>
      <c r="X118" s="199">
        <f t="shared" si="106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142.0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7">C119/100</f>
        <v>0</v>
      </c>
      <c r="X119" s="199">
        <f t="shared" si="107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143.0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8">C120/100</f>
        <v>0</v>
      </c>
      <c r="X120" s="199">
        <f t="shared" si="108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144.0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9">C121/100</f>
        <v>0</v>
      </c>
      <c r="X121" s="199">
        <f t="shared" si="109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145.0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0">C122/100</f>
        <v>0</v>
      </c>
      <c r="X122" s="199">
        <f t="shared" si="110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146.0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1">C123/100</f>
        <v>0</v>
      </c>
      <c r="X123" s="199">
        <f t="shared" si="111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147.0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2">C124/100</f>
        <v>0</v>
      </c>
      <c r="X124" s="199">
        <f t="shared" si="112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148.0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3">C125/100</f>
        <v>0</v>
      </c>
      <c r="X125" s="199">
        <f t="shared" si="113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149.0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4">C126/100</f>
        <v>0</v>
      </c>
      <c r="X126" s="199">
        <f t="shared" si="114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150.0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5">C127/100</f>
        <v>0</v>
      </c>
      <c r="X127" s="199">
        <f t="shared" si="115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151.0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6">C128/100</f>
        <v>0</v>
      </c>
      <c r="X128" s="199">
        <f t="shared" si="116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152.0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7">C129/100</f>
        <v>0</v>
      </c>
      <c r="X129" s="199">
        <f t="shared" si="117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153.0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8">C130/100</f>
        <v>0</v>
      </c>
      <c r="X130" s="199">
        <f t="shared" si="118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154.0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9">C131/100</f>
        <v>0</v>
      </c>
      <c r="X131" s="199">
        <f t="shared" si="119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155.0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0">C132/100</f>
        <v>0</v>
      </c>
      <c r="X132" s="199">
        <f t="shared" si="120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156.0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1">C133/100</f>
        <v>0</v>
      </c>
      <c r="X133" s="199">
        <f t="shared" si="121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157.0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2">C134/100</f>
        <v>0</v>
      </c>
      <c r="X134" s="199">
        <f t="shared" si="122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158.0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3">C135/100</f>
        <v>0</v>
      </c>
      <c r="X135" s="199">
        <f t="shared" si="123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159.0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4">C136/100</f>
        <v>0</v>
      </c>
      <c r="X136" s="199">
        <f t="shared" si="124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160.0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5">C137/100</f>
        <v>0</v>
      </c>
      <c r="X137" s="199">
        <f t="shared" si="125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161.0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6">C138/100</f>
        <v>0</v>
      </c>
      <c r="X138" s="199">
        <f t="shared" si="126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162.0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7">C139/100</f>
        <v>0</v>
      </c>
      <c r="X139" s="199">
        <f t="shared" si="127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163.0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8">C140/100</f>
        <v>0</v>
      </c>
      <c r="X140" s="199">
        <f t="shared" si="128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164.0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9">C141/100</f>
        <v>0</v>
      </c>
      <c r="X141" s="199">
        <f t="shared" si="129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165.0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0">C142/100</f>
        <v>0</v>
      </c>
      <c r="X142" s="199">
        <f t="shared" si="130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166.0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1">C143/100</f>
        <v>0</v>
      </c>
      <c r="X143" s="199">
        <f t="shared" si="131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167.0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2">C144/100</f>
        <v>0</v>
      </c>
      <c r="X144" s="199">
        <f t="shared" si="132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168.0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3">C145/100</f>
        <v>0</v>
      </c>
      <c r="X145" s="199">
        <f t="shared" si="133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169.0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4">C146/100</f>
        <v>0</v>
      </c>
      <c r="X146" s="199">
        <f t="shared" si="134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170.0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5">C147/100</f>
        <v>0</v>
      </c>
      <c r="X147" s="199">
        <f t="shared" si="135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171.0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6">C148/100</f>
        <v>0</v>
      </c>
      <c r="X148" s="199">
        <f t="shared" si="136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172.0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7">C149/100</f>
        <v>0</v>
      </c>
      <c r="X149" s="199">
        <f t="shared" si="137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173.0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8">C150/100</f>
        <v>0</v>
      </c>
      <c r="X150" s="199">
        <f t="shared" si="138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174.0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9">C151/100</f>
        <v>0</v>
      </c>
      <c r="X151" s="199">
        <f t="shared" si="139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175.0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0">C152/100</f>
        <v>0</v>
      </c>
      <c r="X152" s="199">
        <f t="shared" si="140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176.0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1">C153/100</f>
        <v>0</v>
      </c>
      <c r="X153" s="199">
        <f t="shared" si="141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177.0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2">C154/100</f>
        <v>0</v>
      </c>
      <c r="X154" s="199">
        <f t="shared" si="142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178.0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3">C155/100</f>
        <v>0</v>
      </c>
      <c r="X155" s="199">
        <f t="shared" si="143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179.0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4">C156/100</f>
        <v>0</v>
      </c>
      <c r="X156" s="199">
        <f t="shared" si="144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180.0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5">C157/100</f>
        <v>0</v>
      </c>
      <c r="X157" s="199">
        <f t="shared" si="145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181.0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6">C158/100</f>
        <v>0</v>
      </c>
      <c r="X158" s="199">
        <f t="shared" si="146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182.0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7">C159/100</f>
        <v>0</v>
      </c>
      <c r="X159" s="199">
        <f t="shared" si="147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183.0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8">C160/100</f>
        <v>0</v>
      </c>
      <c r="X160" s="199">
        <f t="shared" si="148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184.0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9">C161/100</f>
        <v>0</v>
      </c>
      <c r="X161" s="199">
        <f t="shared" si="149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185.0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0">C162/100</f>
        <v>0</v>
      </c>
      <c r="X162" s="199">
        <f t="shared" si="150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186.0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1">C163/100</f>
        <v>0</v>
      </c>
      <c r="X163" s="199">
        <f t="shared" si="151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187.0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2">C164/100</f>
        <v>0</v>
      </c>
      <c r="X164" s="199">
        <f t="shared" si="152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188.0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3">C165/100</f>
        <v>0</v>
      </c>
      <c r="X165" s="199">
        <f t="shared" si="153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189.0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4">C166/100</f>
        <v>0</v>
      </c>
      <c r="X166" s="199">
        <f t="shared" si="154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190.0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5">C167/100</f>
        <v>0</v>
      </c>
      <c r="X167" s="199">
        <f t="shared" si="155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191.0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6">C168/100</f>
        <v>0</v>
      </c>
      <c r="X168" s="199">
        <f t="shared" si="156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192.0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7">C169/100</f>
        <v>0</v>
      </c>
      <c r="X169" s="199">
        <f t="shared" si="157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193.0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8">C170/100</f>
        <v>0</v>
      </c>
      <c r="X170" s="199">
        <f t="shared" si="158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194.0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9">C171/100</f>
        <v>0</v>
      </c>
      <c r="X171" s="199">
        <f t="shared" si="159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195.0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0">C172/100</f>
        <v>0</v>
      </c>
      <c r="X172" s="199">
        <f t="shared" si="160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196.0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1">C173/100</f>
        <v>0</v>
      </c>
      <c r="X173" s="199">
        <f t="shared" si="161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197.0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2">C174/100</f>
        <v>0</v>
      </c>
      <c r="X174" s="199">
        <f t="shared" si="162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198.0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3">C175/100</f>
        <v>0</v>
      </c>
      <c r="X175" s="199">
        <f t="shared" si="163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199.0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4">C176/100</f>
        <v>0</v>
      </c>
      <c r="X176" s="199">
        <f t="shared" si="164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200.0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5">C177/100</f>
        <v>0</v>
      </c>
      <c r="X177" s="199">
        <f t="shared" si="165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201.0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6">C178/100</f>
        <v>0</v>
      </c>
      <c r="X178" s="199">
        <f t="shared" si="166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2">
        <v>202.0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7">C179/100</f>
        <v>0</v>
      </c>
      <c r="X179" s="199">
        <f t="shared" si="167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2">
        <v>203.0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8">C180/100</f>
        <v>0</v>
      </c>
      <c r="X180" s="199">
        <f t="shared" si="168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2">
        <v>204.0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9">C181/100</f>
        <v>0</v>
      </c>
      <c r="X181" s="199">
        <f t="shared" si="169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2">
        <v>205.0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0">C182/100</f>
        <v>0</v>
      </c>
      <c r="X182" s="199">
        <f t="shared" si="170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2">
        <v>206.0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1">C183/100</f>
        <v>0</v>
      </c>
      <c r="X183" s="199">
        <f t="shared" si="171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2">
        <v>207.0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2">C184/100</f>
        <v>0</v>
      </c>
      <c r="X184" s="199">
        <f t="shared" si="172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2">
        <v>208.0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3">C185/100</f>
        <v>0</v>
      </c>
      <c r="X185" s="199">
        <f t="shared" si="173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2">
        <v>209.0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4">C186/100</f>
        <v>0</v>
      </c>
      <c r="X186" s="199">
        <f t="shared" si="174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2">
        <v>210.0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5">C187/100</f>
        <v>0</v>
      </c>
      <c r="X187" s="199">
        <f t="shared" si="175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2">
        <v>211.0</v>
      </c>
      <c r="B188" s="193"/>
      <c r="C188" s="193"/>
      <c r="D188" s="193"/>
      <c r="E188" s="193"/>
      <c r="F188" s="193">
        <f t="shared" si="5"/>
        <v>0</v>
      </c>
      <c r="G188" s="193">
        <f t="shared" si="6"/>
        <v>0</v>
      </c>
      <c r="H188" s="194">
        <f t="shared" si="7"/>
        <v>0</v>
      </c>
      <c r="I188" s="193"/>
      <c r="J188" s="195">
        <f t="shared" si="8"/>
        <v>0</v>
      </c>
      <c r="K188" s="139"/>
      <c r="L188" s="197"/>
      <c r="M188" s="198"/>
      <c r="N188" s="198"/>
      <c r="O188" s="139"/>
      <c r="P188" s="139"/>
      <c r="Q188" s="195"/>
      <c r="R188" s="141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6">C188/100</f>
        <v>0</v>
      </c>
      <c r="X188" s="199">
        <f t="shared" si="176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2">
        <v>212.0</v>
      </c>
      <c r="B189" s="193"/>
      <c r="C189" s="193"/>
      <c r="D189" s="193"/>
      <c r="E189" s="193"/>
      <c r="F189" s="193">
        <f t="shared" si="5"/>
        <v>0</v>
      </c>
      <c r="G189" s="193">
        <f t="shared" si="6"/>
        <v>0</v>
      </c>
      <c r="H189" s="194">
        <f t="shared" si="7"/>
        <v>0</v>
      </c>
      <c r="I189" s="193"/>
      <c r="J189" s="195">
        <f t="shared" si="8"/>
        <v>0</v>
      </c>
      <c r="K189" s="139"/>
      <c r="L189" s="197"/>
      <c r="M189" s="198"/>
      <c r="N189" s="198"/>
      <c r="O189" s="139"/>
      <c r="P189" s="139"/>
      <c r="Q189" s="195"/>
      <c r="R189" s="141"/>
      <c r="S189" s="199">
        <f t="shared" si="9"/>
        <v>0</v>
      </c>
      <c r="T189" s="200" t="str">
        <f t="shared" si="10"/>
        <v/>
      </c>
      <c r="U189" s="200">
        <f t="shared" si="11"/>
        <v>0</v>
      </c>
      <c r="V189" s="203"/>
      <c r="W189" s="199">
        <f t="shared" ref="W189:X189" si="177">C189/100</f>
        <v>0</v>
      </c>
      <c r="X189" s="199">
        <f t="shared" si="177"/>
        <v>0</v>
      </c>
      <c r="Y189" s="199">
        <f t="shared" si="14"/>
        <v>0</v>
      </c>
      <c r="Z189" s="202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2">
        <v>213.0</v>
      </c>
      <c r="B190" s="193"/>
      <c r="C190" s="193"/>
      <c r="D190" s="193"/>
      <c r="E190" s="193"/>
      <c r="F190" s="193">
        <f t="shared" si="5"/>
        <v>0</v>
      </c>
      <c r="G190" s="193">
        <f t="shared" si="6"/>
        <v>0</v>
      </c>
      <c r="H190" s="194">
        <f t="shared" si="7"/>
        <v>0</v>
      </c>
      <c r="I190" s="193"/>
      <c r="J190" s="195">
        <f t="shared" si="8"/>
        <v>0</v>
      </c>
      <c r="K190" s="139"/>
      <c r="L190" s="197"/>
      <c r="M190" s="198"/>
      <c r="N190" s="198"/>
      <c r="O190" s="139"/>
      <c r="P190" s="139"/>
      <c r="Q190" s="195"/>
      <c r="R190" s="141"/>
      <c r="S190" s="199">
        <f t="shared" si="9"/>
        <v>0</v>
      </c>
      <c r="T190" s="200" t="str">
        <f t="shared" si="10"/>
        <v/>
      </c>
      <c r="U190" s="200">
        <f t="shared" si="11"/>
        <v>0</v>
      </c>
      <c r="V190" s="203"/>
      <c r="W190" s="199">
        <f t="shared" ref="W190:X190" si="178">C190/100</f>
        <v>0</v>
      </c>
      <c r="X190" s="199">
        <f t="shared" si="178"/>
        <v>0</v>
      </c>
      <c r="Y190" s="199">
        <f t="shared" si="14"/>
        <v>0</v>
      </c>
      <c r="Z190" s="202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2">
        <v>214.0</v>
      </c>
      <c r="B191" s="193"/>
      <c r="C191" s="193"/>
      <c r="D191" s="193"/>
      <c r="E191" s="193"/>
      <c r="F191" s="193">
        <f t="shared" si="5"/>
        <v>0</v>
      </c>
      <c r="G191" s="193">
        <f t="shared" si="6"/>
        <v>0</v>
      </c>
      <c r="H191" s="194">
        <f t="shared" si="7"/>
        <v>0</v>
      </c>
      <c r="I191" s="193"/>
      <c r="J191" s="195">
        <f t="shared" si="8"/>
        <v>0</v>
      </c>
      <c r="K191" s="139"/>
      <c r="L191" s="197"/>
      <c r="M191" s="198"/>
      <c r="N191" s="198"/>
      <c r="O191" s="139"/>
      <c r="P191" s="139"/>
      <c r="Q191" s="195"/>
      <c r="R191" s="141"/>
      <c r="S191" s="199">
        <f t="shared" si="9"/>
        <v>0</v>
      </c>
      <c r="T191" s="200" t="str">
        <f t="shared" si="10"/>
        <v/>
      </c>
      <c r="U191" s="200">
        <f t="shared" si="11"/>
        <v>0</v>
      </c>
      <c r="V191" s="203"/>
      <c r="W191" s="199">
        <f t="shared" ref="W191:X191" si="179">C191/100</f>
        <v>0</v>
      </c>
      <c r="X191" s="199">
        <f t="shared" si="179"/>
        <v>0</v>
      </c>
      <c r="Y191" s="199">
        <f t="shared" si="14"/>
        <v>0</v>
      </c>
      <c r="Z191" s="202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2">
        <v>215.0</v>
      </c>
      <c r="B192" s="193"/>
      <c r="C192" s="193"/>
      <c r="D192" s="193"/>
      <c r="E192" s="193"/>
      <c r="F192" s="193">
        <f t="shared" si="5"/>
        <v>0</v>
      </c>
      <c r="G192" s="193">
        <f t="shared" si="6"/>
        <v>0</v>
      </c>
      <c r="H192" s="194">
        <f t="shared" si="7"/>
        <v>0</v>
      </c>
      <c r="I192" s="193"/>
      <c r="J192" s="195">
        <f t="shared" si="8"/>
        <v>0</v>
      </c>
      <c r="K192" s="139"/>
      <c r="L192" s="197"/>
      <c r="M192" s="198"/>
      <c r="N192" s="198"/>
      <c r="O192" s="139"/>
      <c r="P192" s="139"/>
      <c r="Q192" s="195"/>
      <c r="R192" s="141"/>
      <c r="S192" s="199">
        <f t="shared" si="9"/>
        <v>0</v>
      </c>
      <c r="T192" s="200" t="str">
        <f t="shared" si="10"/>
        <v/>
      </c>
      <c r="U192" s="200">
        <f t="shared" si="11"/>
        <v>0</v>
      </c>
      <c r="V192" s="203"/>
      <c r="W192" s="199">
        <f t="shared" ref="W192:X192" si="180">C192/100</f>
        <v>0</v>
      </c>
      <c r="X192" s="199">
        <f t="shared" si="180"/>
        <v>0</v>
      </c>
      <c r="Y192" s="199">
        <f t="shared" si="14"/>
        <v>0</v>
      </c>
      <c r="Z192" s="202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2">
        <v>216.0</v>
      </c>
      <c r="B193" s="193"/>
      <c r="C193" s="193"/>
      <c r="D193" s="193"/>
      <c r="E193" s="193"/>
      <c r="F193" s="193">
        <f t="shared" si="5"/>
        <v>0</v>
      </c>
      <c r="G193" s="193">
        <f t="shared" si="6"/>
        <v>0</v>
      </c>
      <c r="H193" s="194">
        <f t="shared" si="7"/>
        <v>0</v>
      </c>
      <c r="I193" s="193"/>
      <c r="J193" s="195">
        <f t="shared" si="8"/>
        <v>0</v>
      </c>
      <c r="K193" s="139"/>
      <c r="L193" s="197"/>
      <c r="M193" s="198"/>
      <c r="N193" s="198"/>
      <c r="O193" s="139"/>
      <c r="P193" s="139"/>
      <c r="Q193" s="195"/>
      <c r="R193" s="141"/>
      <c r="S193" s="199">
        <f t="shared" si="9"/>
        <v>0</v>
      </c>
      <c r="T193" s="200" t="str">
        <f t="shared" si="10"/>
        <v/>
      </c>
      <c r="U193" s="200">
        <f t="shared" si="11"/>
        <v>0</v>
      </c>
      <c r="V193" s="203"/>
      <c r="W193" s="199">
        <f t="shared" ref="W193:X193" si="181">C193/100</f>
        <v>0</v>
      </c>
      <c r="X193" s="199">
        <f t="shared" si="181"/>
        <v>0</v>
      </c>
      <c r="Y193" s="199">
        <f t="shared" si="14"/>
        <v>0</v>
      </c>
      <c r="Z193" s="202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2">
        <v>217.0</v>
      </c>
      <c r="B194" s="193"/>
      <c r="C194" s="193"/>
      <c r="D194" s="193"/>
      <c r="E194" s="193"/>
      <c r="F194" s="193">
        <f t="shared" si="5"/>
        <v>0</v>
      </c>
      <c r="G194" s="193">
        <f t="shared" si="6"/>
        <v>0</v>
      </c>
      <c r="H194" s="194">
        <f t="shared" si="7"/>
        <v>0</v>
      </c>
      <c r="I194" s="193"/>
      <c r="J194" s="195">
        <f t="shared" si="8"/>
        <v>0</v>
      </c>
      <c r="K194" s="139"/>
      <c r="L194" s="197"/>
      <c r="M194" s="198"/>
      <c r="N194" s="198"/>
      <c r="O194" s="139"/>
      <c r="P194" s="139"/>
      <c r="Q194" s="195"/>
      <c r="R194" s="141"/>
      <c r="S194" s="199">
        <f t="shared" si="9"/>
        <v>0</v>
      </c>
      <c r="T194" s="200" t="str">
        <f t="shared" si="10"/>
        <v/>
      </c>
      <c r="U194" s="200">
        <f t="shared" si="11"/>
        <v>0</v>
      </c>
      <c r="V194" s="203"/>
      <c r="W194" s="199">
        <f t="shared" ref="W194:X194" si="182">C194/100</f>
        <v>0</v>
      </c>
      <c r="X194" s="199">
        <f t="shared" si="182"/>
        <v>0</v>
      </c>
      <c r="Y194" s="199">
        <f t="shared" si="14"/>
        <v>0</v>
      </c>
      <c r="Z194" s="202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customHeight="1">
      <c r="A195" s="162"/>
      <c r="B195" s="178"/>
      <c r="C195" s="178"/>
      <c r="D195" s="178"/>
      <c r="E195" s="178"/>
      <c r="F195" s="178"/>
      <c r="G195" s="178"/>
      <c r="H195" s="181"/>
      <c r="I195" s="162"/>
      <c r="J195" s="204">
        <f>+Q247</f>
        <v>162.8</v>
      </c>
      <c r="K195" s="139"/>
      <c r="L195" s="139"/>
      <c r="M195" s="139"/>
      <c r="N195" s="139"/>
      <c r="O195" s="139"/>
      <c r="P195" s="139"/>
      <c r="Q195" s="139"/>
      <c r="R195" s="205"/>
      <c r="S195" s="199">
        <f t="shared" si="9"/>
        <v>0</v>
      </c>
      <c r="T195" s="200" t="str">
        <f t="shared" si="10"/>
        <v/>
      </c>
      <c r="U195" s="200">
        <f t="shared" si="11"/>
        <v>0</v>
      </c>
      <c r="V195" s="203"/>
      <c r="W195" s="199">
        <f t="shared" ref="W195:X195" si="183">C195/100</f>
        <v>0</v>
      </c>
      <c r="X195" s="199">
        <f t="shared" si="183"/>
        <v>0</v>
      </c>
      <c r="Y195" s="199">
        <f t="shared" si="14"/>
        <v>0</v>
      </c>
      <c r="Z195" s="202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customHeight="1">
      <c r="A196" s="162"/>
      <c r="B196" s="206"/>
      <c r="C196" s="206"/>
      <c r="D196" s="206"/>
      <c r="E196" s="206"/>
      <c r="F196" s="206"/>
      <c r="G196" s="206"/>
      <c r="H196" s="207"/>
      <c r="I196" s="208">
        <f>SUM(I29:I194)</f>
        <v>49</v>
      </c>
      <c r="J196" s="209">
        <f>SUM(J29:J195)</f>
        <v>42822.04164</v>
      </c>
      <c r="K196" s="210"/>
      <c r="L196" s="210"/>
      <c r="M196" s="210"/>
      <c r="N196" s="210"/>
      <c r="O196" s="210"/>
      <c r="P196" s="210"/>
      <c r="Q196" s="210"/>
      <c r="R196" s="141"/>
      <c r="S196" s="210">
        <f>SUMIFS($T$29:$T$194,$S$29:$S$194,"&gt;=3")</f>
        <v>25</v>
      </c>
      <c r="T196" s="210">
        <f t="shared" ref="T196:U196" si="184">SUM(T29:T194)</f>
        <v>49</v>
      </c>
      <c r="U196" s="210">
        <f t="shared" si="184"/>
        <v>762.01</v>
      </c>
      <c r="V196" s="210"/>
      <c r="W196" s="210"/>
      <c r="X196" s="210"/>
      <c r="Y196" s="210"/>
      <c r="Z196" s="211">
        <f>SUM(Z29:Z195)</f>
        <v>1530.132959</v>
      </c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</row>
    <row r="197" ht="29.2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141"/>
      <c r="S197" s="203"/>
      <c r="T197" s="139">
        <f>+T196-S196</f>
        <v>24</v>
      </c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9.2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269"/>
      <c r="K198" s="139"/>
      <c r="L198" s="139"/>
      <c r="M198" s="139"/>
      <c r="N198" s="139"/>
      <c r="O198" s="139"/>
      <c r="P198" s="139"/>
      <c r="Q198" s="139"/>
      <c r="R198" s="205"/>
      <c r="S198" s="139"/>
      <c r="T198" s="139" t="s">
        <v>48</v>
      </c>
      <c r="U198" s="139" t="s">
        <v>68</v>
      </c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269"/>
      <c r="K199" s="139"/>
      <c r="L199" s="139"/>
      <c r="M199" s="139"/>
      <c r="N199" s="139"/>
      <c r="O199" s="139"/>
      <c r="P199" s="139"/>
      <c r="Q199" s="139"/>
      <c r="R199" s="205"/>
      <c r="S199" s="139" t="s">
        <v>31</v>
      </c>
      <c r="T199" s="212">
        <f>SUMIFS($J$29:$J$194,$S$29:$S$194,"&gt;=3")</f>
        <v>40268.83006</v>
      </c>
      <c r="U199" s="213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9.25" customHeight="1">
      <c r="A200" s="139" t="s">
        <v>32</v>
      </c>
      <c r="B200" s="139"/>
      <c r="C200" s="139"/>
      <c r="D200" s="139" t="s">
        <v>33</v>
      </c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141"/>
      <c r="S200" s="139" t="s">
        <v>34</v>
      </c>
      <c r="T200" s="266">
        <f>J196-T199</f>
        <v>2553.211578</v>
      </c>
      <c r="U200" s="213">
        <f>+SUMIFS($U$29:$U$194,$S$29:$S$194,"&gt;=3")</f>
        <v>711.09</v>
      </c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05"/>
      <c r="S201" s="139"/>
      <c r="T201" s="214">
        <f>+I196</f>
        <v>49</v>
      </c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39.0" customHeight="1">
      <c r="A202" s="178"/>
      <c r="B202" s="162" t="s">
        <v>12</v>
      </c>
      <c r="C202" s="179" t="s">
        <v>69</v>
      </c>
      <c r="D202" s="52"/>
      <c r="E202" s="53"/>
      <c r="F202" s="180"/>
      <c r="G202" s="180"/>
      <c r="H202" s="181" t="s">
        <v>14</v>
      </c>
      <c r="I202" s="162" t="s">
        <v>15</v>
      </c>
      <c r="J202" s="162" t="s">
        <v>16</v>
      </c>
      <c r="K202" s="139"/>
      <c r="L202" s="139"/>
      <c r="M202" s="139"/>
      <c r="N202" s="139"/>
      <c r="O202" s="139"/>
      <c r="P202" s="139"/>
      <c r="Q202" s="139"/>
      <c r="R202" s="141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55">
        <v>1.0</v>
      </c>
      <c r="B203" s="215" t="s">
        <v>63</v>
      </c>
      <c r="C203" s="215">
        <v>77.0</v>
      </c>
      <c r="D203" s="215">
        <v>202.0</v>
      </c>
      <c r="E203" s="215">
        <v>180.0</v>
      </c>
      <c r="F203" s="215">
        <f t="shared" ref="F203:F209" si="185">1-VALUE(IF(RIGHT(B203, 1)="%", RIGHT(B203, 3), 0))</f>
        <v>0.2</v>
      </c>
      <c r="G203" s="215">
        <f t="shared" ref="G203:G209" si="186">+Q203*C203/100*D203/100*E203/100</f>
        <v>0</v>
      </c>
      <c r="H203" s="216">
        <f t="shared" ref="H203:H209" si="187">IF(F203=0, G203, F203*G203)</f>
        <v>0</v>
      </c>
      <c r="I203" s="215">
        <v>1.0</v>
      </c>
      <c r="J203" s="217">
        <v>83.99160000000002</v>
      </c>
      <c r="K203" s="139"/>
      <c r="L203" s="178">
        <f t="shared" ref="L203:L209" si="188">D203*25.4/1000</f>
        <v>5.1308</v>
      </c>
      <c r="M203" s="162">
        <f t="shared" ref="M203:M207" si="189">+I203</f>
        <v>1</v>
      </c>
      <c r="N203" s="162">
        <f t="shared" ref="N203:N207" si="190">M203*L203</f>
        <v>5.1308</v>
      </c>
      <c r="O203" s="139"/>
      <c r="P203" s="139"/>
      <c r="Q203" s="139"/>
      <c r="R203" s="141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55">
        <v>2.0</v>
      </c>
      <c r="B204" s="215" t="s">
        <v>63</v>
      </c>
      <c r="C204" s="215">
        <v>92.0</v>
      </c>
      <c r="D204" s="215">
        <v>195.0</v>
      </c>
      <c r="E204" s="215">
        <v>198.0</v>
      </c>
      <c r="F204" s="215">
        <f t="shared" si="185"/>
        <v>0.2</v>
      </c>
      <c r="G204" s="215">
        <f t="shared" si="186"/>
        <v>0</v>
      </c>
      <c r="H204" s="216">
        <f t="shared" si="187"/>
        <v>0</v>
      </c>
      <c r="I204" s="215">
        <v>1.0</v>
      </c>
      <c r="J204" s="217">
        <v>106.56360000000001</v>
      </c>
      <c r="K204" s="139"/>
      <c r="L204" s="178">
        <f t="shared" si="188"/>
        <v>4.953</v>
      </c>
      <c r="M204" s="162">
        <f t="shared" si="189"/>
        <v>1</v>
      </c>
      <c r="N204" s="162">
        <f t="shared" si="190"/>
        <v>4.953</v>
      </c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5">
        <v>3.0</v>
      </c>
      <c r="B205" s="218" t="s">
        <v>63</v>
      </c>
      <c r="C205" s="218">
        <v>92.0</v>
      </c>
      <c r="D205" s="218">
        <v>195.0</v>
      </c>
      <c r="E205" s="218">
        <v>188.0</v>
      </c>
      <c r="F205" s="218">
        <f t="shared" si="185"/>
        <v>0.2</v>
      </c>
      <c r="G205" s="218">
        <f t="shared" si="186"/>
        <v>0</v>
      </c>
      <c r="H205" s="219">
        <f t="shared" si="187"/>
        <v>0</v>
      </c>
      <c r="I205" s="218">
        <v>1.0</v>
      </c>
      <c r="J205" s="195">
        <v>101.1816</v>
      </c>
      <c r="K205" s="139"/>
      <c r="L205" s="178">
        <f t="shared" si="188"/>
        <v>4.953</v>
      </c>
      <c r="M205" s="162">
        <f t="shared" si="189"/>
        <v>1</v>
      </c>
      <c r="N205" s="162">
        <f t="shared" si="190"/>
        <v>4.953</v>
      </c>
      <c r="O205" s="139"/>
      <c r="P205" s="139"/>
      <c r="Q205" s="139"/>
      <c r="R205" s="139"/>
      <c r="S205" s="220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5">
        <v>4.0</v>
      </c>
      <c r="B206" s="218" t="s">
        <v>85</v>
      </c>
      <c r="C206" s="218">
        <v>84.0</v>
      </c>
      <c r="D206" s="218">
        <v>204.0</v>
      </c>
      <c r="E206" s="218">
        <v>181.0</v>
      </c>
      <c r="F206" s="218">
        <f t="shared" si="185"/>
        <v>0.2</v>
      </c>
      <c r="G206" s="218">
        <f t="shared" si="186"/>
        <v>0</v>
      </c>
      <c r="H206" s="219">
        <f t="shared" si="187"/>
        <v>0</v>
      </c>
      <c r="I206" s="218">
        <v>1.0</v>
      </c>
      <c r="J206" s="195">
        <v>77.5404</v>
      </c>
      <c r="K206" s="139"/>
      <c r="L206" s="178">
        <f t="shared" si="188"/>
        <v>5.1816</v>
      </c>
      <c r="M206" s="162">
        <f t="shared" si="189"/>
        <v>1</v>
      </c>
      <c r="N206" s="162">
        <f t="shared" si="190"/>
        <v>5.1816</v>
      </c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5">
        <v>5.0</v>
      </c>
      <c r="B207" s="218" t="s">
        <v>87</v>
      </c>
      <c r="C207" s="218">
        <v>82.0</v>
      </c>
      <c r="D207" s="218">
        <v>216.0</v>
      </c>
      <c r="E207" s="218">
        <v>198.0</v>
      </c>
      <c r="F207" s="218">
        <f t="shared" si="185"/>
        <v>0.2</v>
      </c>
      <c r="G207" s="218">
        <f t="shared" si="186"/>
        <v>0</v>
      </c>
      <c r="H207" s="219">
        <f t="shared" si="187"/>
        <v>0</v>
      </c>
      <c r="I207" s="218">
        <v>1.0</v>
      </c>
      <c r="J207" s="195">
        <v>85.92091199999999</v>
      </c>
      <c r="K207" s="139"/>
      <c r="L207" s="178">
        <f t="shared" si="188"/>
        <v>5.4864</v>
      </c>
      <c r="M207" s="162">
        <f t="shared" si="189"/>
        <v>1</v>
      </c>
      <c r="N207" s="162">
        <f t="shared" si="190"/>
        <v>5.4864</v>
      </c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5">
        <v>6.0</v>
      </c>
      <c r="B208" s="218" t="s">
        <v>109</v>
      </c>
      <c r="C208" s="218">
        <v>75.0</v>
      </c>
      <c r="D208" s="218">
        <v>216.0</v>
      </c>
      <c r="E208" s="218">
        <v>184.0</v>
      </c>
      <c r="F208" s="218">
        <f t="shared" si="185"/>
        <v>0.2</v>
      </c>
      <c r="G208" s="218">
        <f t="shared" si="186"/>
        <v>0</v>
      </c>
      <c r="H208" s="219">
        <f t="shared" si="187"/>
        <v>0</v>
      </c>
      <c r="I208" s="218">
        <v>1.0</v>
      </c>
      <c r="J208" s="195">
        <v>65.5776</v>
      </c>
      <c r="K208" s="139"/>
      <c r="L208" s="139">
        <f t="shared" si="188"/>
        <v>5.4864</v>
      </c>
      <c r="M208" s="221"/>
      <c r="N208" s="221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5">
        <v>7.0</v>
      </c>
      <c r="B209" s="218" t="s">
        <v>94</v>
      </c>
      <c r="C209" s="218">
        <v>82.0</v>
      </c>
      <c r="D209" s="218">
        <v>218.0</v>
      </c>
      <c r="E209" s="218">
        <v>167.0</v>
      </c>
      <c r="F209" s="218">
        <f t="shared" si="185"/>
        <v>0.2</v>
      </c>
      <c r="G209" s="218">
        <f t="shared" si="186"/>
        <v>0</v>
      </c>
      <c r="H209" s="219">
        <f t="shared" si="187"/>
        <v>0</v>
      </c>
      <c r="I209" s="218">
        <v>1.0</v>
      </c>
      <c r="J209" s="195">
        <v>89.55876</v>
      </c>
      <c r="K209" s="139"/>
      <c r="L209" s="139">
        <f t="shared" si="188"/>
        <v>5.5372</v>
      </c>
      <c r="M209" s="221"/>
      <c r="N209" s="221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/>
      <c r="B210" s="197"/>
      <c r="C210" s="197"/>
      <c r="D210" s="197"/>
      <c r="E210" s="197"/>
      <c r="F210" s="197"/>
      <c r="G210" s="197"/>
      <c r="H210" s="222" t="s">
        <v>38</v>
      </c>
      <c r="I210" s="197"/>
      <c r="J210" s="223">
        <f>SUM(J203:J209)</f>
        <v>610.334472</v>
      </c>
      <c r="K210" s="139"/>
      <c r="L210" s="139"/>
      <c r="M210" s="139"/>
      <c r="N210" s="139"/>
      <c r="O210" s="139"/>
      <c r="P210" s="139"/>
      <c r="Q210" s="139"/>
      <c r="R210" s="141"/>
      <c r="S210" s="224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18.75" customHeight="1">
      <c r="A211" s="176"/>
      <c r="B211" s="144"/>
      <c r="C211" s="144"/>
      <c r="D211" s="144"/>
      <c r="E211" s="144"/>
      <c r="F211" s="144"/>
      <c r="G211" s="144"/>
      <c r="H211" s="145"/>
      <c r="I211" s="144"/>
      <c r="J211" s="177"/>
      <c r="K211" s="139"/>
      <c r="L211" s="139"/>
      <c r="M211" s="139"/>
      <c r="N211" s="139"/>
      <c r="O211" s="139"/>
      <c r="P211" s="139"/>
      <c r="Q211" s="139"/>
      <c r="R211" s="141"/>
      <c r="S211" s="224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41"/>
      <c r="S212" s="22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7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224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39" t="s">
        <v>39</v>
      </c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224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224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42.0" customHeight="1">
      <c r="A216" s="178"/>
      <c r="B216" s="162" t="s">
        <v>12</v>
      </c>
      <c r="C216" s="179" t="s">
        <v>75</v>
      </c>
      <c r="D216" s="52"/>
      <c r="E216" s="53"/>
      <c r="F216" s="225"/>
      <c r="G216" s="225"/>
      <c r="H216" s="181" t="s">
        <v>14</v>
      </c>
      <c r="I216" s="226" t="s">
        <v>15</v>
      </c>
      <c r="J216" s="162" t="s">
        <v>16</v>
      </c>
      <c r="K216" s="139"/>
      <c r="L216" s="139"/>
      <c r="M216" s="139"/>
      <c r="N216" s="139"/>
      <c r="O216" s="139"/>
      <c r="P216" s="139"/>
      <c r="Q216" s="139"/>
      <c r="R216" s="224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customHeight="1">
      <c r="A217" s="162">
        <v>1.0</v>
      </c>
      <c r="B217" s="183" t="s">
        <v>55</v>
      </c>
      <c r="C217" s="200"/>
      <c r="D217" s="200"/>
      <c r="E217" s="200"/>
      <c r="F217" s="200"/>
      <c r="G217" s="200"/>
      <c r="H217" s="227">
        <v>58.0</v>
      </c>
      <c r="I217" s="200">
        <v>1.0</v>
      </c>
      <c r="J217" s="195">
        <f t="shared" ref="J217:J245" si="191">+I217*H217</f>
        <v>58</v>
      </c>
      <c r="K217" s="178"/>
      <c r="L217" s="178"/>
      <c r="M217" s="178"/>
      <c r="N217" s="178"/>
      <c r="O217" s="178"/>
      <c r="P217" s="178"/>
      <c r="Q217" s="228"/>
      <c r="R217" s="224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customHeight="1">
      <c r="A218" s="162">
        <v>2.0</v>
      </c>
      <c r="B218" s="193" t="s">
        <v>55</v>
      </c>
      <c r="C218" s="200"/>
      <c r="D218" s="200"/>
      <c r="E218" s="200"/>
      <c r="F218" s="200"/>
      <c r="G218" s="200"/>
      <c r="H218" s="227">
        <v>24.0</v>
      </c>
      <c r="I218" s="200">
        <v>1.0</v>
      </c>
      <c r="J218" s="195">
        <f t="shared" si="191"/>
        <v>24</v>
      </c>
      <c r="K218" s="178"/>
      <c r="L218" s="178"/>
      <c r="M218" s="178"/>
      <c r="N218" s="178"/>
      <c r="O218" s="178"/>
      <c r="P218" s="178"/>
      <c r="Q218" s="228"/>
      <c r="R218" s="224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customHeight="1">
      <c r="A219" s="162">
        <v>3.0</v>
      </c>
      <c r="B219" s="183" t="s">
        <v>55</v>
      </c>
      <c r="C219" s="200"/>
      <c r="D219" s="200"/>
      <c r="E219" s="200"/>
      <c r="F219" s="200"/>
      <c r="G219" s="200"/>
      <c r="H219" s="227">
        <v>33.0</v>
      </c>
      <c r="I219" s="200">
        <v>1.0</v>
      </c>
      <c r="J219" s="195">
        <f t="shared" si="191"/>
        <v>33</v>
      </c>
      <c r="K219" s="178"/>
      <c r="L219" s="178"/>
      <c r="M219" s="178"/>
      <c r="N219" s="178"/>
      <c r="O219" s="178"/>
      <c r="P219" s="178"/>
      <c r="Q219" s="228"/>
      <c r="R219" s="224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2">
        <v>4.0</v>
      </c>
      <c r="B220" s="193" t="s">
        <v>55</v>
      </c>
      <c r="C220" s="200"/>
      <c r="D220" s="200"/>
      <c r="E220" s="200"/>
      <c r="F220" s="200"/>
      <c r="G220" s="200"/>
      <c r="H220" s="227">
        <v>23.0</v>
      </c>
      <c r="I220" s="200">
        <v>1.0</v>
      </c>
      <c r="J220" s="195">
        <f t="shared" si="191"/>
        <v>23</v>
      </c>
      <c r="K220" s="178"/>
      <c r="L220" s="178"/>
      <c r="M220" s="178"/>
      <c r="N220" s="178"/>
      <c r="O220" s="178"/>
      <c r="P220" s="178"/>
      <c r="Q220" s="228"/>
      <c r="R220" s="224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2">
        <v>5.0</v>
      </c>
      <c r="B221" s="183" t="s">
        <v>55</v>
      </c>
      <c r="C221" s="200"/>
      <c r="D221" s="200"/>
      <c r="E221" s="200"/>
      <c r="F221" s="200"/>
      <c r="G221" s="200"/>
      <c r="H221" s="227">
        <v>31.0</v>
      </c>
      <c r="I221" s="200">
        <v>1.0</v>
      </c>
      <c r="J221" s="195">
        <f t="shared" si="191"/>
        <v>31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2">
        <v>6.0</v>
      </c>
      <c r="B222" s="193" t="s">
        <v>55</v>
      </c>
      <c r="C222" s="200"/>
      <c r="D222" s="200"/>
      <c r="E222" s="200"/>
      <c r="F222" s="200"/>
      <c r="G222" s="200"/>
      <c r="H222" s="227">
        <v>26.0</v>
      </c>
      <c r="I222" s="200">
        <v>1.0</v>
      </c>
      <c r="J222" s="195">
        <f t="shared" si="191"/>
        <v>26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2">
        <v>7.0</v>
      </c>
      <c r="B223" s="183" t="s">
        <v>78</v>
      </c>
      <c r="C223" s="200"/>
      <c r="D223" s="200"/>
      <c r="E223" s="200"/>
      <c r="F223" s="200"/>
      <c r="G223" s="200"/>
      <c r="H223" s="227">
        <v>23.0</v>
      </c>
      <c r="I223" s="200">
        <v>1.0</v>
      </c>
      <c r="J223" s="195">
        <f t="shared" si="191"/>
        <v>23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2">
        <v>8.0</v>
      </c>
      <c r="B224" s="193" t="s">
        <v>78</v>
      </c>
      <c r="C224" s="200"/>
      <c r="D224" s="200"/>
      <c r="E224" s="200"/>
      <c r="F224" s="200"/>
      <c r="G224" s="200"/>
      <c r="H224" s="227">
        <v>14.0</v>
      </c>
      <c r="I224" s="200">
        <v>1.0</v>
      </c>
      <c r="J224" s="195">
        <f t="shared" si="191"/>
        <v>14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2">
        <v>9.0</v>
      </c>
      <c r="B225" s="183" t="s">
        <v>80</v>
      </c>
      <c r="C225" s="200"/>
      <c r="D225" s="200"/>
      <c r="E225" s="200"/>
      <c r="F225" s="200"/>
      <c r="G225" s="200"/>
      <c r="H225" s="227">
        <v>56.0</v>
      </c>
      <c r="I225" s="200">
        <v>1.0</v>
      </c>
      <c r="J225" s="195">
        <f t="shared" si="191"/>
        <v>56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2">
        <v>10.0</v>
      </c>
      <c r="B226" s="193" t="s">
        <v>80</v>
      </c>
      <c r="C226" s="200"/>
      <c r="D226" s="200"/>
      <c r="E226" s="200"/>
      <c r="F226" s="200"/>
      <c r="G226" s="200"/>
      <c r="H226" s="227">
        <v>15.0</v>
      </c>
      <c r="I226" s="200">
        <v>1.0</v>
      </c>
      <c r="J226" s="195">
        <f t="shared" si="191"/>
        <v>15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2">
        <v>11.0</v>
      </c>
      <c r="B227" s="183" t="s">
        <v>105</v>
      </c>
      <c r="C227" s="200"/>
      <c r="D227" s="200"/>
      <c r="E227" s="200"/>
      <c r="F227" s="200"/>
      <c r="G227" s="200"/>
      <c r="H227" s="227">
        <v>20.0</v>
      </c>
      <c r="I227" s="200">
        <v>1.0</v>
      </c>
      <c r="J227" s="195">
        <f t="shared" si="191"/>
        <v>20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2">
        <v>12.0</v>
      </c>
      <c r="B228" s="193" t="s">
        <v>105</v>
      </c>
      <c r="C228" s="200"/>
      <c r="D228" s="200"/>
      <c r="E228" s="200"/>
      <c r="F228" s="200"/>
      <c r="G228" s="200"/>
      <c r="H228" s="227">
        <v>22.0</v>
      </c>
      <c r="I228" s="200">
        <v>1.0</v>
      </c>
      <c r="J228" s="195">
        <f t="shared" si="191"/>
        <v>22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2">
        <v>13.0</v>
      </c>
      <c r="B229" s="183" t="s">
        <v>57</v>
      </c>
      <c r="C229" s="200"/>
      <c r="D229" s="200"/>
      <c r="E229" s="200"/>
      <c r="F229" s="200"/>
      <c r="G229" s="200"/>
      <c r="H229" s="227">
        <v>36.0</v>
      </c>
      <c r="I229" s="200">
        <v>1.0</v>
      </c>
      <c r="J229" s="195">
        <f t="shared" si="191"/>
        <v>36</v>
      </c>
      <c r="K229" s="178"/>
      <c r="L229" s="178"/>
      <c r="M229" s="178"/>
      <c r="N229" s="178"/>
      <c r="O229" s="178"/>
      <c r="P229" s="178"/>
      <c r="Q229" s="228"/>
      <c r="R229" s="224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2">
        <v>14.0</v>
      </c>
      <c r="B230" s="193" t="s">
        <v>57</v>
      </c>
      <c r="C230" s="200"/>
      <c r="D230" s="200"/>
      <c r="E230" s="200"/>
      <c r="F230" s="200"/>
      <c r="G230" s="200"/>
      <c r="H230" s="227">
        <v>26.0</v>
      </c>
      <c r="I230" s="200">
        <v>1.0</v>
      </c>
      <c r="J230" s="195">
        <f t="shared" si="191"/>
        <v>26</v>
      </c>
      <c r="K230" s="178"/>
      <c r="L230" s="178"/>
      <c r="M230" s="178"/>
      <c r="N230" s="178"/>
      <c r="O230" s="178"/>
      <c r="P230" s="178"/>
      <c r="Q230" s="228"/>
      <c r="R230" s="224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2">
        <v>21.0</v>
      </c>
      <c r="B231" s="229"/>
      <c r="C231" s="200"/>
      <c r="D231" s="200"/>
      <c r="E231" s="200"/>
      <c r="F231" s="200"/>
      <c r="G231" s="200"/>
      <c r="H231" s="227"/>
      <c r="I231" s="200"/>
      <c r="J231" s="195">
        <f t="shared" si="191"/>
        <v>0</v>
      </c>
      <c r="K231" s="178"/>
      <c r="L231" s="178"/>
      <c r="M231" s="178"/>
      <c r="N231" s="178"/>
      <c r="O231" s="178"/>
      <c r="P231" s="178"/>
      <c r="Q231" s="228"/>
      <c r="R231" s="224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2">
        <v>22.0</v>
      </c>
      <c r="B232" s="229"/>
      <c r="C232" s="200"/>
      <c r="D232" s="200"/>
      <c r="E232" s="200"/>
      <c r="F232" s="200"/>
      <c r="G232" s="200"/>
      <c r="H232" s="227"/>
      <c r="I232" s="200"/>
      <c r="J232" s="195">
        <f t="shared" si="191"/>
        <v>0</v>
      </c>
      <c r="K232" s="178"/>
      <c r="L232" s="178"/>
      <c r="M232" s="178"/>
      <c r="N232" s="178"/>
      <c r="O232" s="178"/>
      <c r="P232" s="178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hidden="1" customHeight="1">
      <c r="A233" s="162">
        <v>23.0</v>
      </c>
      <c r="B233" s="229"/>
      <c r="C233" s="200"/>
      <c r="D233" s="200"/>
      <c r="E233" s="200"/>
      <c r="F233" s="200"/>
      <c r="G233" s="200"/>
      <c r="H233" s="227"/>
      <c r="I233" s="200"/>
      <c r="J233" s="195">
        <f t="shared" si="191"/>
        <v>0</v>
      </c>
      <c r="K233" s="178"/>
      <c r="L233" s="178"/>
      <c r="M233" s="178"/>
      <c r="N233" s="178"/>
      <c r="O233" s="178"/>
      <c r="P233" s="178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hidden="1" customHeight="1">
      <c r="A234" s="162">
        <v>24.0</v>
      </c>
      <c r="B234" s="229"/>
      <c r="C234" s="200"/>
      <c r="D234" s="200"/>
      <c r="E234" s="200"/>
      <c r="F234" s="200"/>
      <c r="G234" s="200"/>
      <c r="H234" s="227"/>
      <c r="I234" s="200"/>
      <c r="J234" s="195">
        <f t="shared" si="191"/>
        <v>0</v>
      </c>
      <c r="K234" s="178"/>
      <c r="L234" s="178"/>
      <c r="M234" s="178"/>
      <c r="N234" s="178"/>
      <c r="O234" s="178"/>
      <c r="P234" s="178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hidden="1" customHeight="1">
      <c r="A235" s="162">
        <v>25.0</v>
      </c>
      <c r="B235" s="229"/>
      <c r="C235" s="200"/>
      <c r="D235" s="200"/>
      <c r="E235" s="200"/>
      <c r="F235" s="200"/>
      <c r="G235" s="200"/>
      <c r="H235" s="227"/>
      <c r="I235" s="200"/>
      <c r="J235" s="195">
        <f t="shared" si="191"/>
        <v>0</v>
      </c>
      <c r="K235" s="178"/>
      <c r="L235" s="178"/>
      <c r="M235" s="178"/>
      <c r="N235" s="178"/>
      <c r="O235" s="178"/>
      <c r="P235" s="178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2">
        <v>26.0</v>
      </c>
      <c r="B236" s="229"/>
      <c r="C236" s="200"/>
      <c r="D236" s="200"/>
      <c r="E236" s="200"/>
      <c r="F236" s="200"/>
      <c r="G236" s="200"/>
      <c r="H236" s="227"/>
      <c r="I236" s="200"/>
      <c r="J236" s="195">
        <f t="shared" si="191"/>
        <v>0</v>
      </c>
      <c r="K236" s="178"/>
      <c r="L236" s="178"/>
      <c r="M236" s="178"/>
      <c r="N236" s="178"/>
      <c r="O236" s="178"/>
      <c r="P236" s="178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2">
        <v>27.0</v>
      </c>
      <c r="B237" s="229"/>
      <c r="C237" s="200"/>
      <c r="D237" s="200"/>
      <c r="E237" s="200"/>
      <c r="F237" s="200"/>
      <c r="G237" s="200"/>
      <c r="H237" s="200"/>
      <c r="I237" s="200"/>
      <c r="J237" s="195">
        <f t="shared" si="191"/>
        <v>0</v>
      </c>
      <c r="K237" s="178"/>
      <c r="L237" s="178"/>
      <c r="M237" s="178"/>
      <c r="N237" s="178"/>
      <c r="O237" s="178"/>
      <c r="P237" s="178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2">
        <v>28.0</v>
      </c>
      <c r="B238" s="229"/>
      <c r="C238" s="200"/>
      <c r="D238" s="200"/>
      <c r="E238" s="200"/>
      <c r="F238" s="200"/>
      <c r="G238" s="200"/>
      <c r="H238" s="200"/>
      <c r="I238" s="200"/>
      <c r="J238" s="195">
        <f t="shared" si="191"/>
        <v>0</v>
      </c>
      <c r="K238" s="178"/>
      <c r="L238" s="178"/>
      <c r="M238" s="178"/>
      <c r="N238" s="178"/>
      <c r="O238" s="178"/>
      <c r="P238" s="178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2">
        <v>29.0</v>
      </c>
      <c r="B239" s="230"/>
      <c r="C239" s="200"/>
      <c r="D239" s="200"/>
      <c r="E239" s="200"/>
      <c r="F239" s="200"/>
      <c r="G239" s="200"/>
      <c r="H239" s="200"/>
      <c r="I239" s="200"/>
      <c r="J239" s="195">
        <f t="shared" si="191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2">
        <v>30.0</v>
      </c>
      <c r="B240" s="230"/>
      <c r="C240" s="200"/>
      <c r="D240" s="200"/>
      <c r="E240" s="200"/>
      <c r="F240" s="200"/>
      <c r="G240" s="200"/>
      <c r="H240" s="227"/>
      <c r="I240" s="200"/>
      <c r="J240" s="195">
        <f t="shared" si="191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2">
        <v>31.0</v>
      </c>
      <c r="B241" s="218"/>
      <c r="C241" s="200"/>
      <c r="D241" s="200"/>
      <c r="E241" s="200"/>
      <c r="F241" s="200"/>
      <c r="G241" s="200"/>
      <c r="H241" s="227"/>
      <c r="I241" s="200"/>
      <c r="J241" s="195">
        <f t="shared" si="191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2">
        <v>32.0</v>
      </c>
      <c r="B242" s="218"/>
      <c r="C242" s="162"/>
      <c r="D242" s="162"/>
      <c r="E242" s="162"/>
      <c r="F242" s="162"/>
      <c r="G242" s="162"/>
      <c r="H242" s="162"/>
      <c r="I242" s="162"/>
      <c r="J242" s="195">
        <f t="shared" si="191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2">
        <v>33.0</v>
      </c>
      <c r="B243" s="230"/>
      <c r="C243" s="162"/>
      <c r="D243" s="162"/>
      <c r="E243" s="162"/>
      <c r="F243" s="162"/>
      <c r="G243" s="162"/>
      <c r="H243" s="162"/>
      <c r="I243" s="162"/>
      <c r="J243" s="195">
        <f t="shared" si="191"/>
        <v>0</v>
      </c>
      <c r="K243" s="178"/>
      <c r="L243" s="178"/>
      <c r="M243" s="178"/>
      <c r="N243" s="178"/>
      <c r="O243" s="178"/>
      <c r="P243" s="178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2">
        <v>34.0</v>
      </c>
      <c r="B244" s="231"/>
      <c r="C244" s="162"/>
      <c r="D244" s="162"/>
      <c r="E244" s="162"/>
      <c r="F244" s="162"/>
      <c r="G244" s="162"/>
      <c r="H244" s="162"/>
      <c r="I244" s="162"/>
      <c r="J244" s="195">
        <f t="shared" si="191"/>
        <v>0</v>
      </c>
      <c r="K244" s="178"/>
      <c r="L244" s="178"/>
      <c r="M244" s="178"/>
      <c r="N244" s="178"/>
      <c r="O244" s="178"/>
      <c r="P244" s="178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2">
        <v>35.0</v>
      </c>
      <c r="B245" s="232"/>
      <c r="C245" s="162"/>
      <c r="D245" s="162"/>
      <c r="E245" s="162"/>
      <c r="F245" s="162"/>
      <c r="G245" s="162"/>
      <c r="H245" s="162"/>
      <c r="I245" s="162"/>
      <c r="J245" s="195">
        <f t="shared" si="191"/>
        <v>0</v>
      </c>
      <c r="K245" s="178"/>
      <c r="L245" s="178"/>
      <c r="M245" s="178"/>
      <c r="N245" s="178"/>
      <c r="O245" s="178"/>
      <c r="P245" s="178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 t="s">
        <v>38</v>
      </c>
      <c r="I246" s="139"/>
      <c r="J246" s="233">
        <f>SUM(J217:J245)</f>
        <v>407</v>
      </c>
      <c r="K246" s="234"/>
      <c r="L246" s="234"/>
      <c r="M246" s="234"/>
      <c r="N246" s="234"/>
      <c r="O246" s="234"/>
      <c r="P246" s="234"/>
      <c r="Q246" s="234"/>
      <c r="R246" s="139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44"/>
      <c r="B247" s="144"/>
      <c r="C247" s="144"/>
      <c r="D247" s="144"/>
      <c r="E247" s="144"/>
      <c r="F247" s="144"/>
      <c r="G247" s="144"/>
      <c r="H247" s="145"/>
      <c r="I247" s="175"/>
      <c r="J247" s="206">
        <f>+J246*60%</f>
        <v>244.2</v>
      </c>
      <c r="K247" s="206"/>
      <c r="L247" s="206"/>
      <c r="M247" s="206"/>
      <c r="N247" s="206"/>
      <c r="O247" s="206"/>
      <c r="P247" s="206"/>
      <c r="Q247" s="206">
        <f>+J246*40%</f>
        <v>162.8</v>
      </c>
      <c r="R247" s="139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39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39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9.5" customHeight="1">
      <c r="A250" s="235" t="s">
        <v>41</v>
      </c>
      <c r="B250" s="139"/>
      <c r="C250" s="139"/>
      <c r="D250" s="139"/>
      <c r="E250" s="139"/>
      <c r="F250" s="139"/>
      <c r="G250" s="139"/>
      <c r="H250" s="140"/>
      <c r="I250" s="139"/>
      <c r="J250" s="139"/>
      <c r="K250" s="139"/>
      <c r="L250" s="139"/>
      <c r="M250" s="139"/>
      <c r="N250" s="139"/>
      <c r="O250" s="139"/>
      <c r="P250" s="139"/>
      <c r="Q250" s="139"/>
      <c r="R250" s="139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57.0" customHeight="1">
      <c r="A251" s="236"/>
      <c r="B251" s="237" t="s">
        <v>42</v>
      </c>
      <c r="C251" s="237" t="s">
        <v>43</v>
      </c>
      <c r="D251" s="237" t="s">
        <v>44</v>
      </c>
      <c r="E251" s="237" t="s">
        <v>45</v>
      </c>
      <c r="F251" s="237"/>
      <c r="G251" s="237"/>
      <c r="H251" s="238" t="s">
        <v>46</v>
      </c>
      <c r="I251" s="239" t="s">
        <v>47</v>
      </c>
      <c r="J251" s="139"/>
      <c r="K251" s="139"/>
      <c r="L251" s="139"/>
      <c r="M251" s="139"/>
      <c r="N251" s="139"/>
      <c r="O251" s="139"/>
      <c r="P251" s="139"/>
      <c r="Q251" s="139"/>
      <c r="R251" s="141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240" t="s">
        <v>48</v>
      </c>
      <c r="B252" s="241">
        <f>+E22</f>
        <v>46525.2376</v>
      </c>
      <c r="C252" s="242">
        <f>+J196</f>
        <v>42822.04164</v>
      </c>
      <c r="D252" s="242">
        <f>+J210</f>
        <v>610.334472</v>
      </c>
      <c r="E252" s="243">
        <f>J247</f>
        <v>244.2</v>
      </c>
      <c r="F252" s="243"/>
      <c r="G252" s="243"/>
      <c r="H252" s="244">
        <f>+I22</f>
        <v>1480.120358</v>
      </c>
      <c r="I252" s="245">
        <f>+B252-C252-D252-E252-H252</f>
        <v>1368.541131</v>
      </c>
      <c r="J252" s="139"/>
      <c r="K252" s="139"/>
      <c r="L252" s="139"/>
      <c r="M252" s="139"/>
      <c r="N252" s="139"/>
      <c r="O252" s="139"/>
      <c r="P252" s="139"/>
      <c r="Q252" s="139"/>
      <c r="R252" s="141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9.5" customHeight="1">
      <c r="A253" s="246" t="s">
        <v>49</v>
      </c>
      <c r="B253" s="247"/>
      <c r="C253" s="248">
        <f>+C252/B252</f>
        <v>0.9204045771</v>
      </c>
      <c r="D253" s="248">
        <f>+D252/B252</f>
        <v>0.01311835261</v>
      </c>
      <c r="E253" s="248">
        <f>+E252/B252</f>
        <v>0.005248764168</v>
      </c>
      <c r="F253" s="248"/>
      <c r="G253" s="248"/>
      <c r="H253" s="249">
        <f>+H252/B252</f>
        <v>0.03181327886</v>
      </c>
      <c r="I253" s="250">
        <f>+I252/B252</f>
        <v>0.02941502722</v>
      </c>
      <c r="J253" s="139"/>
      <c r="K253" s="139"/>
      <c r="L253" s="139"/>
      <c r="M253" s="139"/>
      <c r="N253" s="139"/>
      <c r="O253" s="139"/>
      <c r="P253" s="139"/>
      <c r="Q253" s="139"/>
      <c r="R253" s="141"/>
      <c r="S253" s="224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9.5" customHeight="1">
      <c r="A254" s="165"/>
      <c r="B254" s="221"/>
      <c r="C254" s="251"/>
      <c r="D254" s="251"/>
      <c r="E254" s="251"/>
      <c r="F254" s="251"/>
      <c r="G254" s="251"/>
      <c r="H254" s="252"/>
      <c r="I254" s="253"/>
      <c r="J254" s="139"/>
      <c r="K254" s="139"/>
      <c r="L254" s="139"/>
      <c r="M254" s="139"/>
      <c r="N254" s="139"/>
      <c r="O254" s="139"/>
      <c r="P254" s="139"/>
      <c r="Q254" s="139"/>
      <c r="R254" s="141"/>
      <c r="S254" s="224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254"/>
      <c r="B255" s="255"/>
      <c r="C255" s="255"/>
      <c r="D255" s="255" t="s">
        <v>50</v>
      </c>
      <c r="E255" s="255" t="s">
        <v>48</v>
      </c>
      <c r="F255" s="255"/>
      <c r="G255" s="255"/>
      <c r="H255" s="256">
        <f>+D252+E252+H252+I252</f>
        <v>3703.19596</v>
      </c>
      <c r="I255" s="257"/>
      <c r="J255" s="139"/>
      <c r="K255" s="139"/>
      <c r="L255" s="139"/>
      <c r="M255" s="139"/>
      <c r="N255" s="139"/>
      <c r="O255" s="139"/>
      <c r="P255" s="139"/>
      <c r="Q255" s="139"/>
      <c r="R255" s="141"/>
      <c r="S255" s="140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258"/>
      <c r="B256" s="139"/>
      <c r="C256" s="139"/>
      <c r="D256" s="139"/>
      <c r="E256" s="139" t="s">
        <v>49</v>
      </c>
      <c r="F256" s="139"/>
      <c r="G256" s="139"/>
      <c r="H256" s="252">
        <f>+H255/B252</f>
        <v>0.07959542286</v>
      </c>
      <c r="I256" s="259"/>
      <c r="J256" s="139"/>
      <c r="K256" s="139"/>
      <c r="L256" s="139"/>
      <c r="M256" s="139"/>
      <c r="N256" s="139"/>
      <c r="O256" s="139"/>
      <c r="P256" s="139"/>
      <c r="Q256" s="139"/>
      <c r="R256" s="141"/>
      <c r="S256" s="140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258"/>
      <c r="B257" s="139"/>
      <c r="C257" s="139" t="s">
        <v>51</v>
      </c>
      <c r="D257" s="139"/>
      <c r="E257" s="139"/>
      <c r="F257" s="139"/>
      <c r="G257" s="139"/>
      <c r="H257" s="140"/>
      <c r="I257" s="259"/>
      <c r="J257" s="139"/>
      <c r="K257" s="139"/>
      <c r="L257" s="139"/>
      <c r="M257" s="139"/>
      <c r="N257" s="139"/>
      <c r="O257" s="139"/>
      <c r="P257" s="139"/>
      <c r="Q257" s="139"/>
      <c r="R257" s="141"/>
      <c r="S257" s="140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258"/>
      <c r="B258" s="139"/>
      <c r="C258" s="139"/>
      <c r="D258" s="139" t="s">
        <v>52</v>
      </c>
      <c r="E258" s="139"/>
      <c r="F258" s="139"/>
      <c r="G258" s="139"/>
      <c r="H258" s="140">
        <f>+H257*(H255-H252)</f>
        <v>0</v>
      </c>
      <c r="I258" s="259"/>
      <c r="J258" s="139"/>
      <c r="K258" s="139"/>
      <c r="L258" s="139"/>
      <c r="M258" s="139"/>
      <c r="N258" s="139"/>
      <c r="O258" s="139"/>
      <c r="P258" s="139"/>
      <c r="Q258" s="139"/>
      <c r="R258" s="141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9.5" customHeight="1">
      <c r="A259" s="260"/>
      <c r="B259" s="261"/>
      <c r="C259" s="261"/>
      <c r="D259" s="261"/>
      <c r="E259" s="261"/>
      <c r="F259" s="261"/>
      <c r="G259" s="261"/>
      <c r="H259" s="262"/>
      <c r="I259" s="263"/>
      <c r="J259" s="139"/>
      <c r="K259" s="139"/>
      <c r="L259" s="139"/>
      <c r="M259" s="139"/>
      <c r="N259" s="139"/>
      <c r="O259" s="139"/>
      <c r="P259" s="139"/>
      <c r="Q259" s="139"/>
      <c r="R259" s="141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139"/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41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139"/>
      <c r="B261" s="139"/>
      <c r="C261" s="139"/>
      <c r="D261" s="139"/>
      <c r="E261" s="139"/>
      <c r="F261" s="139"/>
      <c r="G261" s="139"/>
      <c r="H261" s="140"/>
      <c r="I261" s="139"/>
      <c r="J261" s="139"/>
      <c r="K261" s="139"/>
      <c r="L261" s="139"/>
      <c r="M261" s="139"/>
      <c r="N261" s="139"/>
      <c r="O261" s="139"/>
      <c r="P261" s="139"/>
      <c r="Q261" s="139"/>
      <c r="R261" s="141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139"/>
      <c r="B262" s="285"/>
      <c r="C262" s="285"/>
      <c r="D262" s="285"/>
      <c r="E262" s="285"/>
      <c r="F262" s="285"/>
      <c r="G262" s="285"/>
      <c r="H262" s="285"/>
      <c r="I262" s="286"/>
      <c r="J262" s="139"/>
      <c r="K262" s="139"/>
      <c r="L262" s="139"/>
      <c r="M262" s="139"/>
      <c r="N262" s="139"/>
      <c r="O262" s="139"/>
      <c r="P262" s="139"/>
      <c r="Q262" s="139"/>
      <c r="R262" s="141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7"/>
      <c r="B263" s="162"/>
      <c r="C263" s="287"/>
      <c r="D263" s="287"/>
      <c r="E263" s="287"/>
      <c r="F263" s="287"/>
      <c r="G263" s="287"/>
      <c r="H263" s="287"/>
      <c r="I263" s="288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75" customHeight="1">
      <c r="A264" s="7"/>
      <c r="B264" s="162"/>
      <c r="C264" s="287"/>
      <c r="D264" s="287"/>
      <c r="E264" s="287"/>
      <c r="F264" s="287"/>
      <c r="G264" s="287"/>
      <c r="H264" s="287"/>
      <c r="I264" s="288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75" customHeight="1">
      <c r="A265" s="7"/>
      <c r="B265" s="162"/>
      <c r="C265" s="287"/>
      <c r="D265" s="287"/>
      <c r="E265" s="287"/>
      <c r="F265" s="287"/>
      <c r="G265" s="287"/>
      <c r="H265" s="287"/>
      <c r="I265" s="288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75" customHeight="1">
      <c r="A266" s="7"/>
      <c r="B266" s="162"/>
      <c r="C266" s="287"/>
      <c r="D266" s="287"/>
      <c r="E266" s="287"/>
      <c r="F266" s="287"/>
      <c r="G266" s="287"/>
      <c r="H266" s="287"/>
      <c r="I266" s="288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75" customHeight="1">
      <c r="A267" s="7"/>
      <c r="B267" s="162"/>
      <c r="C267" s="287"/>
      <c r="D267" s="287"/>
      <c r="E267" s="287"/>
      <c r="F267" s="287"/>
      <c r="G267" s="287"/>
      <c r="H267" s="287"/>
      <c r="I267" s="288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75" customHeight="1">
      <c r="A268" s="7"/>
      <c r="B268" s="289"/>
      <c r="C268" s="290"/>
      <c r="D268" s="290"/>
      <c r="E268" s="290"/>
      <c r="F268" s="290"/>
      <c r="G268" s="290"/>
      <c r="H268" s="290"/>
      <c r="I268" s="290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202:E202"/>
    <mergeCell ref="C216:E216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44541.0</v>
      </c>
      <c r="J4" s="139" t="str">
        <f>+B8&amp;"/"&amp;B9&amp;"/"&amp;B10&amp;"/"&amp;B11&amp;"/"&amp;B12&amp;"/"&amp;B13&amp;"/"&amp;B14&amp;"/"&amp;B15&amp;"/"&amp;B16</f>
        <v>D1650/D2050CC/D2470CC//////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+I211</f>
        <v>0.007668857173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59</v>
      </c>
      <c r="C8" s="155">
        <v>16.5</v>
      </c>
      <c r="D8" s="156">
        <v>0.1057</v>
      </c>
      <c r="E8" s="157">
        <f>178.495*19</f>
        <v>3391.405</v>
      </c>
      <c r="F8" s="157"/>
      <c r="G8" s="157"/>
      <c r="H8" s="158">
        <v>19.0</v>
      </c>
      <c r="I8" s="159">
        <f t="shared" ref="I8:I17" si="1">+D8*E8</f>
        <v>358.4715085</v>
      </c>
      <c r="J8" s="160">
        <f t="shared" ref="J8:J17" si="2">E8-I8</f>
        <v>3032.933492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91</v>
      </c>
      <c r="C9" s="155">
        <v>20.5</v>
      </c>
      <c r="D9" s="156">
        <v>0.0845</v>
      </c>
      <c r="E9" s="157">
        <f>223.161*13.7</f>
        <v>3057.3057</v>
      </c>
      <c r="F9" s="157"/>
      <c r="G9" s="157"/>
      <c r="H9" s="158">
        <v>13.7</v>
      </c>
      <c r="I9" s="159">
        <f t="shared" si="1"/>
        <v>258.3423317</v>
      </c>
      <c r="J9" s="160">
        <f t="shared" si="2"/>
        <v>2798.963368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119</v>
      </c>
      <c r="C10" s="155">
        <v>24.5</v>
      </c>
      <c r="D10" s="156">
        <v>0.0545</v>
      </c>
      <c r="E10" s="157">
        <f>235.87*21.5</f>
        <v>5071.205</v>
      </c>
      <c r="F10" s="157"/>
      <c r="G10" s="157"/>
      <c r="H10" s="158">
        <v>21.5</v>
      </c>
      <c r="I10" s="159">
        <f t="shared" si="1"/>
        <v>276.3806725</v>
      </c>
      <c r="J10" s="160">
        <f t="shared" si="2"/>
        <v>4794.824328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11.0</v>
      </c>
      <c r="B11" s="162"/>
      <c r="C11" s="162"/>
      <c r="D11" s="163"/>
      <c r="E11" s="164"/>
      <c r="F11" s="164"/>
      <c r="G11" s="164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12.0</v>
      </c>
      <c r="B12" s="162"/>
      <c r="C12" s="162"/>
      <c r="D12" s="163"/>
      <c r="E12" s="164"/>
      <c r="F12" s="164"/>
      <c r="G12" s="164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13.0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14.0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15.0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16.0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17.0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65"/>
      <c r="B18" s="166"/>
      <c r="C18" s="167"/>
      <c r="D18" s="168"/>
      <c r="E18" s="169">
        <f>SUM(E8:E17)</f>
        <v>11519.9157</v>
      </c>
      <c r="F18" s="170"/>
      <c r="G18" s="170"/>
      <c r="H18" s="171"/>
      <c r="I18" s="172">
        <f t="shared" ref="I18:J18" si="3">SUM(I8:I17)</f>
        <v>893.1945127</v>
      </c>
      <c r="J18" s="173">
        <f t="shared" si="3"/>
        <v>10626.72119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74"/>
      <c r="B19" s="144"/>
      <c r="C19" s="144"/>
      <c r="D19" s="175"/>
      <c r="E19" s="176"/>
      <c r="F19" s="151"/>
      <c r="G19" s="151"/>
      <c r="H19" s="147"/>
      <c r="I19" s="177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8"/>
      <c r="B24" s="162" t="s">
        <v>12</v>
      </c>
      <c r="C24" s="179" t="s">
        <v>60</v>
      </c>
      <c r="D24" s="52"/>
      <c r="E24" s="53"/>
      <c r="F24" s="180"/>
      <c r="G24" s="180"/>
      <c r="H24" s="181" t="s">
        <v>14</v>
      </c>
      <c r="I24" s="162" t="s">
        <v>15</v>
      </c>
      <c r="J24" s="162" t="s">
        <v>16</v>
      </c>
      <c r="K24" s="139"/>
      <c r="L24" s="162" t="s">
        <v>17</v>
      </c>
      <c r="M24" s="162" t="s">
        <v>15</v>
      </c>
      <c r="N24" s="178" t="s">
        <v>18</v>
      </c>
      <c r="O24" s="139"/>
      <c r="P24" s="139"/>
      <c r="Q24" s="178" t="s">
        <v>61</v>
      </c>
      <c r="R24" s="182"/>
      <c r="S24" s="162" t="s">
        <v>17</v>
      </c>
      <c r="T24" s="162" t="s">
        <v>15</v>
      </c>
      <c r="U24" s="178" t="s">
        <v>18</v>
      </c>
      <c r="V24" s="139"/>
      <c r="W24" s="178" t="s">
        <v>19</v>
      </c>
      <c r="X24" s="178" t="s">
        <v>20</v>
      </c>
      <c r="Y24" s="178" t="s">
        <v>21</v>
      </c>
      <c r="Z24" s="178" t="s">
        <v>136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2">
        <v>1.0</v>
      </c>
      <c r="B25" s="183" t="s">
        <v>67</v>
      </c>
      <c r="C25" s="184">
        <v>85.0</v>
      </c>
      <c r="D25" s="184">
        <v>191.0</v>
      </c>
      <c r="E25" s="184">
        <v>193.0</v>
      </c>
      <c r="F25" s="184">
        <f t="shared" ref="F25:F155" si="5">VALUE(IF(RIGHT(B25, 1)="%", RIGHT(B25, 3), 0))</f>
        <v>0.8</v>
      </c>
      <c r="G25" s="184">
        <f t="shared" ref="G25:G155" si="6">+R25*C25/100*D25/100*E25/100</f>
        <v>51.7003575</v>
      </c>
      <c r="H25" s="185">
        <f t="shared" ref="H25:H155" si="7">IF(F25=0, G25, F25*G25)</f>
        <v>41.360286</v>
      </c>
      <c r="I25" s="184">
        <v>1.0</v>
      </c>
      <c r="J25" s="186">
        <f t="shared" ref="J25:J155" si="8">+I25*H25</f>
        <v>41.360286</v>
      </c>
      <c r="K25" s="187"/>
      <c r="L25" s="188">
        <f>D25*25.4/1000</f>
        <v>4.8514</v>
      </c>
      <c r="M25" s="189">
        <f>+I25</f>
        <v>1</v>
      </c>
      <c r="N25" s="189">
        <f>M25*L25</f>
        <v>4.8514</v>
      </c>
      <c r="O25" s="187"/>
      <c r="P25" s="187"/>
      <c r="Q25" s="188">
        <v>54.0</v>
      </c>
      <c r="R25" s="190">
        <v>16.5</v>
      </c>
      <c r="S25" s="178">
        <f t="shared" ref="S25:S156" si="9">E25/100</f>
        <v>1.93</v>
      </c>
      <c r="T25" s="162">
        <f t="shared" ref="T25:T156" si="10">I25</f>
        <v>1</v>
      </c>
      <c r="U25" s="162">
        <f t="shared" ref="U25:U156" si="11">T25*S25</f>
        <v>1.93</v>
      </c>
      <c r="V25" s="191">
        <f t="shared" ref="V25:V38" si="12">R25*C25/100*D25/100*E25/100</f>
        <v>51.7003575</v>
      </c>
      <c r="W25" s="178">
        <f t="shared" ref="W25:X25" si="4">C25/100</f>
        <v>0.85</v>
      </c>
      <c r="X25" s="178">
        <f t="shared" si="4"/>
        <v>1.91</v>
      </c>
      <c r="Y25" s="178">
        <f t="shared" ref="Y25:Y156" si="14">U25</f>
        <v>1.93</v>
      </c>
      <c r="Z25" s="192">
        <f t="shared" ref="Z25:Z156" si="15">W25*X25*Y25</f>
        <v>3.133355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2">
        <v>2.0</v>
      </c>
      <c r="B26" s="193" t="s">
        <v>59</v>
      </c>
      <c r="C26" s="193">
        <v>105.0</v>
      </c>
      <c r="D26" s="193">
        <v>191.0</v>
      </c>
      <c r="E26" s="193">
        <v>192.0</v>
      </c>
      <c r="F26" s="193">
        <f t="shared" si="5"/>
        <v>0</v>
      </c>
      <c r="G26" s="193">
        <f t="shared" si="6"/>
        <v>63.53424</v>
      </c>
      <c r="H26" s="194">
        <f t="shared" si="7"/>
        <v>63.53424</v>
      </c>
      <c r="I26" s="193">
        <v>1.0</v>
      </c>
      <c r="J26" s="195">
        <f t="shared" si="8"/>
        <v>63.53424</v>
      </c>
      <c r="K26" s="139"/>
      <c r="L26" s="178"/>
      <c r="M26" s="162"/>
      <c r="N26" s="162"/>
      <c r="O26" s="139"/>
      <c r="P26" s="139"/>
      <c r="Q26" s="178">
        <v>61.0</v>
      </c>
      <c r="R26" s="190">
        <v>16.5</v>
      </c>
      <c r="S26" s="178">
        <f t="shared" si="9"/>
        <v>1.92</v>
      </c>
      <c r="T26" s="162">
        <f t="shared" si="10"/>
        <v>1</v>
      </c>
      <c r="U26" s="162">
        <f t="shared" si="11"/>
        <v>1.92</v>
      </c>
      <c r="V26" s="191">
        <f t="shared" si="12"/>
        <v>63.53424</v>
      </c>
      <c r="W26" s="178">
        <f t="shared" ref="W26:X26" si="13">C26/100</f>
        <v>1.05</v>
      </c>
      <c r="X26" s="178">
        <f t="shared" si="13"/>
        <v>1.91</v>
      </c>
      <c r="Y26" s="178">
        <f t="shared" si="14"/>
        <v>1.92</v>
      </c>
      <c r="Z26" s="192">
        <f t="shared" si="15"/>
        <v>3.85056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3.0</v>
      </c>
      <c r="B27" s="193" t="s">
        <v>59</v>
      </c>
      <c r="C27" s="193">
        <v>110.0</v>
      </c>
      <c r="D27" s="193">
        <v>191.0</v>
      </c>
      <c r="E27" s="193">
        <v>2860.0</v>
      </c>
      <c r="F27" s="193">
        <f t="shared" si="5"/>
        <v>0</v>
      </c>
      <c r="G27" s="193">
        <f t="shared" si="6"/>
        <v>991.4619</v>
      </c>
      <c r="H27" s="194">
        <f t="shared" si="7"/>
        <v>991.4619</v>
      </c>
      <c r="I27" s="193">
        <v>1.0</v>
      </c>
      <c r="J27" s="195">
        <f t="shared" si="8"/>
        <v>991.4619</v>
      </c>
      <c r="K27" s="139"/>
      <c r="L27" s="178">
        <f t="shared" ref="L27:L38" si="17">D27*25.4/1000</f>
        <v>4.8514</v>
      </c>
      <c r="M27" s="162">
        <f t="shared" ref="M27:M38" si="18">+I27</f>
        <v>1</v>
      </c>
      <c r="N27" s="162">
        <f t="shared" ref="N27:N38" si="19">M27*L27</f>
        <v>4.8514</v>
      </c>
      <c r="O27" s="139"/>
      <c r="P27" s="139"/>
      <c r="Q27" s="178">
        <v>960.0</v>
      </c>
      <c r="R27" s="190">
        <v>16.5</v>
      </c>
      <c r="S27" s="178">
        <f t="shared" si="9"/>
        <v>28.6</v>
      </c>
      <c r="T27" s="162">
        <f t="shared" si="10"/>
        <v>1</v>
      </c>
      <c r="U27" s="162">
        <f t="shared" si="11"/>
        <v>28.6</v>
      </c>
      <c r="V27" s="191">
        <f t="shared" si="12"/>
        <v>991.4619</v>
      </c>
      <c r="W27" s="178">
        <f t="shared" ref="W27:X27" si="16">C27/100</f>
        <v>1.1</v>
      </c>
      <c r="X27" s="178">
        <f t="shared" si="16"/>
        <v>1.91</v>
      </c>
      <c r="Y27" s="178">
        <f t="shared" si="14"/>
        <v>28.6</v>
      </c>
      <c r="Z27" s="192">
        <f t="shared" si="15"/>
        <v>60.0886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4.0</v>
      </c>
      <c r="B28" s="193" t="s">
        <v>59</v>
      </c>
      <c r="C28" s="193">
        <v>104.0</v>
      </c>
      <c r="D28" s="193">
        <v>191.0</v>
      </c>
      <c r="E28" s="193">
        <v>2853.0</v>
      </c>
      <c r="F28" s="193">
        <f t="shared" si="5"/>
        <v>0</v>
      </c>
      <c r="G28" s="193">
        <f t="shared" si="6"/>
        <v>935.087868</v>
      </c>
      <c r="H28" s="194">
        <f t="shared" si="7"/>
        <v>935.087868</v>
      </c>
      <c r="I28" s="193">
        <v>1.0</v>
      </c>
      <c r="J28" s="195">
        <f t="shared" si="8"/>
        <v>935.087868</v>
      </c>
      <c r="K28" s="139"/>
      <c r="L28" s="178">
        <f t="shared" si="17"/>
        <v>4.8514</v>
      </c>
      <c r="M28" s="162">
        <f t="shared" si="18"/>
        <v>1</v>
      </c>
      <c r="N28" s="162">
        <f t="shared" si="19"/>
        <v>4.8514</v>
      </c>
      <c r="O28" s="139"/>
      <c r="P28" s="139"/>
      <c r="Q28" s="178">
        <v>935.0</v>
      </c>
      <c r="R28" s="190">
        <v>16.5</v>
      </c>
      <c r="S28" s="178">
        <f t="shared" si="9"/>
        <v>28.53</v>
      </c>
      <c r="T28" s="162">
        <f t="shared" si="10"/>
        <v>1</v>
      </c>
      <c r="U28" s="162">
        <f t="shared" si="11"/>
        <v>28.53</v>
      </c>
      <c r="V28" s="191">
        <f t="shared" si="12"/>
        <v>935.087868</v>
      </c>
      <c r="W28" s="178">
        <f t="shared" ref="W28:X28" si="20">C28/100</f>
        <v>1.04</v>
      </c>
      <c r="X28" s="178">
        <f t="shared" si="20"/>
        <v>1.91</v>
      </c>
      <c r="Y28" s="178">
        <f t="shared" si="14"/>
        <v>28.53</v>
      </c>
      <c r="Z28" s="192">
        <f t="shared" si="15"/>
        <v>56.671992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5.0</v>
      </c>
      <c r="B29" s="193" t="s">
        <v>59</v>
      </c>
      <c r="C29" s="193">
        <v>107.0</v>
      </c>
      <c r="D29" s="193">
        <v>191.0</v>
      </c>
      <c r="E29" s="193">
        <v>2720.0</v>
      </c>
      <c r="F29" s="193">
        <f t="shared" si="5"/>
        <v>0</v>
      </c>
      <c r="G29" s="193">
        <f t="shared" si="6"/>
        <v>917.21256</v>
      </c>
      <c r="H29" s="194">
        <f t="shared" si="7"/>
        <v>917.21256</v>
      </c>
      <c r="I29" s="193">
        <v>1.0</v>
      </c>
      <c r="J29" s="195">
        <f t="shared" si="8"/>
        <v>917.21256</v>
      </c>
      <c r="K29" s="139"/>
      <c r="L29" s="178">
        <f t="shared" si="17"/>
        <v>4.8514</v>
      </c>
      <c r="M29" s="162">
        <f t="shared" si="18"/>
        <v>1</v>
      </c>
      <c r="N29" s="162">
        <f t="shared" si="19"/>
        <v>4.8514</v>
      </c>
      <c r="O29" s="139"/>
      <c r="P29" s="139"/>
      <c r="Q29" s="178">
        <v>910.0</v>
      </c>
      <c r="R29" s="190">
        <v>16.5</v>
      </c>
      <c r="S29" s="178">
        <f t="shared" si="9"/>
        <v>27.2</v>
      </c>
      <c r="T29" s="162">
        <f t="shared" si="10"/>
        <v>1</v>
      </c>
      <c r="U29" s="162">
        <f t="shared" si="11"/>
        <v>27.2</v>
      </c>
      <c r="V29" s="191">
        <f t="shared" si="12"/>
        <v>917.21256</v>
      </c>
      <c r="W29" s="178">
        <f t="shared" ref="W29:X29" si="21">C29/100</f>
        <v>1.07</v>
      </c>
      <c r="X29" s="178">
        <f t="shared" si="21"/>
        <v>1.91</v>
      </c>
      <c r="Y29" s="178">
        <f t="shared" si="14"/>
        <v>27.2</v>
      </c>
      <c r="Z29" s="192">
        <f t="shared" si="15"/>
        <v>55.58864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6.0</v>
      </c>
      <c r="B30" s="183" t="s">
        <v>97</v>
      </c>
      <c r="C30" s="184">
        <v>78.0</v>
      </c>
      <c r="D30" s="184">
        <v>205.0</v>
      </c>
      <c r="E30" s="184">
        <v>194.0</v>
      </c>
      <c r="F30" s="184">
        <f t="shared" si="5"/>
        <v>0.8</v>
      </c>
      <c r="G30" s="184">
        <f t="shared" si="6"/>
        <v>69.79635</v>
      </c>
      <c r="H30" s="185">
        <f t="shared" si="7"/>
        <v>55.83708</v>
      </c>
      <c r="I30" s="184">
        <v>1.0</v>
      </c>
      <c r="J30" s="186">
        <f t="shared" si="8"/>
        <v>55.83708</v>
      </c>
      <c r="K30" s="187"/>
      <c r="L30" s="188">
        <f t="shared" si="17"/>
        <v>5.207</v>
      </c>
      <c r="M30" s="189">
        <f t="shared" si="18"/>
        <v>1</v>
      </c>
      <c r="N30" s="189">
        <f t="shared" si="19"/>
        <v>5.207</v>
      </c>
      <c r="O30" s="187"/>
      <c r="P30" s="187"/>
      <c r="Q30" s="188">
        <v>74.0</v>
      </c>
      <c r="R30" s="190">
        <v>22.5</v>
      </c>
      <c r="S30" s="178">
        <f t="shared" si="9"/>
        <v>1.94</v>
      </c>
      <c r="T30" s="162">
        <f t="shared" si="10"/>
        <v>1</v>
      </c>
      <c r="U30" s="162">
        <f t="shared" si="11"/>
        <v>1.94</v>
      </c>
      <c r="V30" s="191">
        <f t="shared" si="12"/>
        <v>69.79635</v>
      </c>
      <c r="W30" s="178">
        <f t="shared" ref="W30:X30" si="22">C30/100</f>
        <v>0.78</v>
      </c>
      <c r="X30" s="178">
        <f t="shared" si="22"/>
        <v>2.05</v>
      </c>
      <c r="Y30" s="178">
        <f t="shared" si="14"/>
        <v>1.94</v>
      </c>
      <c r="Z30" s="192">
        <f t="shared" si="15"/>
        <v>3.10206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7.0</v>
      </c>
      <c r="B31" s="193" t="s">
        <v>91</v>
      </c>
      <c r="C31" s="193">
        <v>97.0</v>
      </c>
      <c r="D31" s="193">
        <v>205.0</v>
      </c>
      <c r="E31" s="193">
        <v>197.0</v>
      </c>
      <c r="F31" s="193">
        <f t="shared" si="5"/>
        <v>0</v>
      </c>
      <c r="G31" s="193">
        <f t="shared" si="6"/>
        <v>88.1402625</v>
      </c>
      <c r="H31" s="194">
        <f t="shared" si="7"/>
        <v>88.1402625</v>
      </c>
      <c r="I31" s="193">
        <v>1.0</v>
      </c>
      <c r="J31" s="195">
        <f t="shared" si="8"/>
        <v>88.1402625</v>
      </c>
      <c r="K31" s="139"/>
      <c r="L31" s="178">
        <f t="shared" si="17"/>
        <v>5.207</v>
      </c>
      <c r="M31" s="162">
        <f t="shared" si="18"/>
        <v>1</v>
      </c>
      <c r="N31" s="162">
        <f t="shared" si="19"/>
        <v>5.207</v>
      </c>
      <c r="O31" s="139"/>
      <c r="P31" s="139"/>
      <c r="Q31" s="178">
        <v>84.0</v>
      </c>
      <c r="R31" s="190">
        <v>22.5</v>
      </c>
      <c r="S31" s="178">
        <f t="shared" si="9"/>
        <v>1.97</v>
      </c>
      <c r="T31" s="162">
        <f t="shared" si="10"/>
        <v>1</v>
      </c>
      <c r="U31" s="162">
        <f t="shared" si="11"/>
        <v>1.97</v>
      </c>
      <c r="V31" s="191">
        <f t="shared" si="12"/>
        <v>88.1402625</v>
      </c>
      <c r="W31" s="178">
        <f t="shared" ref="W31:X31" si="23">C31/100</f>
        <v>0.97</v>
      </c>
      <c r="X31" s="178">
        <f t="shared" si="23"/>
        <v>2.05</v>
      </c>
      <c r="Y31" s="178">
        <f t="shared" si="14"/>
        <v>1.97</v>
      </c>
      <c r="Z31" s="192">
        <f t="shared" si="15"/>
        <v>3.917345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8.0</v>
      </c>
      <c r="B32" s="193" t="s">
        <v>91</v>
      </c>
      <c r="C32" s="193">
        <v>96.0</v>
      </c>
      <c r="D32" s="193">
        <v>205.0</v>
      </c>
      <c r="E32" s="193">
        <v>2875.0</v>
      </c>
      <c r="F32" s="193">
        <f t="shared" si="5"/>
        <v>0</v>
      </c>
      <c r="G32" s="193">
        <f t="shared" si="6"/>
        <v>1273.05</v>
      </c>
      <c r="H32" s="194">
        <f t="shared" si="7"/>
        <v>1273.05</v>
      </c>
      <c r="I32" s="193">
        <v>1.0</v>
      </c>
      <c r="J32" s="195">
        <f t="shared" si="8"/>
        <v>1273.05</v>
      </c>
      <c r="K32" s="139"/>
      <c r="L32" s="178">
        <f t="shared" si="17"/>
        <v>5.207</v>
      </c>
      <c r="M32" s="162">
        <f t="shared" si="18"/>
        <v>1</v>
      </c>
      <c r="N32" s="162">
        <f t="shared" si="19"/>
        <v>5.207</v>
      </c>
      <c r="O32" s="139"/>
      <c r="P32" s="139"/>
      <c r="Q32" s="178">
        <v>1250.0</v>
      </c>
      <c r="R32" s="190">
        <v>22.5</v>
      </c>
      <c r="S32" s="178">
        <f t="shared" si="9"/>
        <v>28.75</v>
      </c>
      <c r="T32" s="162">
        <f t="shared" si="10"/>
        <v>1</v>
      </c>
      <c r="U32" s="162">
        <f t="shared" si="11"/>
        <v>28.75</v>
      </c>
      <c r="V32" s="191">
        <f t="shared" si="12"/>
        <v>1273.05</v>
      </c>
      <c r="W32" s="178">
        <f t="shared" ref="W32:X32" si="24">C32/100</f>
        <v>0.96</v>
      </c>
      <c r="X32" s="178">
        <f t="shared" si="24"/>
        <v>2.05</v>
      </c>
      <c r="Y32" s="178">
        <f t="shared" si="14"/>
        <v>28.75</v>
      </c>
      <c r="Z32" s="192">
        <f t="shared" si="15"/>
        <v>56.58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9.0</v>
      </c>
      <c r="B33" s="193" t="s">
        <v>91</v>
      </c>
      <c r="C33" s="193">
        <v>96.0</v>
      </c>
      <c r="D33" s="193">
        <v>205.0</v>
      </c>
      <c r="E33" s="193">
        <v>2867.0</v>
      </c>
      <c r="F33" s="193">
        <f t="shared" si="5"/>
        <v>0</v>
      </c>
      <c r="G33" s="193">
        <f t="shared" si="6"/>
        <v>1269.5076</v>
      </c>
      <c r="H33" s="194">
        <f t="shared" si="7"/>
        <v>1269.5076</v>
      </c>
      <c r="I33" s="193">
        <v>1.0</v>
      </c>
      <c r="J33" s="195">
        <f t="shared" si="8"/>
        <v>1269.5076</v>
      </c>
      <c r="K33" s="139"/>
      <c r="L33" s="178">
        <f t="shared" si="17"/>
        <v>5.207</v>
      </c>
      <c r="M33" s="162">
        <f t="shared" si="18"/>
        <v>1</v>
      </c>
      <c r="N33" s="162">
        <f t="shared" si="19"/>
        <v>5.207</v>
      </c>
      <c r="O33" s="139"/>
      <c r="P33" s="139"/>
      <c r="Q33" s="178">
        <v>1255.0</v>
      </c>
      <c r="R33" s="190">
        <v>22.5</v>
      </c>
      <c r="S33" s="178">
        <f t="shared" si="9"/>
        <v>28.67</v>
      </c>
      <c r="T33" s="162">
        <f t="shared" si="10"/>
        <v>1</v>
      </c>
      <c r="U33" s="162">
        <f t="shared" si="11"/>
        <v>28.67</v>
      </c>
      <c r="V33" s="191">
        <f t="shared" si="12"/>
        <v>1269.5076</v>
      </c>
      <c r="W33" s="178">
        <f t="shared" ref="W33:X33" si="25">C33/100</f>
        <v>0.96</v>
      </c>
      <c r="X33" s="178">
        <f t="shared" si="25"/>
        <v>2.05</v>
      </c>
      <c r="Y33" s="178">
        <f t="shared" si="14"/>
        <v>28.67</v>
      </c>
      <c r="Z33" s="192">
        <f t="shared" si="15"/>
        <v>56.42256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10.0</v>
      </c>
      <c r="B34" s="183" t="s">
        <v>122</v>
      </c>
      <c r="C34" s="184">
        <v>77.0</v>
      </c>
      <c r="D34" s="184">
        <v>199.0</v>
      </c>
      <c r="E34" s="184">
        <v>189.0</v>
      </c>
      <c r="F34" s="184">
        <f t="shared" si="5"/>
        <v>0.8</v>
      </c>
      <c r="G34" s="184">
        <f t="shared" si="6"/>
        <v>78.193269</v>
      </c>
      <c r="H34" s="185">
        <f t="shared" si="7"/>
        <v>62.5546152</v>
      </c>
      <c r="I34" s="184">
        <v>1.0</v>
      </c>
      <c r="J34" s="186">
        <f t="shared" si="8"/>
        <v>62.5546152</v>
      </c>
      <c r="K34" s="187"/>
      <c r="L34" s="188">
        <f t="shared" si="17"/>
        <v>5.0546</v>
      </c>
      <c r="M34" s="189">
        <f t="shared" si="18"/>
        <v>1</v>
      </c>
      <c r="N34" s="189">
        <f t="shared" si="19"/>
        <v>5.0546</v>
      </c>
      <c r="O34" s="187"/>
      <c r="P34" s="187"/>
      <c r="Q34" s="188">
        <v>86.0</v>
      </c>
      <c r="R34" s="190">
        <v>27.0</v>
      </c>
      <c r="S34" s="178">
        <f t="shared" si="9"/>
        <v>1.89</v>
      </c>
      <c r="T34" s="162">
        <f t="shared" si="10"/>
        <v>1</v>
      </c>
      <c r="U34" s="162">
        <f t="shared" si="11"/>
        <v>1.89</v>
      </c>
      <c r="V34" s="191">
        <f t="shared" si="12"/>
        <v>78.193269</v>
      </c>
      <c r="W34" s="178">
        <f t="shared" ref="W34:X34" si="26">C34/100</f>
        <v>0.77</v>
      </c>
      <c r="X34" s="178">
        <f t="shared" si="26"/>
        <v>1.99</v>
      </c>
      <c r="Y34" s="178">
        <f t="shared" si="14"/>
        <v>1.89</v>
      </c>
      <c r="Z34" s="192">
        <f t="shared" si="15"/>
        <v>2.896047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11.0</v>
      </c>
      <c r="B35" s="193" t="s">
        <v>119</v>
      </c>
      <c r="C35" s="193">
        <v>95.0</v>
      </c>
      <c r="D35" s="193">
        <v>199.0</v>
      </c>
      <c r="E35" s="193">
        <v>199.0</v>
      </c>
      <c r="F35" s="193">
        <f t="shared" si="5"/>
        <v>0</v>
      </c>
      <c r="G35" s="193">
        <f t="shared" si="6"/>
        <v>101.576565</v>
      </c>
      <c r="H35" s="194">
        <f t="shared" si="7"/>
        <v>101.576565</v>
      </c>
      <c r="I35" s="193">
        <v>1.0</v>
      </c>
      <c r="J35" s="195">
        <f t="shared" si="8"/>
        <v>101.576565</v>
      </c>
      <c r="K35" s="139"/>
      <c r="L35" s="178">
        <f t="shared" si="17"/>
        <v>5.0546</v>
      </c>
      <c r="M35" s="162">
        <f t="shared" si="18"/>
        <v>1</v>
      </c>
      <c r="N35" s="162">
        <f t="shared" si="19"/>
        <v>5.0546</v>
      </c>
      <c r="O35" s="139"/>
      <c r="P35" s="139"/>
      <c r="Q35" s="178">
        <v>104.0</v>
      </c>
      <c r="R35" s="190">
        <v>27.0</v>
      </c>
      <c r="S35" s="178">
        <f t="shared" si="9"/>
        <v>1.99</v>
      </c>
      <c r="T35" s="162">
        <f t="shared" si="10"/>
        <v>1</v>
      </c>
      <c r="U35" s="162">
        <f t="shared" si="11"/>
        <v>1.99</v>
      </c>
      <c r="V35" s="191">
        <f t="shared" si="12"/>
        <v>101.576565</v>
      </c>
      <c r="W35" s="178">
        <f t="shared" ref="W35:X35" si="27">C35/100</f>
        <v>0.95</v>
      </c>
      <c r="X35" s="178">
        <f t="shared" si="27"/>
        <v>1.99</v>
      </c>
      <c r="Y35" s="178">
        <f t="shared" si="14"/>
        <v>1.99</v>
      </c>
      <c r="Z35" s="192">
        <f t="shared" si="15"/>
        <v>3.762095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12.0</v>
      </c>
      <c r="B36" s="193" t="s">
        <v>119</v>
      </c>
      <c r="C36" s="193">
        <v>96.0</v>
      </c>
      <c r="D36" s="193">
        <v>199.0</v>
      </c>
      <c r="E36" s="193">
        <v>2867.0</v>
      </c>
      <c r="F36" s="193">
        <f t="shared" si="5"/>
        <v>0</v>
      </c>
      <c r="G36" s="193">
        <f t="shared" si="6"/>
        <v>1478.821536</v>
      </c>
      <c r="H36" s="194">
        <f t="shared" si="7"/>
        <v>1478.821536</v>
      </c>
      <c r="I36" s="193">
        <v>1.0</v>
      </c>
      <c r="J36" s="195">
        <f t="shared" si="8"/>
        <v>1478.821536</v>
      </c>
      <c r="K36" s="139"/>
      <c r="L36" s="178">
        <f t="shared" si="17"/>
        <v>5.0546</v>
      </c>
      <c r="M36" s="162">
        <f t="shared" si="18"/>
        <v>1</v>
      </c>
      <c r="N36" s="162">
        <f t="shared" si="19"/>
        <v>5.0546</v>
      </c>
      <c r="O36" s="139"/>
      <c r="P36" s="139"/>
      <c r="Q36" s="178">
        <v>1495.0</v>
      </c>
      <c r="R36" s="190">
        <v>27.0</v>
      </c>
      <c r="S36" s="178">
        <f t="shared" si="9"/>
        <v>28.67</v>
      </c>
      <c r="T36" s="162">
        <f t="shared" si="10"/>
        <v>1</v>
      </c>
      <c r="U36" s="162">
        <f t="shared" si="11"/>
        <v>28.67</v>
      </c>
      <c r="V36" s="191">
        <f t="shared" si="12"/>
        <v>1478.821536</v>
      </c>
      <c r="W36" s="178">
        <f t="shared" ref="W36:X36" si="28">C36/100</f>
        <v>0.96</v>
      </c>
      <c r="X36" s="178">
        <f t="shared" si="28"/>
        <v>1.99</v>
      </c>
      <c r="Y36" s="178">
        <f t="shared" si="14"/>
        <v>28.67</v>
      </c>
      <c r="Z36" s="192">
        <f t="shared" si="15"/>
        <v>54.771168</v>
      </c>
      <c r="AA36" s="139"/>
      <c r="AB36" s="139"/>
      <c r="AC36" s="139"/>
      <c r="AD36" s="139"/>
      <c r="AE36" s="26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13.0</v>
      </c>
      <c r="B37" s="193" t="s">
        <v>119</v>
      </c>
      <c r="C37" s="193">
        <v>95.0</v>
      </c>
      <c r="D37" s="193">
        <v>199.0</v>
      </c>
      <c r="E37" s="193">
        <v>2866.0</v>
      </c>
      <c r="F37" s="193">
        <f t="shared" si="5"/>
        <v>0</v>
      </c>
      <c r="G37" s="193">
        <f t="shared" si="6"/>
        <v>1462.90671</v>
      </c>
      <c r="H37" s="194">
        <f t="shared" si="7"/>
        <v>1462.90671</v>
      </c>
      <c r="I37" s="193">
        <v>1.0</v>
      </c>
      <c r="J37" s="195">
        <f t="shared" si="8"/>
        <v>1462.90671</v>
      </c>
      <c r="K37" s="139"/>
      <c r="L37" s="178">
        <f t="shared" si="17"/>
        <v>5.0546</v>
      </c>
      <c r="M37" s="162">
        <f t="shared" si="18"/>
        <v>1</v>
      </c>
      <c r="N37" s="162">
        <f t="shared" si="19"/>
        <v>5.0546</v>
      </c>
      <c r="O37" s="139"/>
      <c r="P37" s="139"/>
      <c r="Q37" s="178">
        <v>1475.0</v>
      </c>
      <c r="R37" s="190">
        <v>27.0</v>
      </c>
      <c r="S37" s="178">
        <f t="shared" si="9"/>
        <v>28.66</v>
      </c>
      <c r="T37" s="162">
        <f t="shared" si="10"/>
        <v>1</v>
      </c>
      <c r="U37" s="162">
        <f t="shared" si="11"/>
        <v>28.66</v>
      </c>
      <c r="V37" s="191">
        <f t="shared" si="12"/>
        <v>1462.90671</v>
      </c>
      <c r="W37" s="178">
        <f t="shared" ref="W37:X37" si="29">C37/100</f>
        <v>0.95</v>
      </c>
      <c r="X37" s="178">
        <f t="shared" si="29"/>
        <v>1.99</v>
      </c>
      <c r="Y37" s="178">
        <f t="shared" si="14"/>
        <v>28.66</v>
      </c>
      <c r="Z37" s="192">
        <f t="shared" si="15"/>
        <v>54.18173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14.0</v>
      </c>
      <c r="B38" s="193" t="s">
        <v>119</v>
      </c>
      <c r="C38" s="193">
        <v>95.0</v>
      </c>
      <c r="D38" s="193">
        <v>199.0</v>
      </c>
      <c r="E38" s="193">
        <v>2840.0</v>
      </c>
      <c r="F38" s="193">
        <f t="shared" si="5"/>
        <v>0</v>
      </c>
      <c r="G38" s="193">
        <f t="shared" si="6"/>
        <v>1449.6354</v>
      </c>
      <c r="H38" s="194">
        <f t="shared" si="7"/>
        <v>1449.6354</v>
      </c>
      <c r="I38" s="193">
        <v>1.0</v>
      </c>
      <c r="J38" s="195">
        <f t="shared" si="8"/>
        <v>1449.6354</v>
      </c>
      <c r="K38" s="139"/>
      <c r="L38" s="178">
        <f t="shared" si="17"/>
        <v>5.0546</v>
      </c>
      <c r="M38" s="162">
        <f t="shared" si="18"/>
        <v>1</v>
      </c>
      <c r="N38" s="162">
        <f t="shared" si="19"/>
        <v>5.0546</v>
      </c>
      <c r="O38" s="139"/>
      <c r="P38" s="139"/>
      <c r="Q38" s="178">
        <v>1490.0</v>
      </c>
      <c r="R38" s="190">
        <v>27.0</v>
      </c>
      <c r="S38" s="178">
        <f t="shared" si="9"/>
        <v>28.4</v>
      </c>
      <c r="T38" s="162">
        <f t="shared" si="10"/>
        <v>1</v>
      </c>
      <c r="U38" s="162">
        <f t="shared" si="11"/>
        <v>28.4</v>
      </c>
      <c r="V38" s="191">
        <f t="shared" si="12"/>
        <v>1449.6354</v>
      </c>
      <c r="W38" s="178">
        <f t="shared" ref="W38:X38" si="30">C38/100</f>
        <v>0.95</v>
      </c>
      <c r="X38" s="178">
        <f t="shared" si="30"/>
        <v>1.99</v>
      </c>
      <c r="Y38" s="178">
        <f t="shared" si="14"/>
        <v>28.4</v>
      </c>
      <c r="Z38" s="192">
        <f t="shared" si="15"/>
        <v>53.6902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2">
        <v>101.0</v>
      </c>
      <c r="B39" s="193"/>
      <c r="C39" s="193"/>
      <c r="D39" s="193"/>
      <c r="E39" s="193"/>
      <c r="F39" s="193">
        <f t="shared" si="5"/>
        <v>0</v>
      </c>
      <c r="G39" s="193">
        <f t="shared" si="6"/>
        <v>0</v>
      </c>
      <c r="H39" s="194">
        <f t="shared" si="7"/>
        <v>0</v>
      </c>
      <c r="I39" s="193"/>
      <c r="J39" s="195">
        <f t="shared" si="8"/>
        <v>0</v>
      </c>
      <c r="K39" s="139"/>
      <c r="L39" s="197"/>
      <c r="M39" s="198"/>
      <c r="N39" s="198"/>
      <c r="O39" s="139"/>
      <c r="P39" s="139"/>
      <c r="Q39" s="195"/>
      <c r="R39" s="141"/>
      <c r="S39" s="199">
        <f t="shared" si="9"/>
        <v>0</v>
      </c>
      <c r="T39" s="200" t="str">
        <f t="shared" si="10"/>
        <v/>
      </c>
      <c r="U39" s="200">
        <f t="shared" si="11"/>
        <v>0</v>
      </c>
      <c r="V39" s="203"/>
      <c r="W39" s="199">
        <f t="shared" ref="W39:X39" si="31">C39/100</f>
        <v>0</v>
      </c>
      <c r="X39" s="199">
        <f t="shared" si="31"/>
        <v>0</v>
      </c>
      <c r="Y39" s="199">
        <f t="shared" si="14"/>
        <v>0</v>
      </c>
      <c r="Z39" s="202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2">
        <v>102.0</v>
      </c>
      <c r="B40" s="193"/>
      <c r="C40" s="193"/>
      <c r="D40" s="193"/>
      <c r="E40" s="193"/>
      <c r="F40" s="193">
        <f t="shared" si="5"/>
        <v>0</v>
      </c>
      <c r="G40" s="193">
        <f t="shared" si="6"/>
        <v>0</v>
      </c>
      <c r="H40" s="194">
        <f t="shared" si="7"/>
        <v>0</v>
      </c>
      <c r="I40" s="193"/>
      <c r="J40" s="195">
        <f t="shared" si="8"/>
        <v>0</v>
      </c>
      <c r="K40" s="139"/>
      <c r="L40" s="197"/>
      <c r="M40" s="198"/>
      <c r="N40" s="198"/>
      <c r="O40" s="139"/>
      <c r="P40" s="139"/>
      <c r="Q40" s="195"/>
      <c r="R40" s="141"/>
      <c r="S40" s="199">
        <f t="shared" si="9"/>
        <v>0</v>
      </c>
      <c r="T40" s="200" t="str">
        <f t="shared" si="10"/>
        <v/>
      </c>
      <c r="U40" s="200">
        <f t="shared" si="11"/>
        <v>0</v>
      </c>
      <c r="V40" s="203"/>
      <c r="W40" s="199">
        <f t="shared" ref="W40:X40" si="32">C40/100</f>
        <v>0</v>
      </c>
      <c r="X40" s="199">
        <f t="shared" si="32"/>
        <v>0</v>
      </c>
      <c r="Y40" s="199">
        <f t="shared" si="14"/>
        <v>0</v>
      </c>
      <c r="Z40" s="202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2">
        <v>103.0</v>
      </c>
      <c r="B41" s="193"/>
      <c r="C41" s="193"/>
      <c r="D41" s="193"/>
      <c r="E41" s="193"/>
      <c r="F41" s="193">
        <f t="shared" si="5"/>
        <v>0</v>
      </c>
      <c r="G41" s="193">
        <f t="shared" si="6"/>
        <v>0</v>
      </c>
      <c r="H41" s="194">
        <f t="shared" si="7"/>
        <v>0</v>
      </c>
      <c r="I41" s="193"/>
      <c r="J41" s="195">
        <f t="shared" si="8"/>
        <v>0</v>
      </c>
      <c r="K41" s="139"/>
      <c r="L41" s="197"/>
      <c r="M41" s="198"/>
      <c r="N41" s="198"/>
      <c r="O41" s="139"/>
      <c r="P41" s="139"/>
      <c r="Q41" s="195"/>
      <c r="R41" s="141"/>
      <c r="S41" s="199">
        <f t="shared" si="9"/>
        <v>0</v>
      </c>
      <c r="T41" s="200" t="str">
        <f t="shared" si="10"/>
        <v/>
      </c>
      <c r="U41" s="200">
        <f t="shared" si="11"/>
        <v>0</v>
      </c>
      <c r="V41" s="203"/>
      <c r="W41" s="199">
        <f t="shared" ref="W41:X41" si="33">C41/100</f>
        <v>0</v>
      </c>
      <c r="X41" s="199">
        <f t="shared" si="33"/>
        <v>0</v>
      </c>
      <c r="Y41" s="199">
        <f t="shared" si="14"/>
        <v>0</v>
      </c>
      <c r="Z41" s="202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2">
        <v>104.0</v>
      </c>
      <c r="B42" s="193"/>
      <c r="C42" s="193"/>
      <c r="D42" s="193"/>
      <c r="E42" s="193"/>
      <c r="F42" s="193">
        <f t="shared" si="5"/>
        <v>0</v>
      </c>
      <c r="G42" s="193">
        <f t="shared" si="6"/>
        <v>0</v>
      </c>
      <c r="H42" s="194">
        <f t="shared" si="7"/>
        <v>0</v>
      </c>
      <c r="I42" s="193"/>
      <c r="J42" s="195">
        <f t="shared" si="8"/>
        <v>0</v>
      </c>
      <c r="K42" s="139"/>
      <c r="L42" s="197"/>
      <c r="M42" s="198"/>
      <c r="N42" s="198"/>
      <c r="O42" s="139"/>
      <c r="P42" s="139"/>
      <c r="Q42" s="195"/>
      <c r="R42" s="141"/>
      <c r="S42" s="199">
        <f t="shared" si="9"/>
        <v>0</v>
      </c>
      <c r="T42" s="200" t="str">
        <f t="shared" si="10"/>
        <v/>
      </c>
      <c r="U42" s="200">
        <f t="shared" si="11"/>
        <v>0</v>
      </c>
      <c r="V42" s="203"/>
      <c r="W42" s="199">
        <f t="shared" ref="W42:X42" si="34">C42/100</f>
        <v>0</v>
      </c>
      <c r="X42" s="199">
        <f t="shared" si="34"/>
        <v>0</v>
      </c>
      <c r="Y42" s="199">
        <f t="shared" si="14"/>
        <v>0</v>
      </c>
      <c r="Z42" s="202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2">
        <v>105.0</v>
      </c>
      <c r="B43" s="193"/>
      <c r="C43" s="193"/>
      <c r="D43" s="193"/>
      <c r="E43" s="193"/>
      <c r="F43" s="193">
        <f t="shared" si="5"/>
        <v>0</v>
      </c>
      <c r="G43" s="193">
        <f t="shared" si="6"/>
        <v>0</v>
      </c>
      <c r="H43" s="194">
        <f t="shared" si="7"/>
        <v>0</v>
      </c>
      <c r="I43" s="193"/>
      <c r="J43" s="195">
        <f t="shared" si="8"/>
        <v>0</v>
      </c>
      <c r="K43" s="139"/>
      <c r="L43" s="197"/>
      <c r="M43" s="198"/>
      <c r="N43" s="198"/>
      <c r="O43" s="139"/>
      <c r="P43" s="139"/>
      <c r="Q43" s="195"/>
      <c r="R43" s="141"/>
      <c r="S43" s="199">
        <f t="shared" si="9"/>
        <v>0</v>
      </c>
      <c r="T43" s="200" t="str">
        <f t="shared" si="10"/>
        <v/>
      </c>
      <c r="U43" s="200">
        <f t="shared" si="11"/>
        <v>0</v>
      </c>
      <c r="V43" s="203"/>
      <c r="W43" s="199">
        <f t="shared" ref="W43:X43" si="35">C43/100</f>
        <v>0</v>
      </c>
      <c r="X43" s="199">
        <f t="shared" si="35"/>
        <v>0</v>
      </c>
      <c r="Y43" s="199">
        <f t="shared" si="14"/>
        <v>0</v>
      </c>
      <c r="Z43" s="202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2">
        <v>106.0</v>
      </c>
      <c r="B44" s="193"/>
      <c r="C44" s="193"/>
      <c r="D44" s="193"/>
      <c r="E44" s="193"/>
      <c r="F44" s="193">
        <f t="shared" si="5"/>
        <v>0</v>
      </c>
      <c r="G44" s="193">
        <f t="shared" si="6"/>
        <v>0</v>
      </c>
      <c r="H44" s="194">
        <f t="shared" si="7"/>
        <v>0</v>
      </c>
      <c r="I44" s="193"/>
      <c r="J44" s="195">
        <f t="shared" si="8"/>
        <v>0</v>
      </c>
      <c r="K44" s="139"/>
      <c r="L44" s="197"/>
      <c r="M44" s="198"/>
      <c r="N44" s="198"/>
      <c r="O44" s="139"/>
      <c r="P44" s="139"/>
      <c r="Q44" s="195"/>
      <c r="R44" s="141"/>
      <c r="S44" s="199">
        <f t="shared" si="9"/>
        <v>0</v>
      </c>
      <c r="T44" s="200" t="str">
        <f t="shared" si="10"/>
        <v/>
      </c>
      <c r="U44" s="200">
        <f t="shared" si="11"/>
        <v>0</v>
      </c>
      <c r="V44" s="203"/>
      <c r="W44" s="199">
        <f t="shared" ref="W44:X44" si="36">C44/100</f>
        <v>0</v>
      </c>
      <c r="X44" s="199">
        <f t="shared" si="36"/>
        <v>0</v>
      </c>
      <c r="Y44" s="199">
        <f t="shared" si="14"/>
        <v>0</v>
      </c>
      <c r="Z44" s="202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2">
        <v>107.0</v>
      </c>
      <c r="B45" s="193"/>
      <c r="C45" s="193"/>
      <c r="D45" s="193"/>
      <c r="E45" s="193"/>
      <c r="F45" s="193">
        <f t="shared" si="5"/>
        <v>0</v>
      </c>
      <c r="G45" s="193">
        <f t="shared" si="6"/>
        <v>0</v>
      </c>
      <c r="H45" s="194">
        <f t="shared" si="7"/>
        <v>0</v>
      </c>
      <c r="I45" s="193"/>
      <c r="J45" s="195">
        <f t="shared" si="8"/>
        <v>0</v>
      </c>
      <c r="K45" s="139"/>
      <c r="L45" s="197"/>
      <c r="M45" s="198"/>
      <c r="N45" s="198"/>
      <c r="O45" s="139"/>
      <c r="P45" s="139"/>
      <c r="Q45" s="195"/>
      <c r="R45" s="141"/>
      <c r="S45" s="199">
        <f t="shared" si="9"/>
        <v>0</v>
      </c>
      <c r="T45" s="200" t="str">
        <f t="shared" si="10"/>
        <v/>
      </c>
      <c r="U45" s="200">
        <f t="shared" si="11"/>
        <v>0</v>
      </c>
      <c r="V45" s="203"/>
      <c r="W45" s="199">
        <f t="shared" ref="W45:X45" si="37">C45/100</f>
        <v>0</v>
      </c>
      <c r="X45" s="199">
        <f t="shared" si="37"/>
        <v>0</v>
      </c>
      <c r="Y45" s="199">
        <f t="shared" si="14"/>
        <v>0</v>
      </c>
      <c r="Z45" s="202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2">
        <v>108.0</v>
      </c>
      <c r="B46" s="193"/>
      <c r="C46" s="193"/>
      <c r="D46" s="193"/>
      <c r="E46" s="193"/>
      <c r="F46" s="193">
        <f t="shared" si="5"/>
        <v>0</v>
      </c>
      <c r="G46" s="193">
        <f t="shared" si="6"/>
        <v>0</v>
      </c>
      <c r="H46" s="194">
        <f t="shared" si="7"/>
        <v>0</v>
      </c>
      <c r="I46" s="193"/>
      <c r="J46" s="195">
        <f t="shared" si="8"/>
        <v>0</v>
      </c>
      <c r="K46" s="139"/>
      <c r="L46" s="197"/>
      <c r="M46" s="198"/>
      <c r="N46" s="198"/>
      <c r="O46" s="139"/>
      <c r="P46" s="139"/>
      <c r="Q46" s="195"/>
      <c r="R46" s="141"/>
      <c r="S46" s="199">
        <f t="shared" si="9"/>
        <v>0</v>
      </c>
      <c r="T46" s="200" t="str">
        <f t="shared" si="10"/>
        <v/>
      </c>
      <c r="U46" s="200">
        <f t="shared" si="11"/>
        <v>0</v>
      </c>
      <c r="V46" s="203"/>
      <c r="W46" s="199">
        <f t="shared" ref="W46:X46" si="38">C46/100</f>
        <v>0</v>
      </c>
      <c r="X46" s="199">
        <f t="shared" si="38"/>
        <v>0</v>
      </c>
      <c r="Y46" s="199">
        <f t="shared" si="14"/>
        <v>0</v>
      </c>
      <c r="Z46" s="202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2">
        <v>109.0</v>
      </c>
      <c r="B47" s="193"/>
      <c r="C47" s="193"/>
      <c r="D47" s="193"/>
      <c r="E47" s="193"/>
      <c r="F47" s="193">
        <f t="shared" si="5"/>
        <v>0</v>
      </c>
      <c r="G47" s="193">
        <f t="shared" si="6"/>
        <v>0</v>
      </c>
      <c r="H47" s="194">
        <f t="shared" si="7"/>
        <v>0</v>
      </c>
      <c r="I47" s="193"/>
      <c r="J47" s="195">
        <f t="shared" si="8"/>
        <v>0</v>
      </c>
      <c r="K47" s="139"/>
      <c r="L47" s="197"/>
      <c r="M47" s="198"/>
      <c r="N47" s="198"/>
      <c r="O47" s="139"/>
      <c r="P47" s="139"/>
      <c r="Q47" s="195"/>
      <c r="R47" s="141"/>
      <c r="S47" s="199">
        <f t="shared" si="9"/>
        <v>0</v>
      </c>
      <c r="T47" s="200" t="str">
        <f t="shared" si="10"/>
        <v/>
      </c>
      <c r="U47" s="200">
        <f t="shared" si="11"/>
        <v>0</v>
      </c>
      <c r="V47" s="203"/>
      <c r="W47" s="199">
        <f t="shared" ref="W47:X47" si="39">C47/100</f>
        <v>0</v>
      </c>
      <c r="X47" s="199">
        <f t="shared" si="39"/>
        <v>0</v>
      </c>
      <c r="Y47" s="199">
        <f t="shared" si="14"/>
        <v>0</v>
      </c>
      <c r="Z47" s="202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2">
        <v>110.0</v>
      </c>
      <c r="B48" s="193"/>
      <c r="C48" s="193"/>
      <c r="D48" s="193"/>
      <c r="E48" s="193"/>
      <c r="F48" s="193">
        <f t="shared" si="5"/>
        <v>0</v>
      </c>
      <c r="G48" s="193">
        <f t="shared" si="6"/>
        <v>0</v>
      </c>
      <c r="H48" s="194">
        <f t="shared" si="7"/>
        <v>0</v>
      </c>
      <c r="I48" s="193"/>
      <c r="J48" s="195">
        <f t="shared" si="8"/>
        <v>0</v>
      </c>
      <c r="K48" s="139"/>
      <c r="L48" s="197"/>
      <c r="M48" s="198"/>
      <c r="N48" s="198"/>
      <c r="O48" s="139"/>
      <c r="P48" s="139"/>
      <c r="Q48" s="195"/>
      <c r="R48" s="141"/>
      <c r="S48" s="199">
        <f t="shared" si="9"/>
        <v>0</v>
      </c>
      <c r="T48" s="200" t="str">
        <f t="shared" si="10"/>
        <v/>
      </c>
      <c r="U48" s="200">
        <f t="shared" si="11"/>
        <v>0</v>
      </c>
      <c r="V48" s="203"/>
      <c r="W48" s="199">
        <f t="shared" ref="W48:X48" si="40">C48/100</f>
        <v>0</v>
      </c>
      <c r="X48" s="199">
        <f t="shared" si="40"/>
        <v>0</v>
      </c>
      <c r="Y48" s="199">
        <f t="shared" si="14"/>
        <v>0</v>
      </c>
      <c r="Z48" s="202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2">
        <v>111.0</v>
      </c>
      <c r="B49" s="193"/>
      <c r="C49" s="193"/>
      <c r="D49" s="193"/>
      <c r="E49" s="193"/>
      <c r="F49" s="193">
        <f t="shared" si="5"/>
        <v>0</v>
      </c>
      <c r="G49" s="193">
        <f t="shared" si="6"/>
        <v>0</v>
      </c>
      <c r="H49" s="194">
        <f t="shared" si="7"/>
        <v>0</v>
      </c>
      <c r="I49" s="193"/>
      <c r="J49" s="195">
        <f t="shared" si="8"/>
        <v>0</v>
      </c>
      <c r="K49" s="139"/>
      <c r="L49" s="197"/>
      <c r="M49" s="198"/>
      <c r="N49" s="198"/>
      <c r="O49" s="139"/>
      <c r="P49" s="139"/>
      <c r="Q49" s="195"/>
      <c r="R49" s="141"/>
      <c r="S49" s="199">
        <f t="shared" si="9"/>
        <v>0</v>
      </c>
      <c r="T49" s="200" t="str">
        <f t="shared" si="10"/>
        <v/>
      </c>
      <c r="U49" s="200">
        <f t="shared" si="11"/>
        <v>0</v>
      </c>
      <c r="V49" s="203"/>
      <c r="W49" s="199">
        <f t="shared" ref="W49:X49" si="41">C49/100</f>
        <v>0</v>
      </c>
      <c r="X49" s="199">
        <f t="shared" si="41"/>
        <v>0</v>
      </c>
      <c r="Y49" s="199">
        <f t="shared" si="14"/>
        <v>0</v>
      </c>
      <c r="Z49" s="202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2">
        <v>112.0</v>
      </c>
      <c r="B50" s="193"/>
      <c r="C50" s="193"/>
      <c r="D50" s="193"/>
      <c r="E50" s="193"/>
      <c r="F50" s="193">
        <f t="shared" si="5"/>
        <v>0</v>
      </c>
      <c r="G50" s="193">
        <f t="shared" si="6"/>
        <v>0</v>
      </c>
      <c r="H50" s="194">
        <f t="shared" si="7"/>
        <v>0</v>
      </c>
      <c r="I50" s="193"/>
      <c r="J50" s="195">
        <f t="shared" si="8"/>
        <v>0</v>
      </c>
      <c r="K50" s="139"/>
      <c r="L50" s="197"/>
      <c r="M50" s="198"/>
      <c r="N50" s="198"/>
      <c r="O50" s="139"/>
      <c r="P50" s="139"/>
      <c r="Q50" s="195"/>
      <c r="R50" s="141"/>
      <c r="S50" s="199">
        <f t="shared" si="9"/>
        <v>0</v>
      </c>
      <c r="T50" s="200" t="str">
        <f t="shared" si="10"/>
        <v/>
      </c>
      <c r="U50" s="200">
        <f t="shared" si="11"/>
        <v>0</v>
      </c>
      <c r="V50" s="203"/>
      <c r="W50" s="199">
        <f t="shared" ref="W50:X50" si="42">C50/100</f>
        <v>0</v>
      </c>
      <c r="X50" s="199">
        <f t="shared" si="42"/>
        <v>0</v>
      </c>
      <c r="Y50" s="199">
        <f t="shared" si="14"/>
        <v>0</v>
      </c>
      <c r="Z50" s="202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2">
        <v>113.0</v>
      </c>
      <c r="B51" s="193"/>
      <c r="C51" s="193"/>
      <c r="D51" s="193"/>
      <c r="E51" s="193"/>
      <c r="F51" s="193">
        <f t="shared" si="5"/>
        <v>0</v>
      </c>
      <c r="G51" s="193">
        <f t="shared" si="6"/>
        <v>0</v>
      </c>
      <c r="H51" s="194">
        <f t="shared" si="7"/>
        <v>0</v>
      </c>
      <c r="I51" s="193"/>
      <c r="J51" s="195">
        <f t="shared" si="8"/>
        <v>0</v>
      </c>
      <c r="K51" s="139"/>
      <c r="L51" s="197"/>
      <c r="M51" s="198"/>
      <c r="N51" s="198"/>
      <c r="O51" s="139"/>
      <c r="P51" s="139"/>
      <c r="Q51" s="195"/>
      <c r="R51" s="141"/>
      <c r="S51" s="199">
        <f t="shared" si="9"/>
        <v>0</v>
      </c>
      <c r="T51" s="200" t="str">
        <f t="shared" si="10"/>
        <v/>
      </c>
      <c r="U51" s="200">
        <f t="shared" si="11"/>
        <v>0</v>
      </c>
      <c r="V51" s="203"/>
      <c r="W51" s="199">
        <f t="shared" ref="W51:X51" si="43">C51/100</f>
        <v>0</v>
      </c>
      <c r="X51" s="199">
        <f t="shared" si="43"/>
        <v>0</v>
      </c>
      <c r="Y51" s="199">
        <f t="shared" si="14"/>
        <v>0</v>
      </c>
      <c r="Z51" s="202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2">
        <v>114.0</v>
      </c>
      <c r="B52" s="193"/>
      <c r="C52" s="193"/>
      <c r="D52" s="193"/>
      <c r="E52" s="193"/>
      <c r="F52" s="193">
        <f t="shared" si="5"/>
        <v>0</v>
      </c>
      <c r="G52" s="193">
        <f t="shared" si="6"/>
        <v>0</v>
      </c>
      <c r="H52" s="194">
        <f t="shared" si="7"/>
        <v>0</v>
      </c>
      <c r="I52" s="193"/>
      <c r="J52" s="195">
        <f t="shared" si="8"/>
        <v>0</v>
      </c>
      <c r="K52" s="139"/>
      <c r="L52" s="197"/>
      <c r="M52" s="198"/>
      <c r="N52" s="198"/>
      <c r="O52" s="139"/>
      <c r="P52" s="139"/>
      <c r="Q52" s="195"/>
      <c r="R52" s="141"/>
      <c r="S52" s="199">
        <f t="shared" si="9"/>
        <v>0</v>
      </c>
      <c r="T52" s="200" t="str">
        <f t="shared" si="10"/>
        <v/>
      </c>
      <c r="U52" s="200">
        <f t="shared" si="11"/>
        <v>0</v>
      </c>
      <c r="V52" s="203"/>
      <c r="W52" s="199">
        <f t="shared" ref="W52:X52" si="44">C52/100</f>
        <v>0</v>
      </c>
      <c r="X52" s="199">
        <f t="shared" si="44"/>
        <v>0</v>
      </c>
      <c r="Y52" s="199">
        <f t="shared" si="14"/>
        <v>0</v>
      </c>
      <c r="Z52" s="202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2">
        <v>115.0</v>
      </c>
      <c r="B53" s="193"/>
      <c r="C53" s="193"/>
      <c r="D53" s="193"/>
      <c r="E53" s="193"/>
      <c r="F53" s="193">
        <f t="shared" si="5"/>
        <v>0</v>
      </c>
      <c r="G53" s="193">
        <f t="shared" si="6"/>
        <v>0</v>
      </c>
      <c r="H53" s="194">
        <f t="shared" si="7"/>
        <v>0</v>
      </c>
      <c r="I53" s="193"/>
      <c r="J53" s="195">
        <f t="shared" si="8"/>
        <v>0</v>
      </c>
      <c r="K53" s="139"/>
      <c r="L53" s="197"/>
      <c r="M53" s="198"/>
      <c r="N53" s="198"/>
      <c r="O53" s="139"/>
      <c r="P53" s="139"/>
      <c r="Q53" s="195"/>
      <c r="R53" s="141"/>
      <c r="S53" s="199">
        <f t="shared" si="9"/>
        <v>0</v>
      </c>
      <c r="T53" s="200" t="str">
        <f t="shared" si="10"/>
        <v/>
      </c>
      <c r="U53" s="200">
        <f t="shared" si="11"/>
        <v>0</v>
      </c>
      <c r="V53" s="203"/>
      <c r="W53" s="199">
        <f t="shared" ref="W53:X53" si="45">C53/100</f>
        <v>0</v>
      </c>
      <c r="X53" s="199">
        <f t="shared" si="45"/>
        <v>0</v>
      </c>
      <c r="Y53" s="199">
        <f t="shared" si="14"/>
        <v>0</v>
      </c>
      <c r="Z53" s="202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2">
        <v>116.0</v>
      </c>
      <c r="B54" s="193"/>
      <c r="C54" s="193"/>
      <c r="D54" s="193"/>
      <c r="E54" s="193"/>
      <c r="F54" s="193">
        <f t="shared" si="5"/>
        <v>0</v>
      </c>
      <c r="G54" s="193">
        <f t="shared" si="6"/>
        <v>0</v>
      </c>
      <c r="H54" s="194">
        <f t="shared" si="7"/>
        <v>0</v>
      </c>
      <c r="I54" s="193"/>
      <c r="J54" s="195">
        <f t="shared" si="8"/>
        <v>0</v>
      </c>
      <c r="K54" s="139"/>
      <c r="L54" s="197"/>
      <c r="M54" s="198"/>
      <c r="N54" s="198"/>
      <c r="O54" s="139"/>
      <c r="P54" s="139"/>
      <c r="Q54" s="195"/>
      <c r="R54" s="141"/>
      <c r="S54" s="199">
        <f t="shared" si="9"/>
        <v>0</v>
      </c>
      <c r="T54" s="200" t="str">
        <f t="shared" si="10"/>
        <v/>
      </c>
      <c r="U54" s="200">
        <f t="shared" si="11"/>
        <v>0</v>
      </c>
      <c r="V54" s="203"/>
      <c r="W54" s="199">
        <f t="shared" ref="W54:X54" si="46">C54/100</f>
        <v>0</v>
      </c>
      <c r="X54" s="199">
        <f t="shared" si="46"/>
        <v>0</v>
      </c>
      <c r="Y54" s="199">
        <f t="shared" si="14"/>
        <v>0</v>
      </c>
      <c r="Z54" s="202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2">
        <v>117.0</v>
      </c>
      <c r="B55" s="193"/>
      <c r="C55" s="193"/>
      <c r="D55" s="193"/>
      <c r="E55" s="193"/>
      <c r="F55" s="193">
        <f t="shared" si="5"/>
        <v>0</v>
      </c>
      <c r="G55" s="193">
        <f t="shared" si="6"/>
        <v>0</v>
      </c>
      <c r="H55" s="194">
        <f t="shared" si="7"/>
        <v>0</v>
      </c>
      <c r="I55" s="193"/>
      <c r="J55" s="195">
        <f t="shared" si="8"/>
        <v>0</v>
      </c>
      <c r="K55" s="139"/>
      <c r="L55" s="197"/>
      <c r="M55" s="198"/>
      <c r="N55" s="198"/>
      <c r="O55" s="139"/>
      <c r="P55" s="139"/>
      <c r="Q55" s="195"/>
      <c r="R55" s="141"/>
      <c r="S55" s="199">
        <f t="shared" si="9"/>
        <v>0</v>
      </c>
      <c r="T55" s="200" t="str">
        <f t="shared" si="10"/>
        <v/>
      </c>
      <c r="U55" s="200">
        <f t="shared" si="11"/>
        <v>0</v>
      </c>
      <c r="V55" s="203"/>
      <c r="W55" s="199">
        <f t="shared" ref="W55:X55" si="47">C55/100</f>
        <v>0</v>
      </c>
      <c r="X55" s="199">
        <f t="shared" si="47"/>
        <v>0</v>
      </c>
      <c r="Y55" s="199">
        <f t="shared" si="14"/>
        <v>0</v>
      </c>
      <c r="Z55" s="202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2">
        <v>118.0</v>
      </c>
      <c r="B56" s="193"/>
      <c r="C56" s="193"/>
      <c r="D56" s="193"/>
      <c r="E56" s="193"/>
      <c r="F56" s="193">
        <f t="shared" si="5"/>
        <v>0</v>
      </c>
      <c r="G56" s="193">
        <f t="shared" si="6"/>
        <v>0</v>
      </c>
      <c r="H56" s="194">
        <f t="shared" si="7"/>
        <v>0</v>
      </c>
      <c r="I56" s="193"/>
      <c r="J56" s="195">
        <f t="shared" si="8"/>
        <v>0</v>
      </c>
      <c r="K56" s="139"/>
      <c r="L56" s="197"/>
      <c r="M56" s="198"/>
      <c r="N56" s="198"/>
      <c r="O56" s="139"/>
      <c r="P56" s="139"/>
      <c r="Q56" s="195"/>
      <c r="R56" s="141"/>
      <c r="S56" s="199">
        <f t="shared" si="9"/>
        <v>0</v>
      </c>
      <c r="T56" s="200" t="str">
        <f t="shared" si="10"/>
        <v/>
      </c>
      <c r="U56" s="200">
        <f t="shared" si="11"/>
        <v>0</v>
      </c>
      <c r="V56" s="203"/>
      <c r="W56" s="199">
        <f t="shared" ref="W56:X56" si="48">C56/100</f>
        <v>0</v>
      </c>
      <c r="X56" s="199">
        <f t="shared" si="48"/>
        <v>0</v>
      </c>
      <c r="Y56" s="199">
        <f t="shared" si="14"/>
        <v>0</v>
      </c>
      <c r="Z56" s="202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2">
        <v>119.0</v>
      </c>
      <c r="B57" s="193"/>
      <c r="C57" s="193"/>
      <c r="D57" s="193"/>
      <c r="E57" s="193"/>
      <c r="F57" s="193">
        <f t="shared" si="5"/>
        <v>0</v>
      </c>
      <c r="G57" s="193">
        <f t="shared" si="6"/>
        <v>0</v>
      </c>
      <c r="H57" s="194">
        <f t="shared" si="7"/>
        <v>0</v>
      </c>
      <c r="I57" s="193"/>
      <c r="J57" s="195">
        <f t="shared" si="8"/>
        <v>0</v>
      </c>
      <c r="K57" s="139"/>
      <c r="L57" s="197"/>
      <c r="M57" s="198"/>
      <c r="N57" s="198"/>
      <c r="O57" s="139"/>
      <c r="P57" s="139"/>
      <c r="Q57" s="195"/>
      <c r="R57" s="141"/>
      <c r="S57" s="199">
        <f t="shared" si="9"/>
        <v>0</v>
      </c>
      <c r="T57" s="200" t="str">
        <f t="shared" si="10"/>
        <v/>
      </c>
      <c r="U57" s="200">
        <f t="shared" si="11"/>
        <v>0</v>
      </c>
      <c r="V57" s="203"/>
      <c r="W57" s="199">
        <f t="shared" ref="W57:X57" si="49">C57/100</f>
        <v>0</v>
      </c>
      <c r="X57" s="199">
        <f t="shared" si="49"/>
        <v>0</v>
      </c>
      <c r="Y57" s="199">
        <f t="shared" si="14"/>
        <v>0</v>
      </c>
      <c r="Z57" s="202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2">
        <v>120.0</v>
      </c>
      <c r="B58" s="193"/>
      <c r="C58" s="193"/>
      <c r="D58" s="193"/>
      <c r="E58" s="193"/>
      <c r="F58" s="193">
        <f t="shared" si="5"/>
        <v>0</v>
      </c>
      <c r="G58" s="193">
        <f t="shared" si="6"/>
        <v>0</v>
      </c>
      <c r="H58" s="194">
        <f t="shared" si="7"/>
        <v>0</v>
      </c>
      <c r="I58" s="193"/>
      <c r="J58" s="195">
        <f t="shared" si="8"/>
        <v>0</v>
      </c>
      <c r="K58" s="139"/>
      <c r="L58" s="197"/>
      <c r="M58" s="198"/>
      <c r="N58" s="198"/>
      <c r="O58" s="139"/>
      <c r="P58" s="139"/>
      <c r="Q58" s="195"/>
      <c r="R58" s="141"/>
      <c r="S58" s="199">
        <f t="shared" si="9"/>
        <v>0</v>
      </c>
      <c r="T58" s="200" t="str">
        <f t="shared" si="10"/>
        <v/>
      </c>
      <c r="U58" s="200">
        <f t="shared" si="11"/>
        <v>0</v>
      </c>
      <c r="V58" s="203"/>
      <c r="W58" s="199">
        <f t="shared" ref="W58:X58" si="50">C58/100</f>
        <v>0</v>
      </c>
      <c r="X58" s="199">
        <f t="shared" si="50"/>
        <v>0</v>
      </c>
      <c r="Y58" s="199">
        <f t="shared" si="14"/>
        <v>0</v>
      </c>
      <c r="Z58" s="202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2">
        <v>121.0</v>
      </c>
      <c r="B59" s="193"/>
      <c r="C59" s="193"/>
      <c r="D59" s="193"/>
      <c r="E59" s="193"/>
      <c r="F59" s="193">
        <f t="shared" si="5"/>
        <v>0</v>
      </c>
      <c r="G59" s="193">
        <f t="shared" si="6"/>
        <v>0</v>
      </c>
      <c r="H59" s="194">
        <f t="shared" si="7"/>
        <v>0</v>
      </c>
      <c r="I59" s="193"/>
      <c r="J59" s="195">
        <f t="shared" si="8"/>
        <v>0</v>
      </c>
      <c r="K59" s="139"/>
      <c r="L59" s="197"/>
      <c r="M59" s="198"/>
      <c r="N59" s="198"/>
      <c r="O59" s="139"/>
      <c r="P59" s="139"/>
      <c r="Q59" s="195"/>
      <c r="R59" s="141"/>
      <c r="S59" s="199">
        <f t="shared" si="9"/>
        <v>0</v>
      </c>
      <c r="T59" s="200" t="str">
        <f t="shared" si="10"/>
        <v/>
      </c>
      <c r="U59" s="200">
        <f t="shared" si="11"/>
        <v>0</v>
      </c>
      <c r="V59" s="203"/>
      <c r="W59" s="199">
        <f t="shared" ref="W59:X59" si="51">C59/100</f>
        <v>0</v>
      </c>
      <c r="X59" s="199">
        <f t="shared" si="51"/>
        <v>0</v>
      </c>
      <c r="Y59" s="199">
        <f t="shared" si="14"/>
        <v>0</v>
      </c>
      <c r="Z59" s="202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122.0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2">C60/100</f>
        <v>0</v>
      </c>
      <c r="X60" s="199">
        <f t="shared" si="52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123.0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3">C61/100</f>
        <v>0</v>
      </c>
      <c r="X61" s="199">
        <f t="shared" si="53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124.0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4">C62/100</f>
        <v>0</v>
      </c>
      <c r="X62" s="199">
        <f t="shared" si="54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125.0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5">C63/100</f>
        <v>0</v>
      </c>
      <c r="X63" s="199">
        <f t="shared" si="55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126.0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6">C64/100</f>
        <v>0</v>
      </c>
      <c r="X64" s="199">
        <f t="shared" si="56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127.0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7">C65/100</f>
        <v>0</v>
      </c>
      <c r="X65" s="199">
        <f t="shared" si="57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128.0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8">C66/100</f>
        <v>0</v>
      </c>
      <c r="X66" s="199">
        <f t="shared" si="58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129.0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9">C67/100</f>
        <v>0</v>
      </c>
      <c r="X67" s="199">
        <f t="shared" si="59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130.0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60">C68/100</f>
        <v>0</v>
      </c>
      <c r="X68" s="199">
        <f t="shared" si="60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131.0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61">C69/100</f>
        <v>0</v>
      </c>
      <c r="X69" s="199">
        <f t="shared" si="61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132.0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2">C70/100</f>
        <v>0</v>
      </c>
      <c r="X70" s="199">
        <f t="shared" si="62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133.0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3">C71/100</f>
        <v>0</v>
      </c>
      <c r="X71" s="199">
        <f t="shared" si="63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134.0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4">C72/100</f>
        <v>0</v>
      </c>
      <c r="X72" s="199">
        <f t="shared" si="64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135.0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5">C73/100</f>
        <v>0</v>
      </c>
      <c r="X73" s="199">
        <f t="shared" si="65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136.0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6">C74/100</f>
        <v>0</v>
      </c>
      <c r="X74" s="199">
        <f t="shared" si="66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137.0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7">C75/100</f>
        <v>0</v>
      </c>
      <c r="X75" s="199">
        <f t="shared" si="67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138.0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8">C76/100</f>
        <v>0</v>
      </c>
      <c r="X76" s="199">
        <f t="shared" si="68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139.0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9">C77/100</f>
        <v>0</v>
      </c>
      <c r="X77" s="199">
        <f t="shared" si="69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140.0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70">C78/100</f>
        <v>0</v>
      </c>
      <c r="X78" s="199">
        <f t="shared" si="70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141.0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71">C79/100</f>
        <v>0</v>
      </c>
      <c r="X79" s="199">
        <f t="shared" si="71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142.0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2">C80/100</f>
        <v>0</v>
      </c>
      <c r="X80" s="199">
        <f t="shared" si="72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143.0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3">C81/100</f>
        <v>0</v>
      </c>
      <c r="X81" s="199">
        <f t="shared" si="73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144.0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4">C82/100</f>
        <v>0</v>
      </c>
      <c r="X82" s="199">
        <f t="shared" si="74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145.0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5">C83/100</f>
        <v>0</v>
      </c>
      <c r="X83" s="199">
        <f t="shared" si="75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146.0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6">C84/100</f>
        <v>0</v>
      </c>
      <c r="X84" s="199">
        <f t="shared" si="76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147.0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7">C85/100</f>
        <v>0</v>
      </c>
      <c r="X85" s="199">
        <f t="shared" si="77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148.0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8">C86/100</f>
        <v>0</v>
      </c>
      <c r="X86" s="199">
        <f t="shared" si="78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149.0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9">C87/100</f>
        <v>0</v>
      </c>
      <c r="X87" s="199">
        <f t="shared" si="79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150.0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80">C88/100</f>
        <v>0</v>
      </c>
      <c r="X88" s="199">
        <f t="shared" si="80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151.0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81">C89/100</f>
        <v>0</v>
      </c>
      <c r="X89" s="199">
        <f t="shared" si="81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152.0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2">C90/100</f>
        <v>0</v>
      </c>
      <c r="X90" s="199">
        <f t="shared" si="82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153.0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3">C91/100</f>
        <v>0</v>
      </c>
      <c r="X91" s="199">
        <f t="shared" si="83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154.0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4">C92/100</f>
        <v>0</v>
      </c>
      <c r="X92" s="199">
        <f t="shared" si="84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155.0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5">C93/100</f>
        <v>0</v>
      </c>
      <c r="X93" s="199">
        <f t="shared" si="85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156.0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6">C94/100</f>
        <v>0</v>
      </c>
      <c r="X94" s="199">
        <f t="shared" si="86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157.0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7">C95/100</f>
        <v>0</v>
      </c>
      <c r="X95" s="199">
        <f t="shared" si="87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158.0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8">C96/100</f>
        <v>0</v>
      </c>
      <c r="X96" s="199">
        <f t="shared" si="88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159.0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9">C97/100</f>
        <v>0</v>
      </c>
      <c r="X97" s="199">
        <f t="shared" si="89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160.0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90">C98/100</f>
        <v>0</v>
      </c>
      <c r="X98" s="199">
        <f t="shared" si="90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161.0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91">C99/100</f>
        <v>0</v>
      </c>
      <c r="X99" s="199">
        <f t="shared" si="91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162.0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2">C100/100</f>
        <v>0</v>
      </c>
      <c r="X100" s="199">
        <f t="shared" si="92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163.0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3">C101/100</f>
        <v>0</v>
      </c>
      <c r="X101" s="199">
        <f t="shared" si="93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164.0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4">C102/100</f>
        <v>0</v>
      </c>
      <c r="X102" s="199">
        <f t="shared" si="94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165.0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5">C103/100</f>
        <v>0</v>
      </c>
      <c r="X103" s="199">
        <f t="shared" si="95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166.0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6">C104/100</f>
        <v>0</v>
      </c>
      <c r="X104" s="199">
        <f t="shared" si="96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167.0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7">C105/100</f>
        <v>0</v>
      </c>
      <c r="X105" s="199">
        <f t="shared" si="97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168.0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8">C106/100</f>
        <v>0</v>
      </c>
      <c r="X106" s="199">
        <f t="shared" si="98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169.0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9">C107/100</f>
        <v>0</v>
      </c>
      <c r="X107" s="199">
        <f t="shared" si="99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170.0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100">C108/100</f>
        <v>0</v>
      </c>
      <c r="X108" s="199">
        <f t="shared" si="100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171.0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101">C109/100</f>
        <v>0</v>
      </c>
      <c r="X109" s="199">
        <f t="shared" si="101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172.0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2">C110/100</f>
        <v>0</v>
      </c>
      <c r="X110" s="199">
        <f t="shared" si="102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173.0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3">C111/100</f>
        <v>0</v>
      </c>
      <c r="X111" s="199">
        <f t="shared" si="103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174.0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4">C112/100</f>
        <v>0</v>
      </c>
      <c r="X112" s="199">
        <f t="shared" si="104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175.0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5">C113/100</f>
        <v>0</v>
      </c>
      <c r="X113" s="199">
        <f t="shared" si="105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176.0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6">C114/100</f>
        <v>0</v>
      </c>
      <c r="X114" s="199">
        <f t="shared" si="106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177.0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7">C115/100</f>
        <v>0</v>
      </c>
      <c r="X115" s="199">
        <f t="shared" si="107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178.0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8">C116/100</f>
        <v>0</v>
      </c>
      <c r="X116" s="199">
        <f t="shared" si="108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179.0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9">C117/100</f>
        <v>0</v>
      </c>
      <c r="X117" s="199">
        <f t="shared" si="109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180.0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10">C118/100</f>
        <v>0</v>
      </c>
      <c r="X118" s="199">
        <f t="shared" si="110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181.0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11">C119/100</f>
        <v>0</v>
      </c>
      <c r="X119" s="199">
        <f t="shared" si="111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182.0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2">C120/100</f>
        <v>0</v>
      </c>
      <c r="X120" s="199">
        <f t="shared" si="112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183.0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3">C121/100</f>
        <v>0</v>
      </c>
      <c r="X121" s="199">
        <f t="shared" si="113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184.0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4">C122/100</f>
        <v>0</v>
      </c>
      <c r="X122" s="199">
        <f t="shared" si="114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185.0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5">C123/100</f>
        <v>0</v>
      </c>
      <c r="X123" s="199">
        <f t="shared" si="115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186.0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6">C124/100</f>
        <v>0</v>
      </c>
      <c r="X124" s="199">
        <f t="shared" si="116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187.0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7">C125/100</f>
        <v>0</v>
      </c>
      <c r="X125" s="199">
        <f t="shared" si="117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188.0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8">C126/100</f>
        <v>0</v>
      </c>
      <c r="X126" s="199">
        <f t="shared" si="118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189.0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9">C127/100</f>
        <v>0</v>
      </c>
      <c r="X127" s="199">
        <f t="shared" si="119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190.0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20">C128/100</f>
        <v>0</v>
      </c>
      <c r="X128" s="199">
        <f t="shared" si="120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191.0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21">C129/100</f>
        <v>0</v>
      </c>
      <c r="X129" s="199">
        <f t="shared" si="121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192.0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2">C130/100</f>
        <v>0</v>
      </c>
      <c r="X130" s="199">
        <f t="shared" si="122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193.0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3">C131/100</f>
        <v>0</v>
      </c>
      <c r="X131" s="199">
        <f t="shared" si="123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194.0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4">C132/100</f>
        <v>0</v>
      </c>
      <c r="X132" s="199">
        <f t="shared" si="124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195.0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5">C133/100</f>
        <v>0</v>
      </c>
      <c r="X133" s="199">
        <f t="shared" si="125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196.0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6">C134/100</f>
        <v>0</v>
      </c>
      <c r="X134" s="199">
        <f t="shared" si="126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197.0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7">C135/100</f>
        <v>0</v>
      </c>
      <c r="X135" s="199">
        <f t="shared" si="127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198.0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8">C136/100</f>
        <v>0</v>
      </c>
      <c r="X136" s="199">
        <f t="shared" si="128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199.0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9">C137/100</f>
        <v>0</v>
      </c>
      <c r="X137" s="199">
        <f t="shared" si="129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200.0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30">C138/100</f>
        <v>0</v>
      </c>
      <c r="X138" s="199">
        <f t="shared" si="130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201.0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31">C139/100</f>
        <v>0</v>
      </c>
      <c r="X139" s="199">
        <f t="shared" si="131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202.0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2">C140/100</f>
        <v>0</v>
      </c>
      <c r="X140" s="199">
        <f t="shared" si="132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203.0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3">C141/100</f>
        <v>0</v>
      </c>
      <c r="X141" s="199">
        <f t="shared" si="133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204.0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4">C142/100</f>
        <v>0</v>
      </c>
      <c r="X142" s="199">
        <f t="shared" si="134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205.0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5">C143/100</f>
        <v>0</v>
      </c>
      <c r="X143" s="199">
        <f t="shared" si="135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206.0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6">C144/100</f>
        <v>0</v>
      </c>
      <c r="X144" s="199">
        <f t="shared" si="136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207.0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7">C145/100</f>
        <v>0</v>
      </c>
      <c r="X145" s="199">
        <f t="shared" si="137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208.0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8">C146/100</f>
        <v>0</v>
      </c>
      <c r="X146" s="199">
        <f t="shared" si="138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209.0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9">C147/100</f>
        <v>0</v>
      </c>
      <c r="X147" s="199">
        <f t="shared" si="139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210.0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40">C148/100</f>
        <v>0</v>
      </c>
      <c r="X148" s="199">
        <f t="shared" si="140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211.0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41">C149/100</f>
        <v>0</v>
      </c>
      <c r="X149" s="199">
        <f t="shared" si="141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212.0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2">C150/100</f>
        <v>0</v>
      </c>
      <c r="X150" s="199">
        <f t="shared" si="142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213.0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3">C151/100</f>
        <v>0</v>
      </c>
      <c r="X151" s="199">
        <f t="shared" si="143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214.0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4">C152/100</f>
        <v>0</v>
      </c>
      <c r="X152" s="199">
        <f t="shared" si="144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215.0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5">C153/100</f>
        <v>0</v>
      </c>
      <c r="X153" s="199">
        <f t="shared" si="145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216.0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6">C154/100</f>
        <v>0</v>
      </c>
      <c r="X154" s="199">
        <f t="shared" si="146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217.0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7">C155/100</f>
        <v>0</v>
      </c>
      <c r="X155" s="199">
        <f t="shared" si="147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customHeight="1">
      <c r="A156" s="162"/>
      <c r="B156" s="178"/>
      <c r="C156" s="178"/>
      <c r="D156" s="178"/>
      <c r="E156" s="178"/>
      <c r="F156" s="178"/>
      <c r="G156" s="178"/>
      <c r="H156" s="181"/>
      <c r="I156" s="162"/>
      <c r="J156" s="204">
        <f>+Q205</f>
        <v>59.2</v>
      </c>
      <c r="K156" s="139"/>
      <c r="L156" s="139"/>
      <c r="M156" s="139"/>
      <c r="N156" s="139"/>
      <c r="O156" s="139"/>
      <c r="P156" s="139"/>
      <c r="Q156" s="139"/>
      <c r="R156" s="205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8">C156/100</f>
        <v>0</v>
      </c>
      <c r="X156" s="199">
        <f t="shared" si="148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customHeight="1">
      <c r="A157" s="162"/>
      <c r="B157" s="206"/>
      <c r="C157" s="206"/>
      <c r="D157" s="206"/>
      <c r="E157" s="206"/>
      <c r="F157" s="206"/>
      <c r="G157" s="206"/>
      <c r="H157" s="207"/>
      <c r="I157" s="208">
        <f>SUM(I25:I155)</f>
        <v>14</v>
      </c>
      <c r="J157" s="209">
        <f>SUM(J25:J156)</f>
        <v>10249.88662</v>
      </c>
      <c r="K157" s="210"/>
      <c r="L157" s="210"/>
      <c r="M157" s="210"/>
      <c r="N157" s="210"/>
      <c r="O157" s="210"/>
      <c r="P157" s="210"/>
      <c r="Q157" s="210"/>
      <c r="R157" s="141"/>
      <c r="S157" s="210">
        <f>SUMIFS($T$25:$T$155,$S$25:$S$155,"&gt;=3")</f>
        <v>8</v>
      </c>
      <c r="T157" s="210">
        <f t="shared" ref="T157:U157" si="149">SUM(T25:T155)</f>
        <v>14</v>
      </c>
      <c r="U157" s="210">
        <f t="shared" si="149"/>
        <v>239.12</v>
      </c>
      <c r="V157" s="210"/>
      <c r="W157" s="210"/>
      <c r="X157" s="210"/>
      <c r="Y157" s="210"/>
      <c r="Z157" s="211">
        <f>SUM(Z25:Z156)</f>
        <v>468.656352</v>
      </c>
      <c r="AA157" s="210"/>
      <c r="AB157" s="210"/>
      <c r="AC157" s="210"/>
      <c r="AD157" s="210"/>
      <c r="AE157" s="210"/>
      <c r="AF157" s="210"/>
      <c r="AG157" s="210"/>
      <c r="AH157" s="210"/>
      <c r="AI157" s="210"/>
      <c r="AJ157" s="210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</row>
    <row r="158" ht="29.25" customHeight="1">
      <c r="A158" s="139"/>
      <c r="B158" s="139"/>
      <c r="C158" s="139"/>
      <c r="D158" s="139"/>
      <c r="E158" s="139"/>
      <c r="F158" s="139"/>
      <c r="G158" s="139"/>
      <c r="H158" s="140"/>
      <c r="I158" s="139"/>
      <c r="J158" s="139"/>
      <c r="K158" s="139"/>
      <c r="L158" s="139"/>
      <c r="M158" s="139"/>
      <c r="N158" s="139"/>
      <c r="O158" s="139"/>
      <c r="P158" s="139"/>
      <c r="Q158" s="139"/>
      <c r="R158" s="141"/>
      <c r="S158" s="203"/>
      <c r="T158" s="139">
        <f>+T157-S157</f>
        <v>6</v>
      </c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9.25" customHeight="1">
      <c r="A159" s="139"/>
      <c r="B159" s="139"/>
      <c r="C159" s="139"/>
      <c r="D159" s="139"/>
      <c r="E159" s="139"/>
      <c r="F159" s="139"/>
      <c r="G159" s="139"/>
      <c r="H159" s="140"/>
      <c r="I159" s="139"/>
      <c r="J159" s="269"/>
      <c r="K159" s="139"/>
      <c r="L159" s="139"/>
      <c r="M159" s="139"/>
      <c r="N159" s="139"/>
      <c r="O159" s="139"/>
      <c r="P159" s="139"/>
      <c r="Q159" s="139"/>
      <c r="R159" s="205"/>
      <c r="S159" s="139"/>
      <c r="T159" s="139" t="s">
        <v>48</v>
      </c>
      <c r="U159" s="139" t="s">
        <v>68</v>
      </c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9.25" customHeight="1">
      <c r="A160" s="139"/>
      <c r="B160" s="139"/>
      <c r="C160" s="139"/>
      <c r="D160" s="139"/>
      <c r="E160" s="139"/>
      <c r="F160" s="139"/>
      <c r="G160" s="139"/>
      <c r="H160" s="140"/>
      <c r="I160" s="139"/>
      <c r="J160" s="139"/>
      <c r="K160" s="139"/>
      <c r="L160" s="139"/>
      <c r="M160" s="139"/>
      <c r="N160" s="139"/>
      <c r="O160" s="139"/>
      <c r="P160" s="139"/>
      <c r="Q160" s="139"/>
      <c r="R160" s="141"/>
      <c r="S160" s="139" t="s">
        <v>31</v>
      </c>
      <c r="T160" s="212">
        <f>SUMIFS($J$25:$J$155,$S$25:$S$155,"&gt;=3")</f>
        <v>9777.683574</v>
      </c>
      <c r="U160" s="213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9.25" customHeight="1">
      <c r="A161" s="139" t="s">
        <v>32</v>
      </c>
      <c r="B161" s="139"/>
      <c r="C161" s="139"/>
      <c r="D161" s="139" t="s">
        <v>33</v>
      </c>
      <c r="E161" s="139"/>
      <c r="F161" s="139"/>
      <c r="G161" s="139"/>
      <c r="H161" s="140"/>
      <c r="I161" s="139"/>
      <c r="J161" s="139"/>
      <c r="K161" s="139"/>
      <c r="L161" s="139"/>
      <c r="M161" s="139"/>
      <c r="N161" s="139"/>
      <c r="O161" s="139"/>
      <c r="P161" s="139"/>
      <c r="Q161" s="139"/>
      <c r="R161" s="141"/>
      <c r="S161" s="139" t="s">
        <v>34</v>
      </c>
      <c r="T161" s="266">
        <f>J157-T160</f>
        <v>472.2030487</v>
      </c>
      <c r="U161" s="213">
        <f>+SUMIFS($U$25:$U$155,$S$25:$S$155,"&gt;=3")</f>
        <v>227.48</v>
      </c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9.25" customHeight="1">
      <c r="A162" s="139"/>
      <c r="B162" s="139"/>
      <c r="C162" s="139"/>
      <c r="D162" s="139"/>
      <c r="E162" s="139"/>
      <c r="F162" s="139"/>
      <c r="G162" s="139"/>
      <c r="H162" s="140"/>
      <c r="I162" s="139"/>
      <c r="J162" s="139"/>
      <c r="K162" s="139"/>
      <c r="L162" s="139"/>
      <c r="M162" s="139"/>
      <c r="N162" s="139"/>
      <c r="O162" s="139"/>
      <c r="P162" s="139"/>
      <c r="Q162" s="139"/>
      <c r="R162" s="205"/>
      <c r="S162" s="139"/>
      <c r="T162" s="214">
        <f>+I157</f>
        <v>14</v>
      </c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39.0" customHeight="1">
      <c r="A163" s="178"/>
      <c r="B163" s="162" t="s">
        <v>12</v>
      </c>
      <c r="C163" s="179" t="s">
        <v>69</v>
      </c>
      <c r="D163" s="52"/>
      <c r="E163" s="53"/>
      <c r="F163" s="180"/>
      <c r="G163" s="180"/>
      <c r="H163" s="181" t="s">
        <v>14</v>
      </c>
      <c r="I163" s="162" t="s">
        <v>15</v>
      </c>
      <c r="J163" s="162" t="s">
        <v>16</v>
      </c>
      <c r="K163" s="139"/>
      <c r="L163" s="139"/>
      <c r="M163" s="139"/>
      <c r="N163" s="139"/>
      <c r="O163" s="139"/>
      <c r="P163" s="139"/>
      <c r="Q163" s="139"/>
      <c r="R163" s="141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customHeight="1">
      <c r="A164" s="155">
        <v>1.0</v>
      </c>
      <c r="B164" s="215" t="s">
        <v>67</v>
      </c>
      <c r="C164" s="215">
        <v>85.0</v>
      </c>
      <c r="D164" s="215">
        <v>191.0</v>
      </c>
      <c r="E164" s="215">
        <v>193.0</v>
      </c>
      <c r="F164" s="215">
        <f t="shared" ref="F164:F175" si="150">1-VALUE(IF(RIGHT(B164, 1)="%", RIGHT(B164, 3), 0))</f>
        <v>0.2</v>
      </c>
      <c r="G164" s="215">
        <f t="shared" ref="G164:G175" si="151">+Q164*C164/100*D164/100*E164/100</f>
        <v>0</v>
      </c>
      <c r="H164" s="216">
        <f t="shared" ref="H164:H175" si="152">IF(F164=0, G164, F164*G164)</f>
        <v>0</v>
      </c>
      <c r="I164" s="215">
        <v>1.0</v>
      </c>
      <c r="J164" s="217">
        <v>51.70035750000001</v>
      </c>
      <c r="K164" s="139"/>
      <c r="L164" s="178">
        <f t="shared" ref="L164:L170" si="153">D164*25.4/1000</f>
        <v>4.8514</v>
      </c>
      <c r="M164" s="162">
        <f t="shared" ref="M164:M166" si="154">+I164</f>
        <v>1</v>
      </c>
      <c r="N164" s="162">
        <f t="shared" ref="N164:N166" si="155">M164*L164</f>
        <v>4.8514</v>
      </c>
      <c r="O164" s="139"/>
      <c r="P164" s="139"/>
      <c r="Q164" s="139"/>
      <c r="R164" s="141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customHeight="1">
      <c r="A165" s="155">
        <v>2.0</v>
      </c>
      <c r="B165" s="215" t="s">
        <v>97</v>
      </c>
      <c r="C165" s="215">
        <v>78.0</v>
      </c>
      <c r="D165" s="215">
        <v>205.0</v>
      </c>
      <c r="E165" s="215">
        <v>194.0</v>
      </c>
      <c r="F165" s="215">
        <f t="shared" si="150"/>
        <v>0.2</v>
      </c>
      <c r="G165" s="215">
        <f t="shared" si="151"/>
        <v>0</v>
      </c>
      <c r="H165" s="216">
        <f t="shared" si="152"/>
        <v>0</v>
      </c>
      <c r="I165" s="215">
        <v>1.0</v>
      </c>
      <c r="J165" s="217">
        <v>69.79635</v>
      </c>
      <c r="K165" s="139"/>
      <c r="L165" s="178">
        <f t="shared" si="153"/>
        <v>5.207</v>
      </c>
      <c r="M165" s="162">
        <f t="shared" si="154"/>
        <v>1</v>
      </c>
      <c r="N165" s="162">
        <f t="shared" si="155"/>
        <v>5.207</v>
      </c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customHeight="1">
      <c r="A166" s="155">
        <v>3.0</v>
      </c>
      <c r="B166" s="218" t="s">
        <v>122</v>
      </c>
      <c r="C166" s="218">
        <v>77.0</v>
      </c>
      <c r="D166" s="218">
        <v>199.0</v>
      </c>
      <c r="E166" s="218">
        <v>189.0</v>
      </c>
      <c r="F166" s="218">
        <f t="shared" si="150"/>
        <v>0.2</v>
      </c>
      <c r="G166" s="218">
        <f t="shared" si="151"/>
        <v>0</v>
      </c>
      <c r="H166" s="219">
        <f t="shared" si="152"/>
        <v>0</v>
      </c>
      <c r="I166" s="218">
        <v>1.0</v>
      </c>
      <c r="J166" s="195">
        <v>78.19326900000002</v>
      </c>
      <c r="K166" s="139"/>
      <c r="L166" s="178">
        <f t="shared" si="153"/>
        <v>5.0546</v>
      </c>
      <c r="M166" s="162">
        <f t="shared" si="154"/>
        <v>1</v>
      </c>
      <c r="N166" s="162">
        <f t="shared" si="155"/>
        <v>5.0546</v>
      </c>
      <c r="O166" s="139"/>
      <c r="P166" s="139"/>
      <c r="Q166" s="139"/>
      <c r="R166" s="139"/>
      <c r="S166" s="220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55">
        <v>6.0</v>
      </c>
      <c r="B167" s="218"/>
      <c r="C167" s="218"/>
      <c r="D167" s="218"/>
      <c r="E167" s="218"/>
      <c r="F167" s="218">
        <f t="shared" si="150"/>
        <v>1</v>
      </c>
      <c r="G167" s="218">
        <f t="shared" si="151"/>
        <v>0</v>
      </c>
      <c r="H167" s="219">
        <f t="shared" si="152"/>
        <v>0</v>
      </c>
      <c r="I167" s="218"/>
      <c r="J167" s="195">
        <f t="shared" ref="J167:J175" si="156">+I167*H167</f>
        <v>0</v>
      </c>
      <c r="K167" s="139"/>
      <c r="L167" s="139">
        <f t="shared" si="153"/>
        <v>0</v>
      </c>
      <c r="M167" s="221"/>
      <c r="N167" s="221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55">
        <v>7.0</v>
      </c>
      <c r="B168" s="218"/>
      <c r="C168" s="218"/>
      <c r="D168" s="218"/>
      <c r="E168" s="218"/>
      <c r="F168" s="218">
        <f t="shared" si="150"/>
        <v>1</v>
      </c>
      <c r="G168" s="218">
        <f t="shared" si="151"/>
        <v>0</v>
      </c>
      <c r="H168" s="219">
        <f t="shared" si="152"/>
        <v>0</v>
      </c>
      <c r="I168" s="218"/>
      <c r="J168" s="195">
        <f t="shared" si="156"/>
        <v>0</v>
      </c>
      <c r="K168" s="139"/>
      <c r="L168" s="139">
        <f t="shared" si="153"/>
        <v>0</v>
      </c>
      <c r="M168" s="221"/>
      <c r="N168" s="221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55">
        <v>8.0</v>
      </c>
      <c r="B169" s="218"/>
      <c r="C169" s="218"/>
      <c r="D169" s="218"/>
      <c r="E169" s="218"/>
      <c r="F169" s="218">
        <f t="shared" si="150"/>
        <v>1</v>
      </c>
      <c r="G169" s="218">
        <f t="shared" si="151"/>
        <v>0</v>
      </c>
      <c r="H169" s="219">
        <f t="shared" si="152"/>
        <v>0</v>
      </c>
      <c r="I169" s="218"/>
      <c r="J169" s="195">
        <f t="shared" si="156"/>
        <v>0</v>
      </c>
      <c r="K169" s="139"/>
      <c r="L169" s="139">
        <f t="shared" si="153"/>
        <v>0</v>
      </c>
      <c r="M169" s="221"/>
      <c r="N169" s="221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55">
        <v>9.0</v>
      </c>
      <c r="B170" s="218"/>
      <c r="C170" s="218"/>
      <c r="D170" s="218"/>
      <c r="E170" s="218"/>
      <c r="F170" s="218">
        <f t="shared" si="150"/>
        <v>1</v>
      </c>
      <c r="G170" s="218">
        <f t="shared" si="151"/>
        <v>0</v>
      </c>
      <c r="H170" s="219">
        <f t="shared" si="152"/>
        <v>0</v>
      </c>
      <c r="I170" s="218"/>
      <c r="J170" s="195">
        <f t="shared" si="156"/>
        <v>0</v>
      </c>
      <c r="K170" s="139"/>
      <c r="L170" s="139">
        <f t="shared" si="153"/>
        <v>0</v>
      </c>
      <c r="M170" s="221"/>
      <c r="N170" s="221"/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55">
        <v>10.0</v>
      </c>
      <c r="B171" s="193"/>
      <c r="C171" s="193"/>
      <c r="D171" s="193"/>
      <c r="E171" s="193"/>
      <c r="F171" s="193">
        <f t="shared" si="150"/>
        <v>1</v>
      </c>
      <c r="G171" s="193">
        <f t="shared" si="151"/>
        <v>0</v>
      </c>
      <c r="H171" s="194">
        <f t="shared" si="152"/>
        <v>0</v>
      </c>
      <c r="I171" s="193"/>
      <c r="J171" s="195">
        <f t="shared" si="156"/>
        <v>0</v>
      </c>
      <c r="K171" s="139"/>
      <c r="L171" s="139"/>
      <c r="M171" s="221"/>
      <c r="N171" s="221"/>
      <c r="O171" s="139"/>
      <c r="P171" s="139"/>
      <c r="Q171" s="139"/>
      <c r="R171" s="139"/>
      <c r="S171" s="139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55">
        <v>11.0</v>
      </c>
      <c r="B172" s="193"/>
      <c r="C172" s="193"/>
      <c r="D172" s="193"/>
      <c r="E172" s="193"/>
      <c r="F172" s="193">
        <f t="shared" si="150"/>
        <v>1</v>
      </c>
      <c r="G172" s="193">
        <f t="shared" si="151"/>
        <v>0</v>
      </c>
      <c r="H172" s="194">
        <f t="shared" si="152"/>
        <v>0</v>
      </c>
      <c r="I172" s="193"/>
      <c r="J172" s="195">
        <f t="shared" si="156"/>
        <v>0</v>
      </c>
      <c r="K172" s="139"/>
      <c r="L172" s="139"/>
      <c r="M172" s="221"/>
      <c r="N172" s="221"/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55">
        <v>12.0</v>
      </c>
      <c r="B173" s="193"/>
      <c r="C173" s="193"/>
      <c r="D173" s="193"/>
      <c r="E173" s="193"/>
      <c r="F173" s="193">
        <f t="shared" si="150"/>
        <v>1</v>
      </c>
      <c r="G173" s="193">
        <f t="shared" si="151"/>
        <v>0</v>
      </c>
      <c r="H173" s="194">
        <f t="shared" si="152"/>
        <v>0</v>
      </c>
      <c r="I173" s="193"/>
      <c r="J173" s="195">
        <f t="shared" si="156"/>
        <v>0</v>
      </c>
      <c r="K173" s="139"/>
      <c r="L173" s="139"/>
      <c r="M173" s="221"/>
      <c r="N173" s="221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55">
        <v>13.0</v>
      </c>
      <c r="B174" s="193"/>
      <c r="C174" s="193"/>
      <c r="D174" s="193"/>
      <c r="E174" s="193"/>
      <c r="F174" s="193">
        <f t="shared" si="150"/>
        <v>1</v>
      </c>
      <c r="G174" s="193">
        <f t="shared" si="151"/>
        <v>0</v>
      </c>
      <c r="H174" s="194">
        <f t="shared" si="152"/>
        <v>0</v>
      </c>
      <c r="I174" s="193"/>
      <c r="J174" s="195">
        <f t="shared" si="156"/>
        <v>0</v>
      </c>
      <c r="K174" s="139"/>
      <c r="L174" s="139"/>
      <c r="M174" s="221"/>
      <c r="N174" s="221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55">
        <v>14.0</v>
      </c>
      <c r="B175" s="193"/>
      <c r="C175" s="193"/>
      <c r="D175" s="193"/>
      <c r="E175" s="193"/>
      <c r="F175" s="193">
        <f t="shared" si="150"/>
        <v>1</v>
      </c>
      <c r="G175" s="193">
        <f t="shared" si="151"/>
        <v>0</v>
      </c>
      <c r="H175" s="194">
        <f t="shared" si="152"/>
        <v>0</v>
      </c>
      <c r="I175" s="193"/>
      <c r="J175" s="195">
        <f t="shared" si="156"/>
        <v>0</v>
      </c>
      <c r="K175" s="139"/>
      <c r="L175" s="139"/>
      <c r="M175" s="221"/>
      <c r="N175" s="221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4.75" customHeight="1">
      <c r="A176" s="162"/>
      <c r="B176" s="197"/>
      <c r="C176" s="197"/>
      <c r="D176" s="197"/>
      <c r="E176" s="197"/>
      <c r="F176" s="197"/>
      <c r="G176" s="197"/>
      <c r="H176" s="222" t="s">
        <v>38</v>
      </c>
      <c r="I176" s="197"/>
      <c r="J176" s="223">
        <f>SUM(J164:J175)</f>
        <v>199.6899765</v>
      </c>
      <c r="K176" s="139"/>
      <c r="L176" s="139"/>
      <c r="M176" s="139"/>
      <c r="N176" s="139"/>
      <c r="O176" s="139"/>
      <c r="P176" s="139"/>
      <c r="Q176" s="139"/>
      <c r="R176" s="141"/>
      <c r="S176" s="224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18.75" customHeight="1">
      <c r="A177" s="176"/>
      <c r="B177" s="144"/>
      <c r="C177" s="144"/>
      <c r="D177" s="144"/>
      <c r="E177" s="144"/>
      <c r="F177" s="144"/>
      <c r="G177" s="144"/>
      <c r="H177" s="145"/>
      <c r="I177" s="144"/>
      <c r="J177" s="177"/>
      <c r="K177" s="139"/>
      <c r="L177" s="139"/>
      <c r="M177" s="139"/>
      <c r="N177" s="139"/>
      <c r="O177" s="139"/>
      <c r="P177" s="139"/>
      <c r="Q177" s="139"/>
      <c r="R177" s="141"/>
      <c r="S177" s="224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18.75" customHeight="1">
      <c r="A178" s="139"/>
      <c r="B178" s="139"/>
      <c r="C178" s="139"/>
      <c r="D178" s="139"/>
      <c r="E178" s="139"/>
      <c r="F178" s="139"/>
      <c r="G178" s="139"/>
      <c r="H178" s="140"/>
      <c r="I178" s="139"/>
      <c r="J178" s="139"/>
      <c r="K178" s="139"/>
      <c r="L178" s="139"/>
      <c r="M178" s="139"/>
      <c r="N178" s="139"/>
      <c r="O178" s="139"/>
      <c r="P178" s="139"/>
      <c r="Q178" s="139"/>
      <c r="R178" s="141"/>
      <c r="S178" s="224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18.7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224"/>
      <c r="S179" s="224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18.75" customHeight="1">
      <c r="A180" s="139" t="s">
        <v>39</v>
      </c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224"/>
      <c r="S180" s="224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18.7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224"/>
      <c r="S181" s="224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42.0" customHeight="1">
      <c r="A182" s="178"/>
      <c r="B182" s="162" t="s">
        <v>12</v>
      </c>
      <c r="C182" s="179" t="s">
        <v>75</v>
      </c>
      <c r="D182" s="52"/>
      <c r="E182" s="53"/>
      <c r="F182" s="225"/>
      <c r="G182" s="225"/>
      <c r="H182" s="181" t="s">
        <v>14</v>
      </c>
      <c r="I182" s="226" t="s">
        <v>15</v>
      </c>
      <c r="J182" s="162" t="s">
        <v>16</v>
      </c>
      <c r="K182" s="139"/>
      <c r="L182" s="139"/>
      <c r="M182" s="139"/>
      <c r="N182" s="139"/>
      <c r="O182" s="139"/>
      <c r="P182" s="139"/>
      <c r="Q182" s="139"/>
      <c r="R182" s="224"/>
      <c r="S182" s="224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4.75" customHeight="1">
      <c r="A183" s="162">
        <v>1.0</v>
      </c>
      <c r="B183" s="183" t="s">
        <v>59</v>
      </c>
      <c r="C183" s="200"/>
      <c r="D183" s="200"/>
      <c r="E183" s="200"/>
      <c r="F183" s="200"/>
      <c r="G183" s="200"/>
      <c r="H183" s="227">
        <v>21.0</v>
      </c>
      <c r="I183" s="200">
        <v>1.0</v>
      </c>
      <c r="J183" s="195">
        <f t="shared" ref="J183:J203" si="157">+I183*H183</f>
        <v>21</v>
      </c>
      <c r="K183" s="178"/>
      <c r="L183" s="178"/>
      <c r="M183" s="178"/>
      <c r="N183" s="178"/>
      <c r="O183" s="178"/>
      <c r="P183" s="178"/>
      <c r="Q183" s="228"/>
      <c r="R183" s="224"/>
      <c r="S183" s="224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4.75" customHeight="1">
      <c r="A184" s="162">
        <v>2.0</v>
      </c>
      <c r="B184" s="193" t="s">
        <v>59</v>
      </c>
      <c r="C184" s="200"/>
      <c r="D184" s="200"/>
      <c r="E184" s="200"/>
      <c r="F184" s="200"/>
      <c r="G184" s="200"/>
      <c r="H184" s="227">
        <v>14.0</v>
      </c>
      <c r="I184" s="200">
        <v>1.0</v>
      </c>
      <c r="J184" s="195">
        <f t="shared" si="157"/>
        <v>14</v>
      </c>
      <c r="K184" s="178"/>
      <c r="L184" s="178"/>
      <c r="M184" s="178"/>
      <c r="N184" s="178"/>
      <c r="O184" s="178"/>
      <c r="P184" s="178"/>
      <c r="Q184" s="228"/>
      <c r="R184" s="224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4.75" customHeight="1">
      <c r="A185" s="162">
        <v>3.0</v>
      </c>
      <c r="B185" s="183" t="s">
        <v>91</v>
      </c>
      <c r="C185" s="200"/>
      <c r="D185" s="200"/>
      <c r="E185" s="200"/>
      <c r="F185" s="200"/>
      <c r="G185" s="200"/>
      <c r="H185" s="227">
        <v>35.0</v>
      </c>
      <c r="I185" s="200">
        <v>1.0</v>
      </c>
      <c r="J185" s="195">
        <f t="shared" si="157"/>
        <v>35</v>
      </c>
      <c r="K185" s="178"/>
      <c r="L185" s="178"/>
      <c r="M185" s="178"/>
      <c r="N185" s="178"/>
      <c r="O185" s="178"/>
      <c r="P185" s="178"/>
      <c r="Q185" s="228"/>
      <c r="R185" s="224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4.75" customHeight="1">
      <c r="A186" s="162">
        <v>4.0</v>
      </c>
      <c r="B186" s="193" t="s">
        <v>91</v>
      </c>
      <c r="C186" s="200"/>
      <c r="D186" s="200"/>
      <c r="E186" s="200"/>
      <c r="F186" s="200"/>
      <c r="G186" s="200"/>
      <c r="H186" s="227">
        <v>18.0</v>
      </c>
      <c r="I186" s="200">
        <v>1.0</v>
      </c>
      <c r="J186" s="195">
        <f t="shared" si="157"/>
        <v>18</v>
      </c>
      <c r="K186" s="178"/>
      <c r="L186" s="178"/>
      <c r="M186" s="178"/>
      <c r="N186" s="178"/>
      <c r="O186" s="178"/>
      <c r="P186" s="178"/>
      <c r="Q186" s="228"/>
      <c r="R186" s="224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4.75" customHeight="1">
      <c r="A187" s="162">
        <v>5.0</v>
      </c>
      <c r="B187" s="183" t="s">
        <v>119</v>
      </c>
      <c r="C187" s="200"/>
      <c r="D187" s="200"/>
      <c r="E187" s="200"/>
      <c r="F187" s="200"/>
      <c r="G187" s="200"/>
      <c r="H187" s="227">
        <v>33.0</v>
      </c>
      <c r="I187" s="200">
        <v>1.0</v>
      </c>
      <c r="J187" s="195">
        <f t="shared" si="157"/>
        <v>33</v>
      </c>
      <c r="K187" s="178"/>
      <c r="L187" s="178"/>
      <c r="M187" s="178"/>
      <c r="N187" s="178"/>
      <c r="O187" s="178"/>
      <c r="P187" s="178"/>
      <c r="Q187" s="228"/>
      <c r="R187" s="224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4.75" customHeight="1">
      <c r="A188" s="162">
        <v>6.0</v>
      </c>
      <c r="B188" s="193" t="s">
        <v>119</v>
      </c>
      <c r="C188" s="200"/>
      <c r="D188" s="200"/>
      <c r="E188" s="200"/>
      <c r="F188" s="200"/>
      <c r="G188" s="200"/>
      <c r="H188" s="227">
        <v>27.0</v>
      </c>
      <c r="I188" s="200">
        <v>1.0</v>
      </c>
      <c r="J188" s="195">
        <f t="shared" si="157"/>
        <v>27</v>
      </c>
      <c r="K188" s="178"/>
      <c r="L188" s="178"/>
      <c r="M188" s="178"/>
      <c r="N188" s="178"/>
      <c r="O188" s="178"/>
      <c r="P188" s="178"/>
      <c r="Q188" s="228"/>
      <c r="R188" s="224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4.75" hidden="1" customHeight="1">
      <c r="A189" s="162">
        <v>21.0</v>
      </c>
      <c r="B189" s="229"/>
      <c r="C189" s="200"/>
      <c r="D189" s="200"/>
      <c r="E189" s="200"/>
      <c r="F189" s="200"/>
      <c r="G189" s="200"/>
      <c r="H189" s="227"/>
      <c r="I189" s="200"/>
      <c r="J189" s="195">
        <f t="shared" si="157"/>
        <v>0</v>
      </c>
      <c r="K189" s="178"/>
      <c r="L189" s="178"/>
      <c r="M189" s="178"/>
      <c r="N189" s="178"/>
      <c r="O189" s="178"/>
      <c r="P189" s="178"/>
      <c r="Q189" s="228"/>
      <c r="R189" s="224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hidden="1" customHeight="1">
      <c r="A190" s="162">
        <v>22.0</v>
      </c>
      <c r="B190" s="229"/>
      <c r="C190" s="200"/>
      <c r="D190" s="200"/>
      <c r="E190" s="200"/>
      <c r="F190" s="200"/>
      <c r="G190" s="200"/>
      <c r="H190" s="227"/>
      <c r="I190" s="200"/>
      <c r="J190" s="195">
        <f t="shared" si="157"/>
        <v>0</v>
      </c>
      <c r="K190" s="178"/>
      <c r="L190" s="178"/>
      <c r="M190" s="178"/>
      <c r="N190" s="178"/>
      <c r="O190" s="178"/>
      <c r="P190" s="178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4.75" hidden="1" customHeight="1">
      <c r="A191" s="162">
        <v>23.0</v>
      </c>
      <c r="B191" s="229"/>
      <c r="C191" s="200"/>
      <c r="D191" s="200"/>
      <c r="E191" s="200"/>
      <c r="F191" s="200"/>
      <c r="G191" s="200"/>
      <c r="H191" s="227"/>
      <c r="I191" s="200"/>
      <c r="J191" s="195">
        <f t="shared" si="157"/>
        <v>0</v>
      </c>
      <c r="K191" s="178"/>
      <c r="L191" s="178"/>
      <c r="M191" s="178"/>
      <c r="N191" s="178"/>
      <c r="O191" s="178"/>
      <c r="P191" s="178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hidden="1" customHeight="1">
      <c r="A192" s="162">
        <v>24.0</v>
      </c>
      <c r="B192" s="229"/>
      <c r="C192" s="200"/>
      <c r="D192" s="200"/>
      <c r="E192" s="200"/>
      <c r="F192" s="200"/>
      <c r="G192" s="200"/>
      <c r="H192" s="227"/>
      <c r="I192" s="200"/>
      <c r="J192" s="195">
        <f t="shared" si="157"/>
        <v>0</v>
      </c>
      <c r="K192" s="178"/>
      <c r="L192" s="178"/>
      <c r="M192" s="178"/>
      <c r="N192" s="178"/>
      <c r="O192" s="178"/>
      <c r="P192" s="178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hidden="1" customHeight="1">
      <c r="A193" s="162">
        <v>25.0</v>
      </c>
      <c r="B193" s="229"/>
      <c r="C193" s="200"/>
      <c r="D193" s="200"/>
      <c r="E193" s="200"/>
      <c r="F193" s="200"/>
      <c r="G193" s="200"/>
      <c r="H193" s="227"/>
      <c r="I193" s="200"/>
      <c r="J193" s="195">
        <f t="shared" si="157"/>
        <v>0</v>
      </c>
      <c r="K193" s="178"/>
      <c r="L193" s="178"/>
      <c r="M193" s="178"/>
      <c r="N193" s="178"/>
      <c r="O193" s="178"/>
      <c r="P193" s="178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hidden="1" customHeight="1">
      <c r="A194" s="162">
        <v>26.0</v>
      </c>
      <c r="B194" s="229"/>
      <c r="C194" s="200"/>
      <c r="D194" s="200"/>
      <c r="E194" s="200"/>
      <c r="F194" s="200"/>
      <c r="G194" s="200"/>
      <c r="H194" s="227"/>
      <c r="I194" s="200"/>
      <c r="J194" s="195">
        <f t="shared" si="157"/>
        <v>0</v>
      </c>
      <c r="K194" s="178"/>
      <c r="L194" s="178"/>
      <c r="M194" s="178"/>
      <c r="N194" s="178"/>
      <c r="O194" s="178"/>
      <c r="P194" s="178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hidden="1" customHeight="1">
      <c r="A195" s="162">
        <v>27.0</v>
      </c>
      <c r="B195" s="229"/>
      <c r="C195" s="200"/>
      <c r="D195" s="200"/>
      <c r="E195" s="200"/>
      <c r="F195" s="200"/>
      <c r="G195" s="200"/>
      <c r="H195" s="200"/>
      <c r="I195" s="200"/>
      <c r="J195" s="195">
        <f t="shared" si="157"/>
        <v>0</v>
      </c>
      <c r="K195" s="178"/>
      <c r="L195" s="178"/>
      <c r="M195" s="178"/>
      <c r="N195" s="178"/>
      <c r="O195" s="178"/>
      <c r="P195" s="178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4.75" hidden="1" customHeight="1">
      <c r="A196" s="162">
        <v>28.0</v>
      </c>
      <c r="B196" s="229"/>
      <c r="C196" s="200"/>
      <c r="D196" s="200"/>
      <c r="E196" s="200"/>
      <c r="F196" s="200"/>
      <c r="G196" s="200"/>
      <c r="H196" s="200"/>
      <c r="I196" s="200"/>
      <c r="J196" s="195">
        <f t="shared" si="157"/>
        <v>0</v>
      </c>
      <c r="K196" s="178"/>
      <c r="L196" s="178"/>
      <c r="M196" s="178"/>
      <c r="N196" s="178"/>
      <c r="O196" s="178"/>
      <c r="P196" s="178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hidden="1" customHeight="1">
      <c r="A197" s="162">
        <v>29.0</v>
      </c>
      <c r="B197" s="230"/>
      <c r="C197" s="200"/>
      <c r="D197" s="200"/>
      <c r="E197" s="200"/>
      <c r="F197" s="200"/>
      <c r="G197" s="200"/>
      <c r="H197" s="200"/>
      <c r="I197" s="200"/>
      <c r="J197" s="195">
        <f t="shared" si="157"/>
        <v>0</v>
      </c>
      <c r="K197" s="178"/>
      <c r="L197" s="178"/>
      <c r="M197" s="178"/>
      <c r="N197" s="178"/>
      <c r="O197" s="178"/>
      <c r="P197" s="178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hidden="1" customHeight="1">
      <c r="A198" s="162">
        <v>30.0</v>
      </c>
      <c r="B198" s="230"/>
      <c r="C198" s="200"/>
      <c r="D198" s="200"/>
      <c r="E198" s="200"/>
      <c r="F198" s="200"/>
      <c r="G198" s="200"/>
      <c r="H198" s="227"/>
      <c r="I198" s="200"/>
      <c r="J198" s="195">
        <f t="shared" si="157"/>
        <v>0</v>
      </c>
      <c r="K198" s="178"/>
      <c r="L198" s="178"/>
      <c r="M198" s="178"/>
      <c r="N198" s="178"/>
      <c r="O198" s="178"/>
      <c r="P198" s="178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hidden="1" customHeight="1">
      <c r="A199" s="162">
        <v>31.0</v>
      </c>
      <c r="B199" s="218"/>
      <c r="C199" s="200"/>
      <c r="D199" s="200"/>
      <c r="E199" s="200"/>
      <c r="F199" s="200"/>
      <c r="G199" s="200"/>
      <c r="H199" s="227"/>
      <c r="I199" s="200"/>
      <c r="J199" s="195">
        <f t="shared" si="157"/>
        <v>0</v>
      </c>
      <c r="K199" s="178"/>
      <c r="L199" s="178"/>
      <c r="M199" s="178"/>
      <c r="N199" s="178"/>
      <c r="O199" s="178"/>
      <c r="P199" s="178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hidden="1" customHeight="1">
      <c r="A200" s="162">
        <v>32.0</v>
      </c>
      <c r="B200" s="218"/>
      <c r="C200" s="162"/>
      <c r="D200" s="162"/>
      <c r="E200" s="162"/>
      <c r="F200" s="162"/>
      <c r="G200" s="162"/>
      <c r="H200" s="162"/>
      <c r="I200" s="162"/>
      <c r="J200" s="195">
        <f t="shared" si="157"/>
        <v>0</v>
      </c>
      <c r="K200" s="178"/>
      <c r="L200" s="178"/>
      <c r="M200" s="178"/>
      <c r="N200" s="178"/>
      <c r="O200" s="178"/>
      <c r="P200" s="178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hidden="1" customHeight="1">
      <c r="A201" s="162">
        <v>33.0</v>
      </c>
      <c r="B201" s="230"/>
      <c r="C201" s="162"/>
      <c r="D201" s="162"/>
      <c r="E201" s="162"/>
      <c r="F201" s="162"/>
      <c r="G201" s="162"/>
      <c r="H201" s="162"/>
      <c r="I201" s="162"/>
      <c r="J201" s="195">
        <f t="shared" si="157"/>
        <v>0</v>
      </c>
      <c r="K201" s="178"/>
      <c r="L201" s="178"/>
      <c r="M201" s="178"/>
      <c r="N201" s="178"/>
      <c r="O201" s="178"/>
      <c r="P201" s="178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hidden="1" customHeight="1">
      <c r="A202" s="162">
        <v>34.0</v>
      </c>
      <c r="B202" s="231"/>
      <c r="C202" s="162"/>
      <c r="D202" s="162"/>
      <c r="E202" s="162"/>
      <c r="F202" s="162"/>
      <c r="G202" s="162"/>
      <c r="H202" s="162"/>
      <c r="I202" s="162"/>
      <c r="J202" s="195">
        <f t="shared" si="157"/>
        <v>0</v>
      </c>
      <c r="K202" s="178"/>
      <c r="L202" s="178"/>
      <c r="M202" s="178"/>
      <c r="N202" s="178"/>
      <c r="O202" s="178"/>
      <c r="P202" s="178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2">
        <v>35.0</v>
      </c>
      <c r="B203" s="232"/>
      <c r="C203" s="162"/>
      <c r="D203" s="162"/>
      <c r="E203" s="162"/>
      <c r="F203" s="162"/>
      <c r="G203" s="162"/>
      <c r="H203" s="162"/>
      <c r="I203" s="162"/>
      <c r="J203" s="195">
        <f t="shared" si="157"/>
        <v>0</v>
      </c>
      <c r="K203" s="178"/>
      <c r="L203" s="178"/>
      <c r="M203" s="178"/>
      <c r="N203" s="178"/>
      <c r="O203" s="178"/>
      <c r="P203" s="178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 t="s">
        <v>38</v>
      </c>
      <c r="I204" s="139"/>
      <c r="J204" s="233">
        <f>SUM(J183:J203)</f>
        <v>148</v>
      </c>
      <c r="K204" s="234"/>
      <c r="L204" s="234"/>
      <c r="M204" s="234"/>
      <c r="N204" s="234"/>
      <c r="O204" s="234"/>
      <c r="P204" s="234"/>
      <c r="Q204" s="234"/>
      <c r="R204" s="139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44"/>
      <c r="B205" s="144"/>
      <c r="C205" s="144"/>
      <c r="D205" s="144"/>
      <c r="E205" s="144"/>
      <c r="F205" s="144"/>
      <c r="G205" s="144"/>
      <c r="H205" s="145"/>
      <c r="I205" s="175"/>
      <c r="J205" s="206">
        <f>+J204*60%</f>
        <v>88.8</v>
      </c>
      <c r="K205" s="206"/>
      <c r="L205" s="206"/>
      <c r="M205" s="206"/>
      <c r="N205" s="206"/>
      <c r="O205" s="206"/>
      <c r="P205" s="206"/>
      <c r="Q205" s="206">
        <f>+J204*40%</f>
        <v>59.2</v>
      </c>
      <c r="R205" s="139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139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18.75" customHeight="1">
      <c r="A207" s="139"/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139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19.5" customHeight="1">
      <c r="A208" s="235" t="s">
        <v>41</v>
      </c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139"/>
      <c r="S208" s="224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57.0" customHeight="1">
      <c r="A209" s="236"/>
      <c r="B209" s="237" t="s">
        <v>42</v>
      </c>
      <c r="C209" s="237" t="s">
        <v>43</v>
      </c>
      <c r="D209" s="237" t="s">
        <v>44</v>
      </c>
      <c r="E209" s="237" t="s">
        <v>45</v>
      </c>
      <c r="F209" s="237"/>
      <c r="G209" s="237"/>
      <c r="H209" s="238" t="s">
        <v>46</v>
      </c>
      <c r="I209" s="239" t="s">
        <v>47</v>
      </c>
      <c r="J209" s="139"/>
      <c r="K209" s="139"/>
      <c r="L209" s="139"/>
      <c r="M209" s="139"/>
      <c r="N209" s="139"/>
      <c r="O209" s="139"/>
      <c r="P209" s="139"/>
      <c r="Q209" s="139"/>
      <c r="R209" s="141"/>
      <c r="S209" s="224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18.75" customHeight="1">
      <c r="A210" s="240" t="s">
        <v>48</v>
      </c>
      <c r="B210" s="241">
        <f>+E18</f>
        <v>11519.9157</v>
      </c>
      <c r="C210" s="242">
        <f>+J157</f>
        <v>10249.88662</v>
      </c>
      <c r="D210" s="242">
        <f>+J176</f>
        <v>199.6899765</v>
      </c>
      <c r="E210" s="243">
        <f>J205</f>
        <v>88.8</v>
      </c>
      <c r="F210" s="243"/>
      <c r="G210" s="243"/>
      <c r="H210" s="244">
        <f>+I18</f>
        <v>893.1945127</v>
      </c>
      <c r="I210" s="245">
        <f>+B210-C210-D210-E210-H210</f>
        <v>88.34458815</v>
      </c>
      <c r="J210" s="139"/>
      <c r="K210" s="139"/>
      <c r="L210" s="139"/>
      <c r="M210" s="139"/>
      <c r="N210" s="139"/>
      <c r="O210" s="139"/>
      <c r="P210" s="139"/>
      <c r="Q210" s="139"/>
      <c r="R210" s="141"/>
      <c r="S210" s="224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19.5" customHeight="1">
      <c r="A211" s="246" t="s">
        <v>49</v>
      </c>
      <c r="B211" s="247"/>
      <c r="C211" s="248">
        <f>+C210/B210</f>
        <v>0.8897536136</v>
      </c>
      <c r="D211" s="248">
        <f>+D210/B210</f>
        <v>0.0173343262</v>
      </c>
      <c r="E211" s="248">
        <f>+E210/B210</f>
        <v>0.007708389741</v>
      </c>
      <c r="F211" s="248"/>
      <c r="G211" s="248"/>
      <c r="H211" s="249">
        <f>+H210/B210</f>
        <v>0.07753481327</v>
      </c>
      <c r="I211" s="250">
        <f>+I210/B210</f>
        <v>0.007668857173</v>
      </c>
      <c r="J211" s="139"/>
      <c r="K211" s="139"/>
      <c r="L211" s="139"/>
      <c r="M211" s="139"/>
      <c r="N211" s="139"/>
      <c r="O211" s="139"/>
      <c r="P211" s="139"/>
      <c r="Q211" s="139"/>
      <c r="R211" s="141"/>
      <c r="S211" s="224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9.5" customHeight="1">
      <c r="A212" s="165"/>
      <c r="B212" s="221"/>
      <c r="C212" s="251"/>
      <c r="D212" s="251"/>
      <c r="E212" s="251"/>
      <c r="F212" s="251"/>
      <c r="G212" s="251"/>
      <c r="H212" s="252"/>
      <c r="I212" s="253"/>
      <c r="J212" s="139"/>
      <c r="K212" s="139"/>
      <c r="L212" s="139"/>
      <c r="M212" s="139"/>
      <c r="N212" s="139"/>
      <c r="O212" s="139"/>
      <c r="P212" s="139"/>
      <c r="Q212" s="139"/>
      <c r="R212" s="141"/>
      <c r="S212" s="22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75" customHeight="1">
      <c r="A213" s="254"/>
      <c r="B213" s="255"/>
      <c r="C213" s="255"/>
      <c r="D213" s="255" t="s">
        <v>50</v>
      </c>
      <c r="E213" s="255" t="s">
        <v>48</v>
      </c>
      <c r="F213" s="255"/>
      <c r="G213" s="255"/>
      <c r="H213" s="256">
        <f>+D210+E210+H210+I210</f>
        <v>1270.029077</v>
      </c>
      <c r="I213" s="257"/>
      <c r="J213" s="139"/>
      <c r="K213" s="139"/>
      <c r="L213" s="139"/>
      <c r="M213" s="139"/>
      <c r="N213" s="139"/>
      <c r="O213" s="139"/>
      <c r="P213" s="139"/>
      <c r="Q213" s="139"/>
      <c r="R213" s="141"/>
      <c r="S213" s="140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258"/>
      <c r="B214" s="139"/>
      <c r="C214" s="139"/>
      <c r="D214" s="139"/>
      <c r="E214" s="139" t="s">
        <v>49</v>
      </c>
      <c r="F214" s="139"/>
      <c r="G214" s="139"/>
      <c r="H214" s="252">
        <f>+H213/B210</f>
        <v>0.1102463864</v>
      </c>
      <c r="I214" s="259"/>
      <c r="J214" s="139"/>
      <c r="K214" s="139"/>
      <c r="L214" s="139"/>
      <c r="M214" s="139"/>
      <c r="N214" s="139"/>
      <c r="O214" s="139"/>
      <c r="P214" s="139"/>
      <c r="Q214" s="139"/>
      <c r="R214" s="141"/>
      <c r="S214" s="140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258"/>
      <c r="B215" s="139"/>
      <c r="C215" s="139" t="s">
        <v>51</v>
      </c>
      <c r="D215" s="139"/>
      <c r="E215" s="139"/>
      <c r="F215" s="139"/>
      <c r="G215" s="139"/>
      <c r="H215" s="140"/>
      <c r="I215" s="259"/>
      <c r="J215" s="139"/>
      <c r="K215" s="139"/>
      <c r="L215" s="139"/>
      <c r="M215" s="139"/>
      <c r="N215" s="139"/>
      <c r="O215" s="139"/>
      <c r="P215" s="139"/>
      <c r="Q215" s="139"/>
      <c r="R215" s="141"/>
      <c r="S215" s="140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258"/>
      <c r="B216" s="139"/>
      <c r="C216" s="139"/>
      <c r="D216" s="139" t="s">
        <v>52</v>
      </c>
      <c r="E216" s="139"/>
      <c r="F216" s="139"/>
      <c r="G216" s="139"/>
      <c r="H216" s="140">
        <f>+H215*(H213-H210)</f>
        <v>0</v>
      </c>
      <c r="I216" s="259"/>
      <c r="J216" s="139"/>
      <c r="K216" s="139"/>
      <c r="L216" s="139"/>
      <c r="M216" s="139"/>
      <c r="N216" s="139"/>
      <c r="O216" s="139"/>
      <c r="P216" s="139"/>
      <c r="Q216" s="139"/>
      <c r="R216" s="141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9.5" customHeight="1">
      <c r="A217" s="260"/>
      <c r="B217" s="261"/>
      <c r="C217" s="261"/>
      <c r="D217" s="261"/>
      <c r="E217" s="261"/>
      <c r="F217" s="261"/>
      <c r="G217" s="261"/>
      <c r="H217" s="262"/>
      <c r="I217" s="263"/>
      <c r="J217" s="139"/>
      <c r="K217" s="139"/>
      <c r="L217" s="139"/>
      <c r="M217" s="139"/>
      <c r="N217" s="139"/>
      <c r="O217" s="139"/>
      <c r="P217" s="139"/>
      <c r="Q217" s="139"/>
      <c r="R217" s="141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141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39"/>
      <c r="B219" s="139"/>
      <c r="C219" s="139"/>
      <c r="D219" s="139"/>
      <c r="E219" s="139"/>
      <c r="F219" s="139"/>
      <c r="G219" s="139"/>
      <c r="H219" s="140"/>
      <c r="I219" s="139"/>
      <c r="J219" s="139"/>
      <c r="K219" s="139"/>
      <c r="L219" s="139"/>
      <c r="M219" s="139"/>
      <c r="N219" s="139"/>
      <c r="O219" s="139"/>
      <c r="P219" s="139"/>
      <c r="Q219" s="139"/>
      <c r="R219" s="141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8.7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7"/>
      <c r="R221" s="265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7"/>
      <c r="R222" s="265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7"/>
      <c r="R223" s="265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7"/>
      <c r="R224" s="265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7"/>
      <c r="R225" s="265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7"/>
      <c r="R226" s="265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7"/>
      <c r="R227" s="265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7"/>
      <c r="R228" s="265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7"/>
      <c r="R229" s="265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7"/>
      <c r="R230" s="265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7"/>
      <c r="R231" s="265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7"/>
      <c r="R232" s="265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7"/>
      <c r="R233" s="265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7"/>
      <c r="R234" s="265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7"/>
      <c r="R235" s="265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7"/>
      <c r="R236" s="265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7"/>
      <c r="R237" s="265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7"/>
      <c r="R238" s="265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7"/>
      <c r="R239" s="265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7"/>
      <c r="R240" s="265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7"/>
      <c r="R241" s="265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7"/>
      <c r="R242" s="26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7"/>
      <c r="R243" s="26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7"/>
      <c r="R244" s="26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7"/>
      <c r="R245" s="26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63:E163"/>
    <mergeCell ref="C182:E18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7" width="9.14"/>
    <col customWidth="1" min="28" max="29" width="11.29"/>
    <col customWidth="1" min="30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44543.0</v>
      </c>
      <c r="J4" s="139" t="str">
        <f>+B8&amp;"/"&amp;B9&amp;"/"&amp;B10&amp;"/"&amp;B11&amp;"/"&amp;B12&amp;"/"&amp;B13&amp;"/"&amp;B14&amp;"/"&amp;B15&amp;"/"&amp;B16</f>
        <v>HRD2940/HRD2940/HRD2930/HRD2930/HRD2940/HRD2930/D2220/D2270CC/B280/D2080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137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+I267</f>
        <v>-0.01010451305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252.8*6</f>
        <v>1516.8</v>
      </c>
      <c r="F8" s="157"/>
      <c r="G8" s="157"/>
      <c r="H8" s="158">
        <v>6.0</v>
      </c>
      <c r="I8" s="159">
        <f t="shared" ref="I8:I23" si="1">+D8*E8</f>
        <v>22.14528</v>
      </c>
      <c r="J8" s="160">
        <f t="shared" ref="J8:J23" si="2">E8-I8</f>
        <v>1494.65472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252.8*37</f>
        <v>9353.6</v>
      </c>
      <c r="F9" s="157"/>
      <c r="G9" s="157"/>
      <c r="H9" s="158">
        <v>37.0</v>
      </c>
      <c r="I9" s="159">
        <f t="shared" si="1"/>
        <v>136.56256</v>
      </c>
      <c r="J9" s="160">
        <f t="shared" si="2"/>
        <v>9217.03744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4.0</v>
      </c>
      <c r="B10" s="162" t="s">
        <v>57</v>
      </c>
      <c r="C10" s="155">
        <v>29.5</v>
      </c>
      <c r="D10" s="163">
        <v>0.0155</v>
      </c>
      <c r="E10" s="164">
        <f>253.14*19.2</f>
        <v>4860.288</v>
      </c>
      <c r="F10" s="164"/>
      <c r="G10" s="164"/>
      <c r="H10" s="158">
        <v>19.2</v>
      </c>
      <c r="I10" s="159">
        <f t="shared" si="1"/>
        <v>75.334464</v>
      </c>
      <c r="J10" s="160">
        <f t="shared" si="2"/>
        <v>4784.953536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5.0</v>
      </c>
      <c r="B11" s="162" t="s">
        <v>57</v>
      </c>
      <c r="C11" s="155">
        <v>29.5</v>
      </c>
      <c r="D11" s="163">
        <v>0.0155</v>
      </c>
      <c r="E11" s="164">
        <f>253.14*7.5</f>
        <v>1898.55</v>
      </c>
      <c r="F11" s="164"/>
      <c r="G11" s="164"/>
      <c r="H11" s="158">
        <v>7.5</v>
      </c>
      <c r="I11" s="159">
        <f t="shared" si="1"/>
        <v>29.427525</v>
      </c>
      <c r="J11" s="160">
        <f t="shared" si="2"/>
        <v>1869.122475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6.0</v>
      </c>
      <c r="B12" s="162" t="s">
        <v>55</v>
      </c>
      <c r="C12" s="155">
        <v>29.5</v>
      </c>
      <c r="D12" s="163">
        <v>0.0146</v>
      </c>
      <c r="E12" s="164">
        <f>245.58*7.5</f>
        <v>1841.85</v>
      </c>
      <c r="F12" s="164"/>
      <c r="G12" s="164"/>
      <c r="H12" s="158">
        <v>7.5</v>
      </c>
      <c r="I12" s="159">
        <f t="shared" si="1"/>
        <v>26.89101</v>
      </c>
      <c r="J12" s="160">
        <f t="shared" si="2"/>
        <v>1814.95899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7.0</v>
      </c>
      <c r="B13" s="162" t="s">
        <v>57</v>
      </c>
      <c r="C13" s="155">
        <v>29.5</v>
      </c>
      <c r="D13" s="163">
        <v>0.0155</v>
      </c>
      <c r="E13" s="164">
        <f>224.21*7.5</f>
        <v>1681.575</v>
      </c>
      <c r="F13" s="164"/>
      <c r="G13" s="164"/>
      <c r="H13" s="158">
        <v>7.5</v>
      </c>
      <c r="I13" s="159">
        <f t="shared" si="1"/>
        <v>26.0644125</v>
      </c>
      <c r="J13" s="160">
        <f t="shared" si="2"/>
        <v>1655.510588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8.0</v>
      </c>
      <c r="B14" s="162" t="s">
        <v>58</v>
      </c>
      <c r="C14" s="162">
        <v>22.5</v>
      </c>
      <c r="D14" s="163">
        <v>0.1086</v>
      </c>
      <c r="E14" s="164">
        <f>209.078*22</f>
        <v>4599.716</v>
      </c>
      <c r="F14" s="164"/>
      <c r="G14" s="164"/>
      <c r="H14" s="158">
        <v>22.0</v>
      </c>
      <c r="I14" s="159">
        <f t="shared" si="1"/>
        <v>499.5291576</v>
      </c>
      <c r="J14" s="160">
        <f t="shared" si="2"/>
        <v>4100.186842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4">
        <v>9.0</v>
      </c>
      <c r="B15" s="162" t="s">
        <v>80</v>
      </c>
      <c r="C15" s="162">
        <v>22.5</v>
      </c>
      <c r="D15" s="163">
        <v>0.0737</v>
      </c>
      <c r="E15" s="164">
        <f>243.699*26.3</f>
        <v>6409.2837</v>
      </c>
      <c r="F15" s="164"/>
      <c r="G15" s="164"/>
      <c r="H15" s="158">
        <v>26.3</v>
      </c>
      <c r="I15" s="159">
        <f t="shared" si="1"/>
        <v>472.3642087</v>
      </c>
      <c r="J15" s="160">
        <f t="shared" si="2"/>
        <v>5936.919491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4">
        <v>10.0</v>
      </c>
      <c r="B16" s="162" t="s">
        <v>107</v>
      </c>
      <c r="C16" s="162">
        <v>20.5</v>
      </c>
      <c r="D16" s="163">
        <v>0.0862</v>
      </c>
      <c r="E16" s="164">
        <f>191.67*7.5</f>
        <v>1437.525</v>
      </c>
      <c r="F16" s="164"/>
      <c r="G16" s="164"/>
      <c r="H16" s="158">
        <v>7.5</v>
      </c>
      <c r="I16" s="159">
        <f t="shared" si="1"/>
        <v>123.914655</v>
      </c>
      <c r="J16" s="160">
        <f t="shared" si="2"/>
        <v>1313.610345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customHeight="1">
      <c r="A17" s="154">
        <v>11.0</v>
      </c>
      <c r="B17" s="162" t="s">
        <v>138</v>
      </c>
      <c r="C17" s="162">
        <v>40.5</v>
      </c>
      <c r="D17" s="163">
        <v>0.0395</v>
      </c>
      <c r="E17" s="164">
        <f>256.951*9</f>
        <v>2312.559</v>
      </c>
      <c r="F17" s="164"/>
      <c r="G17" s="164"/>
      <c r="H17" s="158">
        <v>9.0</v>
      </c>
      <c r="I17" s="159">
        <f t="shared" si="1"/>
        <v>91.3460805</v>
      </c>
      <c r="J17" s="160">
        <f t="shared" si="2"/>
        <v>2221.21292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customHeight="1">
      <c r="A18" s="154">
        <v>12.0</v>
      </c>
      <c r="B18" s="162" t="s">
        <v>138</v>
      </c>
      <c r="C18" s="162">
        <v>40.5</v>
      </c>
      <c r="D18" s="163">
        <v>0.0395</v>
      </c>
      <c r="E18" s="164">
        <f>256.951*1</f>
        <v>256.951</v>
      </c>
      <c r="F18" s="164"/>
      <c r="G18" s="164"/>
      <c r="H18" s="158">
        <v>1.0</v>
      </c>
      <c r="I18" s="159">
        <f t="shared" si="1"/>
        <v>10.1495645</v>
      </c>
      <c r="J18" s="160">
        <f t="shared" si="2"/>
        <v>246.8014355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13.0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14.0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15.0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16.0</v>
      </c>
      <c r="B22" s="162"/>
      <c r="C22" s="162"/>
      <c r="D22" s="163"/>
      <c r="E22" s="164"/>
      <c r="F22" s="164"/>
      <c r="G22" s="164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26.25" hidden="1" customHeight="1">
      <c r="A23" s="154">
        <v>17.0</v>
      </c>
      <c r="B23" s="162"/>
      <c r="C23" s="162"/>
      <c r="D23" s="163"/>
      <c r="E23" s="164"/>
      <c r="F23" s="164"/>
      <c r="G23" s="164"/>
      <c r="H23" s="158"/>
      <c r="I23" s="159">
        <f t="shared" si="1"/>
        <v>0</v>
      </c>
      <c r="J23" s="160">
        <f t="shared" si="2"/>
        <v>0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65"/>
      <c r="B24" s="166"/>
      <c r="C24" s="167"/>
      <c r="D24" s="168"/>
      <c r="E24" s="169">
        <f>SUM(E8:E23)</f>
        <v>36168.6977</v>
      </c>
      <c r="F24" s="170"/>
      <c r="G24" s="170"/>
      <c r="H24" s="171"/>
      <c r="I24" s="172">
        <f t="shared" ref="I24:J24" si="3">SUM(I8:I23)</f>
        <v>1513.728918</v>
      </c>
      <c r="J24" s="173">
        <f t="shared" si="3"/>
        <v>34654.96878</v>
      </c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74"/>
      <c r="B25" s="144"/>
      <c r="C25" s="144"/>
      <c r="D25" s="175"/>
      <c r="E25" s="176"/>
      <c r="F25" s="151"/>
      <c r="G25" s="151"/>
      <c r="H25" s="147"/>
      <c r="I25" s="177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 t="s">
        <v>11</v>
      </c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18.75" customHeight="1">
      <c r="A29" s="139"/>
      <c r="B29" s="139"/>
      <c r="C29" s="139"/>
      <c r="D29" s="139"/>
      <c r="E29" s="139"/>
      <c r="F29" s="139"/>
      <c r="G29" s="139"/>
      <c r="H29" s="140"/>
      <c r="I29" s="139"/>
      <c r="J29" s="139"/>
      <c r="K29" s="139"/>
      <c r="L29" s="139"/>
      <c r="M29" s="139"/>
      <c r="N29" s="139"/>
      <c r="O29" s="139"/>
      <c r="P29" s="139"/>
      <c r="Q29" s="139"/>
      <c r="R29" s="141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40.5" customHeight="1">
      <c r="A30" s="178"/>
      <c r="B30" s="162" t="s">
        <v>12</v>
      </c>
      <c r="C30" s="179" t="s">
        <v>60</v>
      </c>
      <c r="D30" s="52"/>
      <c r="E30" s="53"/>
      <c r="F30" s="180"/>
      <c r="G30" s="180"/>
      <c r="H30" s="181" t="s">
        <v>14</v>
      </c>
      <c r="I30" s="162" t="s">
        <v>15</v>
      </c>
      <c r="J30" s="162" t="s">
        <v>16</v>
      </c>
      <c r="K30" s="139"/>
      <c r="L30" s="162" t="s">
        <v>17</v>
      </c>
      <c r="M30" s="162" t="s">
        <v>15</v>
      </c>
      <c r="N30" s="178" t="s">
        <v>18</v>
      </c>
      <c r="O30" s="139"/>
      <c r="P30" s="139"/>
      <c r="Q30" s="178" t="s">
        <v>61</v>
      </c>
      <c r="R30" s="182"/>
      <c r="S30" s="162" t="s">
        <v>17</v>
      </c>
      <c r="T30" s="162" t="s">
        <v>15</v>
      </c>
      <c r="U30" s="178" t="s">
        <v>18</v>
      </c>
      <c r="V30" s="139"/>
      <c r="W30" s="178" t="s">
        <v>19</v>
      </c>
      <c r="X30" s="178" t="s">
        <v>20</v>
      </c>
      <c r="Y30" s="178" t="s">
        <v>21</v>
      </c>
      <c r="Z30" s="178" t="s">
        <v>139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1.0</v>
      </c>
      <c r="B31" s="183" t="s">
        <v>63</v>
      </c>
      <c r="C31" s="184">
        <v>76.0</v>
      </c>
      <c r="D31" s="184">
        <v>206.0</v>
      </c>
      <c r="E31" s="184">
        <v>169.0</v>
      </c>
      <c r="F31" s="184">
        <f t="shared" ref="F31:F194" si="5">VALUE(IF(RIGHT(B31, 1)="%", RIGHT(B31, 3), 0))</f>
        <v>0.8</v>
      </c>
      <c r="G31" s="184">
        <f t="shared" ref="G31:G194" si="6">+R31*C31/100*D31/100*E31/100</f>
        <v>92.60524</v>
      </c>
      <c r="H31" s="185">
        <f t="shared" ref="H31:H194" si="7">IF(F31=0, G31, F31*G31)</f>
        <v>74.084192</v>
      </c>
      <c r="I31" s="184">
        <v>1.0</v>
      </c>
      <c r="J31" s="186">
        <f t="shared" ref="J31:J194" si="8">+I31*H31</f>
        <v>74.084192</v>
      </c>
      <c r="K31" s="187"/>
      <c r="L31" s="188">
        <f>D31*25.4/1000</f>
        <v>5.2324</v>
      </c>
      <c r="M31" s="189">
        <f>+I31</f>
        <v>1</v>
      </c>
      <c r="N31" s="189">
        <f>M31*L31</f>
        <v>5.2324</v>
      </c>
      <c r="O31" s="187"/>
      <c r="P31" s="187"/>
      <c r="Q31" s="188">
        <v>95.0</v>
      </c>
      <c r="R31" s="190">
        <v>35.0</v>
      </c>
      <c r="S31" s="178">
        <f t="shared" ref="S31:S195" si="9">E31/100</f>
        <v>1.69</v>
      </c>
      <c r="T31" s="162">
        <f t="shared" ref="T31:T195" si="10">I31</f>
        <v>1</v>
      </c>
      <c r="U31" s="162">
        <f t="shared" ref="U31:U195" si="11">T31*S31</f>
        <v>1.69</v>
      </c>
      <c r="V31" s="191">
        <f t="shared" ref="V31:V77" si="12">R31*C31/100*D31/100*E31/100</f>
        <v>92.60524</v>
      </c>
      <c r="W31" s="178">
        <f t="shared" ref="W31:X31" si="4">C31/100</f>
        <v>0.76</v>
      </c>
      <c r="X31" s="178">
        <f t="shared" si="4"/>
        <v>2.06</v>
      </c>
      <c r="Y31" s="178">
        <f t="shared" ref="Y31:Y195" si="14">U31</f>
        <v>1.69</v>
      </c>
      <c r="Z31" s="192">
        <f t="shared" ref="Z31:Z195" si="15">W31*X31*Y31</f>
        <v>2.645864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2.0</v>
      </c>
      <c r="B32" s="193" t="s">
        <v>55</v>
      </c>
      <c r="C32" s="193">
        <v>79.0</v>
      </c>
      <c r="D32" s="193">
        <v>206.0</v>
      </c>
      <c r="E32" s="193">
        <v>223.0</v>
      </c>
      <c r="F32" s="193">
        <f t="shared" si="5"/>
        <v>0</v>
      </c>
      <c r="G32" s="193">
        <f t="shared" si="6"/>
        <v>127.01857</v>
      </c>
      <c r="H32" s="194">
        <f t="shared" si="7"/>
        <v>127.01857</v>
      </c>
      <c r="I32" s="193">
        <v>1.0</v>
      </c>
      <c r="J32" s="195">
        <f t="shared" si="8"/>
        <v>127.01857</v>
      </c>
      <c r="K32" s="139"/>
      <c r="L32" s="178"/>
      <c r="M32" s="162"/>
      <c r="N32" s="162"/>
      <c r="O32" s="139"/>
      <c r="P32" s="139"/>
      <c r="Q32" s="178">
        <v>123.0</v>
      </c>
      <c r="R32" s="190">
        <v>35.0</v>
      </c>
      <c r="S32" s="178">
        <f t="shared" si="9"/>
        <v>2.23</v>
      </c>
      <c r="T32" s="162">
        <f t="shared" si="10"/>
        <v>1</v>
      </c>
      <c r="U32" s="162">
        <f t="shared" si="11"/>
        <v>2.23</v>
      </c>
      <c r="V32" s="191">
        <f t="shared" si="12"/>
        <v>127.01857</v>
      </c>
      <c r="W32" s="178">
        <f t="shared" ref="W32:X32" si="13">C32/100</f>
        <v>0.79</v>
      </c>
      <c r="X32" s="178">
        <f t="shared" si="13"/>
        <v>2.06</v>
      </c>
      <c r="Y32" s="178">
        <f t="shared" si="14"/>
        <v>2.23</v>
      </c>
      <c r="Z32" s="192">
        <f t="shared" si="15"/>
        <v>3.629102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3.0</v>
      </c>
      <c r="B33" s="193" t="s">
        <v>55</v>
      </c>
      <c r="C33" s="193">
        <v>85.0</v>
      </c>
      <c r="D33" s="193">
        <v>206.0</v>
      </c>
      <c r="E33" s="193">
        <v>2104.0</v>
      </c>
      <c r="F33" s="193">
        <f t="shared" si="5"/>
        <v>0</v>
      </c>
      <c r="G33" s="193">
        <f t="shared" si="6"/>
        <v>1289.4364</v>
      </c>
      <c r="H33" s="194">
        <f t="shared" si="7"/>
        <v>1289.4364</v>
      </c>
      <c r="I33" s="193">
        <v>1.0</v>
      </c>
      <c r="J33" s="195">
        <f t="shared" si="8"/>
        <v>1289.4364</v>
      </c>
      <c r="K33" s="139"/>
      <c r="L33" s="178">
        <f t="shared" ref="L33:L56" si="17">D33*25.4/1000</f>
        <v>5.2324</v>
      </c>
      <c r="M33" s="162">
        <f t="shared" ref="M33:M69" si="18">+I33</f>
        <v>1</v>
      </c>
      <c r="N33" s="162">
        <f t="shared" ref="N33:N56" si="19">M33*L33</f>
        <v>5.2324</v>
      </c>
      <c r="O33" s="139"/>
      <c r="P33" s="139"/>
      <c r="Q33" s="178">
        <v>1325.0</v>
      </c>
      <c r="R33" s="190">
        <v>35.0</v>
      </c>
      <c r="S33" s="178">
        <f t="shared" si="9"/>
        <v>21.04</v>
      </c>
      <c r="T33" s="162">
        <f t="shared" si="10"/>
        <v>1</v>
      </c>
      <c r="U33" s="162">
        <f t="shared" si="11"/>
        <v>21.04</v>
      </c>
      <c r="V33" s="191">
        <f t="shared" si="12"/>
        <v>1289.4364</v>
      </c>
      <c r="W33" s="178">
        <f t="shared" ref="W33:X33" si="16">C33/100</f>
        <v>0.85</v>
      </c>
      <c r="X33" s="178">
        <f t="shared" si="16"/>
        <v>2.06</v>
      </c>
      <c r="Y33" s="178">
        <f t="shared" si="14"/>
        <v>21.04</v>
      </c>
      <c r="Z33" s="192">
        <f t="shared" si="15"/>
        <v>36.84104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4.0</v>
      </c>
      <c r="B34" s="183" t="s">
        <v>63</v>
      </c>
      <c r="C34" s="184">
        <v>87.0</v>
      </c>
      <c r="D34" s="184">
        <v>203.0</v>
      </c>
      <c r="E34" s="184">
        <v>239.0</v>
      </c>
      <c r="F34" s="184">
        <f t="shared" si="5"/>
        <v>0.8</v>
      </c>
      <c r="G34" s="184">
        <f t="shared" si="6"/>
        <v>126.62937</v>
      </c>
      <c r="H34" s="185">
        <f t="shared" si="7"/>
        <v>101.303496</v>
      </c>
      <c r="I34" s="184">
        <v>1.0</v>
      </c>
      <c r="J34" s="186">
        <f t="shared" si="8"/>
        <v>101.303496</v>
      </c>
      <c r="K34" s="187"/>
      <c r="L34" s="188">
        <f t="shared" si="17"/>
        <v>5.1562</v>
      </c>
      <c r="M34" s="189">
        <f t="shared" si="18"/>
        <v>1</v>
      </c>
      <c r="N34" s="189">
        <f t="shared" si="19"/>
        <v>5.1562</v>
      </c>
      <c r="O34" s="187"/>
      <c r="P34" s="187"/>
      <c r="Q34" s="188">
        <v>137.0</v>
      </c>
      <c r="R34" s="190">
        <v>30.0</v>
      </c>
      <c r="S34" s="178">
        <f t="shared" si="9"/>
        <v>2.39</v>
      </c>
      <c r="T34" s="162">
        <f t="shared" si="10"/>
        <v>1</v>
      </c>
      <c r="U34" s="162">
        <f t="shared" si="11"/>
        <v>2.39</v>
      </c>
      <c r="V34" s="191">
        <f t="shared" si="12"/>
        <v>126.62937</v>
      </c>
      <c r="W34" s="178">
        <f t="shared" ref="W34:X34" si="20">C34/100</f>
        <v>0.87</v>
      </c>
      <c r="X34" s="178">
        <f t="shared" si="20"/>
        <v>2.03</v>
      </c>
      <c r="Y34" s="178">
        <f t="shared" si="14"/>
        <v>2.39</v>
      </c>
      <c r="Z34" s="192">
        <f t="shared" si="15"/>
        <v>4.220979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5.0</v>
      </c>
      <c r="B35" s="193" t="s">
        <v>55</v>
      </c>
      <c r="C35" s="193">
        <v>100.0</v>
      </c>
      <c r="D35" s="193">
        <v>203.0</v>
      </c>
      <c r="E35" s="193">
        <v>197.0</v>
      </c>
      <c r="F35" s="193">
        <f t="shared" si="5"/>
        <v>0</v>
      </c>
      <c r="G35" s="193">
        <f t="shared" si="6"/>
        <v>119.973</v>
      </c>
      <c r="H35" s="194">
        <f t="shared" si="7"/>
        <v>119.973</v>
      </c>
      <c r="I35" s="193">
        <v>1.0</v>
      </c>
      <c r="J35" s="195">
        <f t="shared" si="8"/>
        <v>119.973</v>
      </c>
      <c r="K35" s="139"/>
      <c r="L35" s="178">
        <f t="shared" si="17"/>
        <v>5.1562</v>
      </c>
      <c r="M35" s="162">
        <f t="shared" si="18"/>
        <v>1</v>
      </c>
      <c r="N35" s="162">
        <f t="shared" si="19"/>
        <v>5.1562</v>
      </c>
      <c r="O35" s="139"/>
      <c r="P35" s="139"/>
      <c r="Q35" s="178">
        <v>122.0</v>
      </c>
      <c r="R35" s="190">
        <v>30.0</v>
      </c>
      <c r="S35" s="178">
        <f t="shared" si="9"/>
        <v>1.97</v>
      </c>
      <c r="T35" s="162">
        <f t="shared" si="10"/>
        <v>1</v>
      </c>
      <c r="U35" s="162">
        <f t="shared" si="11"/>
        <v>1.97</v>
      </c>
      <c r="V35" s="191">
        <f t="shared" si="12"/>
        <v>119.973</v>
      </c>
      <c r="W35" s="178">
        <f t="shared" ref="W35:X35" si="21">C35/100</f>
        <v>1</v>
      </c>
      <c r="X35" s="178">
        <f t="shared" si="21"/>
        <v>2.03</v>
      </c>
      <c r="Y35" s="178">
        <f t="shared" si="14"/>
        <v>1.97</v>
      </c>
      <c r="Z35" s="192">
        <f t="shared" si="15"/>
        <v>3.9991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6.0</v>
      </c>
      <c r="B36" s="193" t="s">
        <v>55</v>
      </c>
      <c r="C36" s="193">
        <v>99.0</v>
      </c>
      <c r="D36" s="193">
        <v>203.0</v>
      </c>
      <c r="E36" s="193">
        <v>2887.0</v>
      </c>
      <c r="F36" s="193">
        <f t="shared" si="5"/>
        <v>0</v>
      </c>
      <c r="G36" s="193">
        <f t="shared" si="6"/>
        <v>1740.60117</v>
      </c>
      <c r="H36" s="194">
        <f t="shared" si="7"/>
        <v>1740.60117</v>
      </c>
      <c r="I36" s="193">
        <v>1.0</v>
      </c>
      <c r="J36" s="195">
        <f t="shared" si="8"/>
        <v>1740.60117</v>
      </c>
      <c r="K36" s="139"/>
      <c r="L36" s="178">
        <f t="shared" si="17"/>
        <v>5.1562</v>
      </c>
      <c r="M36" s="162">
        <f t="shared" si="18"/>
        <v>1</v>
      </c>
      <c r="N36" s="162">
        <f t="shared" si="19"/>
        <v>5.1562</v>
      </c>
      <c r="O36" s="139"/>
      <c r="P36" s="139"/>
      <c r="Q36" s="178">
        <v>1785.0</v>
      </c>
      <c r="R36" s="190">
        <v>30.0</v>
      </c>
      <c r="S36" s="178">
        <f t="shared" si="9"/>
        <v>28.87</v>
      </c>
      <c r="T36" s="162">
        <f t="shared" si="10"/>
        <v>1</v>
      </c>
      <c r="U36" s="162">
        <f t="shared" si="11"/>
        <v>28.87</v>
      </c>
      <c r="V36" s="191">
        <f t="shared" si="12"/>
        <v>1740.60117</v>
      </c>
      <c r="W36" s="178">
        <f t="shared" ref="W36:X36" si="22">C36/100</f>
        <v>0.99</v>
      </c>
      <c r="X36" s="178">
        <f t="shared" si="22"/>
        <v>2.03</v>
      </c>
      <c r="Y36" s="178">
        <f t="shared" si="14"/>
        <v>28.87</v>
      </c>
      <c r="Z36" s="192">
        <f t="shared" si="15"/>
        <v>58.020039</v>
      </c>
      <c r="AA36" s="139"/>
      <c r="AB36" s="26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7.0</v>
      </c>
      <c r="B37" s="193" t="s">
        <v>55</v>
      </c>
      <c r="C37" s="193">
        <v>99.0</v>
      </c>
      <c r="D37" s="193">
        <v>203.0</v>
      </c>
      <c r="E37" s="193">
        <v>2889.0</v>
      </c>
      <c r="F37" s="193">
        <f t="shared" si="5"/>
        <v>0</v>
      </c>
      <c r="G37" s="193">
        <f t="shared" si="6"/>
        <v>1741.80699</v>
      </c>
      <c r="H37" s="194">
        <f t="shared" si="7"/>
        <v>1741.80699</v>
      </c>
      <c r="I37" s="193">
        <v>1.0</v>
      </c>
      <c r="J37" s="195">
        <f t="shared" si="8"/>
        <v>1741.80699</v>
      </c>
      <c r="K37" s="139"/>
      <c r="L37" s="178">
        <f t="shared" si="17"/>
        <v>5.1562</v>
      </c>
      <c r="M37" s="162">
        <f t="shared" si="18"/>
        <v>1</v>
      </c>
      <c r="N37" s="162">
        <f t="shared" si="19"/>
        <v>5.1562</v>
      </c>
      <c r="O37" s="139"/>
      <c r="P37" s="139"/>
      <c r="Q37" s="178">
        <v>1785.0</v>
      </c>
      <c r="R37" s="190">
        <v>30.0</v>
      </c>
      <c r="S37" s="178">
        <f t="shared" si="9"/>
        <v>28.89</v>
      </c>
      <c r="T37" s="162">
        <f t="shared" si="10"/>
        <v>1</v>
      </c>
      <c r="U37" s="162">
        <f t="shared" si="11"/>
        <v>28.89</v>
      </c>
      <c r="V37" s="191">
        <f t="shared" si="12"/>
        <v>1741.80699</v>
      </c>
      <c r="W37" s="178">
        <f t="shared" ref="W37:X37" si="23">C37/100</f>
        <v>0.99</v>
      </c>
      <c r="X37" s="178">
        <f t="shared" si="23"/>
        <v>2.03</v>
      </c>
      <c r="Y37" s="178">
        <f t="shared" si="14"/>
        <v>28.89</v>
      </c>
      <c r="Z37" s="192">
        <f t="shared" si="15"/>
        <v>58.060233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8.0</v>
      </c>
      <c r="B38" s="193" t="s">
        <v>55</v>
      </c>
      <c r="C38" s="193">
        <v>98.0</v>
      </c>
      <c r="D38" s="193">
        <v>203.0</v>
      </c>
      <c r="E38" s="193">
        <v>2883.0</v>
      </c>
      <c r="F38" s="193">
        <f t="shared" si="5"/>
        <v>0</v>
      </c>
      <c r="G38" s="193">
        <f t="shared" si="6"/>
        <v>1720.63206</v>
      </c>
      <c r="H38" s="194">
        <f t="shared" si="7"/>
        <v>1720.63206</v>
      </c>
      <c r="I38" s="193">
        <v>1.0</v>
      </c>
      <c r="J38" s="195">
        <f t="shared" si="8"/>
        <v>1720.63206</v>
      </c>
      <c r="K38" s="139"/>
      <c r="L38" s="178">
        <f t="shared" si="17"/>
        <v>5.1562</v>
      </c>
      <c r="M38" s="162">
        <f t="shared" si="18"/>
        <v>1</v>
      </c>
      <c r="N38" s="162">
        <f t="shared" si="19"/>
        <v>5.1562</v>
      </c>
      <c r="O38" s="139"/>
      <c r="P38" s="139"/>
      <c r="Q38" s="178">
        <v>1770.0</v>
      </c>
      <c r="R38" s="190">
        <v>30.0</v>
      </c>
      <c r="S38" s="178">
        <f t="shared" si="9"/>
        <v>28.83</v>
      </c>
      <c r="T38" s="162">
        <f t="shared" si="10"/>
        <v>1</v>
      </c>
      <c r="U38" s="162">
        <f t="shared" si="11"/>
        <v>28.83</v>
      </c>
      <c r="V38" s="191">
        <f t="shared" si="12"/>
        <v>1720.63206</v>
      </c>
      <c r="W38" s="178">
        <f t="shared" ref="W38:X38" si="24">C38/100</f>
        <v>0.98</v>
      </c>
      <c r="X38" s="178">
        <f t="shared" si="24"/>
        <v>2.03</v>
      </c>
      <c r="Y38" s="178">
        <f t="shared" si="14"/>
        <v>28.83</v>
      </c>
      <c r="Z38" s="192">
        <f t="shared" si="15"/>
        <v>57.354402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9.0</v>
      </c>
      <c r="B39" s="193" t="s">
        <v>55</v>
      </c>
      <c r="C39" s="193">
        <v>99.0</v>
      </c>
      <c r="D39" s="193">
        <v>203.0</v>
      </c>
      <c r="E39" s="193">
        <v>2884.0</v>
      </c>
      <c r="F39" s="193">
        <f t="shared" si="5"/>
        <v>0</v>
      </c>
      <c r="G39" s="193">
        <f t="shared" si="6"/>
        <v>1738.79244</v>
      </c>
      <c r="H39" s="194">
        <f t="shared" si="7"/>
        <v>1738.79244</v>
      </c>
      <c r="I39" s="193">
        <v>1.0</v>
      </c>
      <c r="J39" s="195">
        <f t="shared" si="8"/>
        <v>1738.79244</v>
      </c>
      <c r="K39" s="139"/>
      <c r="L39" s="178">
        <f t="shared" si="17"/>
        <v>5.1562</v>
      </c>
      <c r="M39" s="162">
        <f t="shared" si="18"/>
        <v>1</v>
      </c>
      <c r="N39" s="162">
        <f t="shared" si="19"/>
        <v>5.1562</v>
      </c>
      <c r="O39" s="139"/>
      <c r="P39" s="139"/>
      <c r="Q39" s="178">
        <v>1780.0</v>
      </c>
      <c r="R39" s="190">
        <v>30.0</v>
      </c>
      <c r="S39" s="178">
        <f t="shared" si="9"/>
        <v>28.84</v>
      </c>
      <c r="T39" s="162">
        <f t="shared" si="10"/>
        <v>1</v>
      </c>
      <c r="U39" s="162">
        <f t="shared" si="11"/>
        <v>28.84</v>
      </c>
      <c r="V39" s="191">
        <f t="shared" si="12"/>
        <v>1738.79244</v>
      </c>
      <c r="W39" s="178">
        <f t="shared" ref="W39:X39" si="25">C39/100</f>
        <v>0.99</v>
      </c>
      <c r="X39" s="178">
        <f t="shared" si="25"/>
        <v>2.03</v>
      </c>
      <c r="Y39" s="178">
        <f t="shared" si="14"/>
        <v>28.84</v>
      </c>
      <c r="Z39" s="192">
        <f t="shared" si="15"/>
        <v>57.959748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10.0</v>
      </c>
      <c r="B40" s="193" t="s">
        <v>55</v>
      </c>
      <c r="C40" s="193">
        <v>99.0</v>
      </c>
      <c r="D40" s="193">
        <v>203.0</v>
      </c>
      <c r="E40" s="193">
        <v>2827.0</v>
      </c>
      <c r="F40" s="193">
        <f t="shared" si="5"/>
        <v>0</v>
      </c>
      <c r="G40" s="193">
        <f t="shared" si="6"/>
        <v>1704.42657</v>
      </c>
      <c r="H40" s="194">
        <f t="shared" si="7"/>
        <v>1704.42657</v>
      </c>
      <c r="I40" s="193">
        <v>1.0</v>
      </c>
      <c r="J40" s="195">
        <f t="shared" si="8"/>
        <v>1704.42657</v>
      </c>
      <c r="K40" s="139"/>
      <c r="L40" s="178">
        <f t="shared" si="17"/>
        <v>5.1562</v>
      </c>
      <c r="M40" s="162">
        <f t="shared" si="18"/>
        <v>1</v>
      </c>
      <c r="N40" s="162">
        <f t="shared" si="19"/>
        <v>5.1562</v>
      </c>
      <c r="O40" s="139"/>
      <c r="P40" s="139"/>
      <c r="Q40" s="178">
        <v>1725.0</v>
      </c>
      <c r="R40" s="190">
        <v>30.0</v>
      </c>
      <c r="S40" s="178">
        <f t="shared" si="9"/>
        <v>28.27</v>
      </c>
      <c r="T40" s="162">
        <f t="shared" si="10"/>
        <v>1</v>
      </c>
      <c r="U40" s="162">
        <f t="shared" si="11"/>
        <v>28.27</v>
      </c>
      <c r="V40" s="191">
        <f t="shared" si="12"/>
        <v>1704.42657</v>
      </c>
      <c r="W40" s="178">
        <f t="shared" ref="W40:X40" si="26">C40/100</f>
        <v>0.99</v>
      </c>
      <c r="X40" s="178">
        <f t="shared" si="26"/>
        <v>2.03</v>
      </c>
      <c r="Y40" s="178">
        <f t="shared" si="14"/>
        <v>28.27</v>
      </c>
      <c r="Z40" s="192">
        <f t="shared" si="15"/>
        <v>56.814219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11.0</v>
      </c>
      <c r="B41" s="196" t="s">
        <v>57</v>
      </c>
      <c r="C41" s="193">
        <v>98.0</v>
      </c>
      <c r="D41" s="193">
        <v>203.0</v>
      </c>
      <c r="E41" s="193">
        <v>197.0</v>
      </c>
      <c r="F41" s="193">
        <f t="shared" si="5"/>
        <v>0</v>
      </c>
      <c r="G41" s="193">
        <f t="shared" si="6"/>
        <v>117.57354</v>
      </c>
      <c r="H41" s="194">
        <f t="shared" si="7"/>
        <v>117.57354</v>
      </c>
      <c r="I41" s="193">
        <v>1.0</v>
      </c>
      <c r="J41" s="195">
        <f t="shared" si="8"/>
        <v>117.57354</v>
      </c>
      <c r="K41" s="139"/>
      <c r="L41" s="178">
        <f t="shared" si="17"/>
        <v>5.1562</v>
      </c>
      <c r="M41" s="162">
        <f t="shared" si="18"/>
        <v>1</v>
      </c>
      <c r="N41" s="162">
        <f t="shared" si="19"/>
        <v>5.1562</v>
      </c>
      <c r="O41" s="139"/>
      <c r="P41" s="139"/>
      <c r="Q41" s="178">
        <v>114.0</v>
      </c>
      <c r="R41" s="190">
        <v>30.0</v>
      </c>
      <c r="S41" s="178">
        <f t="shared" si="9"/>
        <v>1.97</v>
      </c>
      <c r="T41" s="162">
        <f t="shared" si="10"/>
        <v>1</v>
      </c>
      <c r="U41" s="162">
        <f t="shared" si="11"/>
        <v>1.97</v>
      </c>
      <c r="V41" s="191">
        <f t="shared" si="12"/>
        <v>117.57354</v>
      </c>
      <c r="W41" s="178">
        <f t="shared" ref="W41:X41" si="27">C41/100</f>
        <v>0.98</v>
      </c>
      <c r="X41" s="178">
        <f t="shared" si="27"/>
        <v>2.03</v>
      </c>
      <c r="Y41" s="178">
        <f t="shared" si="14"/>
        <v>1.97</v>
      </c>
      <c r="Z41" s="192">
        <f t="shared" si="15"/>
        <v>3.919118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12.0</v>
      </c>
      <c r="B42" s="193" t="s">
        <v>57</v>
      </c>
      <c r="C42" s="193">
        <v>98.0</v>
      </c>
      <c r="D42" s="193">
        <v>203.0</v>
      </c>
      <c r="E42" s="193">
        <v>2878.0</v>
      </c>
      <c r="F42" s="193">
        <f t="shared" si="5"/>
        <v>0</v>
      </c>
      <c r="G42" s="193">
        <f t="shared" si="6"/>
        <v>1717.64796</v>
      </c>
      <c r="H42" s="194">
        <f t="shared" si="7"/>
        <v>1717.64796</v>
      </c>
      <c r="I42" s="193">
        <v>1.0</v>
      </c>
      <c r="J42" s="195">
        <f t="shared" si="8"/>
        <v>1717.64796</v>
      </c>
      <c r="K42" s="139"/>
      <c r="L42" s="178">
        <f t="shared" si="17"/>
        <v>5.1562</v>
      </c>
      <c r="M42" s="162">
        <f t="shared" si="18"/>
        <v>1</v>
      </c>
      <c r="N42" s="162">
        <f t="shared" si="19"/>
        <v>5.1562</v>
      </c>
      <c r="O42" s="139"/>
      <c r="P42" s="139"/>
      <c r="Q42" s="178">
        <v>1730.0</v>
      </c>
      <c r="R42" s="190">
        <v>30.0</v>
      </c>
      <c r="S42" s="178">
        <f t="shared" si="9"/>
        <v>28.78</v>
      </c>
      <c r="T42" s="162">
        <f t="shared" si="10"/>
        <v>1</v>
      </c>
      <c r="U42" s="162">
        <f t="shared" si="11"/>
        <v>28.78</v>
      </c>
      <c r="V42" s="191">
        <f t="shared" si="12"/>
        <v>1717.64796</v>
      </c>
      <c r="W42" s="178">
        <f t="shared" ref="W42:X42" si="28">C42/100</f>
        <v>0.98</v>
      </c>
      <c r="X42" s="178">
        <f t="shared" si="28"/>
        <v>2.03</v>
      </c>
      <c r="Y42" s="178">
        <f t="shared" si="14"/>
        <v>28.78</v>
      </c>
      <c r="Z42" s="192">
        <f t="shared" si="15"/>
        <v>57.254932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13.0</v>
      </c>
      <c r="B43" s="193" t="s">
        <v>57</v>
      </c>
      <c r="C43" s="193">
        <v>100.0</v>
      </c>
      <c r="D43" s="193">
        <v>203.0</v>
      </c>
      <c r="E43" s="193">
        <v>2884.0</v>
      </c>
      <c r="F43" s="193">
        <f t="shared" si="5"/>
        <v>0</v>
      </c>
      <c r="G43" s="193">
        <f t="shared" si="6"/>
        <v>1756.356</v>
      </c>
      <c r="H43" s="194">
        <f t="shared" si="7"/>
        <v>1756.356</v>
      </c>
      <c r="I43" s="193">
        <v>1.0</v>
      </c>
      <c r="J43" s="195">
        <f t="shared" si="8"/>
        <v>1756.356</v>
      </c>
      <c r="K43" s="139"/>
      <c r="L43" s="178">
        <f t="shared" si="17"/>
        <v>5.1562</v>
      </c>
      <c r="M43" s="162">
        <f t="shared" si="18"/>
        <v>1</v>
      </c>
      <c r="N43" s="162">
        <f t="shared" si="19"/>
        <v>5.1562</v>
      </c>
      <c r="O43" s="139"/>
      <c r="P43" s="139"/>
      <c r="Q43" s="178">
        <v>1740.0</v>
      </c>
      <c r="R43" s="190">
        <v>30.0</v>
      </c>
      <c r="S43" s="178">
        <f t="shared" si="9"/>
        <v>28.84</v>
      </c>
      <c r="T43" s="162">
        <f t="shared" si="10"/>
        <v>1</v>
      </c>
      <c r="U43" s="162">
        <f t="shared" si="11"/>
        <v>28.84</v>
      </c>
      <c r="V43" s="191">
        <f t="shared" si="12"/>
        <v>1756.356</v>
      </c>
      <c r="W43" s="178">
        <f t="shared" ref="W43:X43" si="29">C43/100</f>
        <v>1</v>
      </c>
      <c r="X43" s="178">
        <f t="shared" si="29"/>
        <v>2.03</v>
      </c>
      <c r="Y43" s="178">
        <f t="shared" si="14"/>
        <v>28.84</v>
      </c>
      <c r="Z43" s="192">
        <f t="shared" si="15"/>
        <v>58.5452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14.0</v>
      </c>
      <c r="B44" s="193" t="s">
        <v>57</v>
      </c>
      <c r="C44" s="193">
        <v>98.0</v>
      </c>
      <c r="D44" s="193">
        <v>203.0</v>
      </c>
      <c r="E44" s="193">
        <v>1970.0</v>
      </c>
      <c r="F44" s="193">
        <f t="shared" si="5"/>
        <v>0</v>
      </c>
      <c r="G44" s="193">
        <f t="shared" si="6"/>
        <v>1175.7354</v>
      </c>
      <c r="H44" s="194">
        <f t="shared" si="7"/>
        <v>1175.7354</v>
      </c>
      <c r="I44" s="193">
        <v>1.0</v>
      </c>
      <c r="J44" s="195">
        <f t="shared" si="8"/>
        <v>1175.7354</v>
      </c>
      <c r="K44" s="139"/>
      <c r="L44" s="178">
        <f t="shared" si="17"/>
        <v>5.1562</v>
      </c>
      <c r="M44" s="162">
        <f t="shared" si="18"/>
        <v>1</v>
      </c>
      <c r="N44" s="162">
        <f t="shared" si="19"/>
        <v>5.1562</v>
      </c>
      <c r="O44" s="139"/>
      <c r="P44" s="139"/>
      <c r="Q44" s="178">
        <v>1160.0</v>
      </c>
      <c r="R44" s="190">
        <v>30.0</v>
      </c>
      <c r="S44" s="178">
        <f t="shared" si="9"/>
        <v>19.7</v>
      </c>
      <c r="T44" s="162">
        <f t="shared" si="10"/>
        <v>1</v>
      </c>
      <c r="U44" s="162">
        <f t="shared" si="11"/>
        <v>19.7</v>
      </c>
      <c r="V44" s="191">
        <f t="shared" si="12"/>
        <v>1175.7354</v>
      </c>
      <c r="W44" s="178">
        <f t="shared" ref="W44:X44" si="30">C44/100</f>
        <v>0.98</v>
      </c>
      <c r="X44" s="178">
        <f t="shared" si="30"/>
        <v>2.03</v>
      </c>
      <c r="Y44" s="178">
        <f t="shared" si="14"/>
        <v>19.7</v>
      </c>
      <c r="Z44" s="192">
        <f t="shared" si="15"/>
        <v>39.19118</v>
      </c>
      <c r="AA44" s="139"/>
      <c r="AB44" s="26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15.0</v>
      </c>
      <c r="B45" s="272" t="s">
        <v>121</v>
      </c>
      <c r="C45" s="272">
        <v>99.0</v>
      </c>
      <c r="D45" s="272">
        <v>303.0</v>
      </c>
      <c r="E45" s="272">
        <v>225.0</v>
      </c>
      <c r="F45" s="272">
        <f t="shared" si="5"/>
        <v>0.5</v>
      </c>
      <c r="G45" s="272">
        <f t="shared" si="6"/>
        <v>202.47975</v>
      </c>
      <c r="H45" s="273">
        <f t="shared" si="7"/>
        <v>101.239875</v>
      </c>
      <c r="I45" s="272">
        <v>1.0</v>
      </c>
      <c r="J45" s="274">
        <f t="shared" si="8"/>
        <v>101.239875</v>
      </c>
      <c r="K45" s="275"/>
      <c r="L45" s="276">
        <f t="shared" si="17"/>
        <v>7.6962</v>
      </c>
      <c r="M45" s="277">
        <f t="shared" si="18"/>
        <v>1</v>
      </c>
      <c r="N45" s="277">
        <f t="shared" si="19"/>
        <v>7.6962</v>
      </c>
      <c r="O45" s="275"/>
      <c r="P45" s="275"/>
      <c r="Q45" s="276">
        <v>138.0</v>
      </c>
      <c r="R45" s="190">
        <v>30.0</v>
      </c>
      <c r="S45" s="178">
        <f t="shared" si="9"/>
        <v>2.25</v>
      </c>
      <c r="T45" s="162">
        <f t="shared" si="10"/>
        <v>1</v>
      </c>
      <c r="U45" s="162">
        <f t="shared" si="11"/>
        <v>2.25</v>
      </c>
      <c r="V45" s="191">
        <f t="shared" si="12"/>
        <v>202.47975</v>
      </c>
      <c r="W45" s="178">
        <f t="shared" ref="W45:X45" si="31">C45/100</f>
        <v>0.99</v>
      </c>
      <c r="X45" s="178">
        <f t="shared" si="31"/>
        <v>3.03</v>
      </c>
      <c r="Y45" s="178">
        <f t="shared" si="14"/>
        <v>2.25</v>
      </c>
      <c r="Z45" s="192">
        <f t="shared" si="15"/>
        <v>6.749325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16.0</v>
      </c>
      <c r="B46" s="183" t="s">
        <v>94</v>
      </c>
      <c r="C46" s="184">
        <v>86.0</v>
      </c>
      <c r="D46" s="184">
        <v>218.0</v>
      </c>
      <c r="E46" s="184">
        <v>182.0</v>
      </c>
      <c r="F46" s="184">
        <f t="shared" si="5"/>
        <v>0.8</v>
      </c>
      <c r="G46" s="184">
        <f t="shared" si="6"/>
        <v>100.658012</v>
      </c>
      <c r="H46" s="185">
        <f t="shared" si="7"/>
        <v>80.5264096</v>
      </c>
      <c r="I46" s="184">
        <v>1.0</v>
      </c>
      <c r="J46" s="186">
        <f t="shared" si="8"/>
        <v>80.5264096</v>
      </c>
      <c r="K46" s="187"/>
      <c r="L46" s="188">
        <f t="shared" si="17"/>
        <v>5.5372</v>
      </c>
      <c r="M46" s="189">
        <f t="shared" si="18"/>
        <v>1</v>
      </c>
      <c r="N46" s="189">
        <f t="shared" si="19"/>
        <v>5.5372</v>
      </c>
      <c r="O46" s="187"/>
      <c r="P46" s="187"/>
      <c r="Q46" s="188">
        <v>107.0</v>
      </c>
      <c r="R46" s="190">
        <v>29.5</v>
      </c>
      <c r="S46" s="178">
        <f t="shared" si="9"/>
        <v>1.82</v>
      </c>
      <c r="T46" s="162">
        <f t="shared" si="10"/>
        <v>1</v>
      </c>
      <c r="U46" s="162">
        <f t="shared" si="11"/>
        <v>1.82</v>
      </c>
      <c r="V46" s="191">
        <f t="shared" si="12"/>
        <v>100.658012</v>
      </c>
      <c r="W46" s="178">
        <f t="shared" ref="W46:X46" si="32">C46/100</f>
        <v>0.86</v>
      </c>
      <c r="X46" s="178">
        <f t="shared" si="32"/>
        <v>2.18</v>
      </c>
      <c r="Y46" s="178">
        <f t="shared" si="14"/>
        <v>1.82</v>
      </c>
      <c r="Z46" s="192">
        <f t="shared" si="15"/>
        <v>3.412136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17.0</v>
      </c>
      <c r="B47" s="193" t="s">
        <v>57</v>
      </c>
      <c r="C47" s="193">
        <v>90.0</v>
      </c>
      <c r="D47" s="193">
        <v>218.0</v>
      </c>
      <c r="E47" s="193">
        <v>260.0</v>
      </c>
      <c r="F47" s="193">
        <f t="shared" si="5"/>
        <v>0</v>
      </c>
      <c r="G47" s="193">
        <f t="shared" si="6"/>
        <v>150.4854</v>
      </c>
      <c r="H47" s="194">
        <f t="shared" si="7"/>
        <v>150.4854</v>
      </c>
      <c r="I47" s="193">
        <v>1.0</v>
      </c>
      <c r="J47" s="195">
        <f t="shared" si="8"/>
        <v>150.4854</v>
      </c>
      <c r="K47" s="139"/>
      <c r="L47" s="178">
        <f t="shared" si="17"/>
        <v>5.5372</v>
      </c>
      <c r="M47" s="162">
        <f t="shared" si="18"/>
        <v>1</v>
      </c>
      <c r="N47" s="162">
        <f t="shared" si="19"/>
        <v>5.5372</v>
      </c>
      <c r="O47" s="139"/>
      <c r="P47" s="139"/>
      <c r="Q47" s="178">
        <v>165.0</v>
      </c>
      <c r="R47" s="190">
        <v>29.5</v>
      </c>
      <c r="S47" s="178">
        <f t="shared" si="9"/>
        <v>2.6</v>
      </c>
      <c r="T47" s="162">
        <f t="shared" si="10"/>
        <v>1</v>
      </c>
      <c r="U47" s="162">
        <f t="shared" si="11"/>
        <v>2.6</v>
      </c>
      <c r="V47" s="191">
        <f t="shared" si="12"/>
        <v>150.4854</v>
      </c>
      <c r="W47" s="178">
        <f t="shared" ref="W47:X47" si="33">C47/100</f>
        <v>0.9</v>
      </c>
      <c r="X47" s="178">
        <f t="shared" si="33"/>
        <v>2.18</v>
      </c>
      <c r="Y47" s="178">
        <f t="shared" si="14"/>
        <v>2.6</v>
      </c>
      <c r="Z47" s="192">
        <f t="shared" si="15"/>
        <v>5.1012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18.0</v>
      </c>
      <c r="B48" s="193" t="s">
        <v>57</v>
      </c>
      <c r="C48" s="193">
        <v>100.0</v>
      </c>
      <c r="D48" s="193">
        <v>218.0</v>
      </c>
      <c r="E48" s="193">
        <v>2662.0</v>
      </c>
      <c r="F48" s="193">
        <f t="shared" si="5"/>
        <v>0</v>
      </c>
      <c r="G48" s="193">
        <f t="shared" si="6"/>
        <v>1711.9322</v>
      </c>
      <c r="H48" s="194">
        <f t="shared" si="7"/>
        <v>1711.9322</v>
      </c>
      <c r="I48" s="193">
        <v>1.0</v>
      </c>
      <c r="J48" s="195">
        <f t="shared" si="8"/>
        <v>1711.9322</v>
      </c>
      <c r="K48" s="139"/>
      <c r="L48" s="178">
        <f t="shared" si="17"/>
        <v>5.5372</v>
      </c>
      <c r="M48" s="162">
        <f t="shared" si="18"/>
        <v>1</v>
      </c>
      <c r="N48" s="162">
        <f t="shared" si="19"/>
        <v>5.5372</v>
      </c>
      <c r="O48" s="139"/>
      <c r="P48" s="139"/>
      <c r="Q48" s="178">
        <v>1725.0</v>
      </c>
      <c r="R48" s="190">
        <v>29.5</v>
      </c>
      <c r="S48" s="178">
        <f t="shared" si="9"/>
        <v>26.62</v>
      </c>
      <c r="T48" s="162">
        <f t="shared" si="10"/>
        <v>1</v>
      </c>
      <c r="U48" s="162">
        <f t="shared" si="11"/>
        <v>26.62</v>
      </c>
      <c r="V48" s="191">
        <f t="shared" si="12"/>
        <v>1711.9322</v>
      </c>
      <c r="W48" s="178">
        <f t="shared" ref="W48:X48" si="34">C48/100</f>
        <v>1</v>
      </c>
      <c r="X48" s="178">
        <f t="shared" si="34"/>
        <v>2.18</v>
      </c>
      <c r="Y48" s="178">
        <f t="shared" si="14"/>
        <v>26.62</v>
      </c>
      <c r="Z48" s="192">
        <f t="shared" si="15"/>
        <v>58.0316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19.0</v>
      </c>
      <c r="B49" s="183" t="s">
        <v>63</v>
      </c>
      <c r="C49" s="184">
        <v>90.0</v>
      </c>
      <c r="D49" s="184">
        <v>184.0</v>
      </c>
      <c r="E49" s="184">
        <v>194.0</v>
      </c>
      <c r="F49" s="184">
        <f t="shared" si="5"/>
        <v>0.8</v>
      </c>
      <c r="G49" s="184">
        <f t="shared" si="6"/>
        <v>99.59184</v>
      </c>
      <c r="H49" s="185">
        <f t="shared" si="7"/>
        <v>79.673472</v>
      </c>
      <c r="I49" s="184">
        <v>1.0</v>
      </c>
      <c r="J49" s="186">
        <f t="shared" si="8"/>
        <v>79.673472</v>
      </c>
      <c r="K49" s="187"/>
      <c r="L49" s="188">
        <f t="shared" si="17"/>
        <v>4.6736</v>
      </c>
      <c r="M49" s="189">
        <f t="shared" si="18"/>
        <v>1</v>
      </c>
      <c r="N49" s="189">
        <f t="shared" si="19"/>
        <v>4.6736</v>
      </c>
      <c r="O49" s="187"/>
      <c r="P49" s="187"/>
      <c r="Q49" s="188">
        <v>101.0</v>
      </c>
      <c r="R49" s="190">
        <v>31.0</v>
      </c>
      <c r="S49" s="178">
        <f t="shared" si="9"/>
        <v>1.94</v>
      </c>
      <c r="T49" s="162">
        <f t="shared" si="10"/>
        <v>1</v>
      </c>
      <c r="U49" s="162">
        <f t="shared" si="11"/>
        <v>1.94</v>
      </c>
      <c r="V49" s="191">
        <f t="shared" si="12"/>
        <v>99.59184</v>
      </c>
      <c r="W49" s="178">
        <f t="shared" ref="W49:X49" si="35">C49/100</f>
        <v>0.9</v>
      </c>
      <c r="X49" s="178">
        <f t="shared" si="35"/>
        <v>1.84</v>
      </c>
      <c r="Y49" s="178">
        <f t="shared" si="14"/>
        <v>1.94</v>
      </c>
      <c r="Z49" s="192">
        <f t="shared" si="15"/>
        <v>3.21264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20.0</v>
      </c>
      <c r="B50" s="193" t="s">
        <v>55</v>
      </c>
      <c r="C50" s="193">
        <v>87.0</v>
      </c>
      <c r="D50" s="193">
        <v>184.0</v>
      </c>
      <c r="E50" s="193">
        <v>231.0</v>
      </c>
      <c r="F50" s="193">
        <f t="shared" si="5"/>
        <v>0</v>
      </c>
      <c r="G50" s="193">
        <f t="shared" si="6"/>
        <v>114.633288</v>
      </c>
      <c r="H50" s="194">
        <f t="shared" si="7"/>
        <v>114.633288</v>
      </c>
      <c r="I50" s="193">
        <v>1.0</v>
      </c>
      <c r="J50" s="195">
        <f t="shared" si="8"/>
        <v>114.633288</v>
      </c>
      <c r="K50" s="139"/>
      <c r="L50" s="178">
        <f t="shared" si="17"/>
        <v>4.6736</v>
      </c>
      <c r="M50" s="162">
        <f t="shared" si="18"/>
        <v>1</v>
      </c>
      <c r="N50" s="162">
        <f t="shared" si="19"/>
        <v>4.6736</v>
      </c>
      <c r="O50" s="139"/>
      <c r="P50" s="139"/>
      <c r="Q50" s="178">
        <v>119.0</v>
      </c>
      <c r="R50" s="190">
        <v>31.0</v>
      </c>
      <c r="S50" s="178">
        <f t="shared" si="9"/>
        <v>2.31</v>
      </c>
      <c r="T50" s="162">
        <f t="shared" si="10"/>
        <v>1</v>
      </c>
      <c r="U50" s="162">
        <f t="shared" si="11"/>
        <v>2.31</v>
      </c>
      <c r="V50" s="191">
        <f t="shared" si="12"/>
        <v>114.633288</v>
      </c>
      <c r="W50" s="178">
        <f t="shared" ref="W50:X50" si="36">C50/100</f>
        <v>0.87</v>
      </c>
      <c r="X50" s="178">
        <f t="shared" si="36"/>
        <v>1.84</v>
      </c>
      <c r="Y50" s="178">
        <f t="shared" si="14"/>
        <v>2.31</v>
      </c>
      <c r="Z50" s="192">
        <f t="shared" si="15"/>
        <v>3.697848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21.0</v>
      </c>
      <c r="B51" s="193" t="s">
        <v>55</v>
      </c>
      <c r="C51" s="193">
        <v>98.0</v>
      </c>
      <c r="D51" s="193">
        <v>184.0</v>
      </c>
      <c r="E51" s="193">
        <v>2680.0</v>
      </c>
      <c r="F51" s="193">
        <f t="shared" si="5"/>
        <v>0</v>
      </c>
      <c r="G51" s="193">
        <f t="shared" si="6"/>
        <v>1498.09856</v>
      </c>
      <c r="H51" s="194">
        <f t="shared" si="7"/>
        <v>1498.09856</v>
      </c>
      <c r="I51" s="193">
        <v>1.0</v>
      </c>
      <c r="J51" s="195">
        <f t="shared" si="8"/>
        <v>1498.09856</v>
      </c>
      <c r="K51" s="139"/>
      <c r="L51" s="178">
        <f t="shared" si="17"/>
        <v>4.6736</v>
      </c>
      <c r="M51" s="162">
        <f t="shared" si="18"/>
        <v>1</v>
      </c>
      <c r="N51" s="162">
        <f t="shared" si="19"/>
        <v>4.6736</v>
      </c>
      <c r="O51" s="139"/>
      <c r="P51" s="139"/>
      <c r="Q51" s="178">
        <v>1550.0</v>
      </c>
      <c r="R51" s="190">
        <v>31.0</v>
      </c>
      <c r="S51" s="178">
        <f t="shared" si="9"/>
        <v>26.8</v>
      </c>
      <c r="T51" s="162">
        <f t="shared" si="10"/>
        <v>1</v>
      </c>
      <c r="U51" s="162">
        <f t="shared" si="11"/>
        <v>26.8</v>
      </c>
      <c r="V51" s="191">
        <f t="shared" si="12"/>
        <v>1498.09856</v>
      </c>
      <c r="W51" s="178">
        <f t="shared" ref="W51:X51" si="37">C51/100</f>
        <v>0.98</v>
      </c>
      <c r="X51" s="178">
        <f t="shared" si="37"/>
        <v>1.84</v>
      </c>
      <c r="Y51" s="178">
        <f t="shared" si="14"/>
        <v>26.8</v>
      </c>
      <c r="Z51" s="192">
        <f t="shared" si="15"/>
        <v>48.32576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22.0</v>
      </c>
      <c r="B52" s="183" t="s">
        <v>94</v>
      </c>
      <c r="C52" s="184">
        <v>90.0</v>
      </c>
      <c r="D52" s="184">
        <v>163.0</v>
      </c>
      <c r="E52" s="184">
        <v>166.0</v>
      </c>
      <c r="F52" s="184">
        <f t="shared" si="5"/>
        <v>0.8</v>
      </c>
      <c r="G52" s="184">
        <f t="shared" si="6"/>
        <v>75.49182</v>
      </c>
      <c r="H52" s="185">
        <f t="shared" si="7"/>
        <v>60.393456</v>
      </c>
      <c r="I52" s="184">
        <v>1.0</v>
      </c>
      <c r="J52" s="186">
        <f t="shared" si="8"/>
        <v>60.393456</v>
      </c>
      <c r="K52" s="187"/>
      <c r="L52" s="188">
        <f t="shared" si="17"/>
        <v>4.1402</v>
      </c>
      <c r="M52" s="189">
        <f t="shared" si="18"/>
        <v>1</v>
      </c>
      <c r="N52" s="189">
        <f t="shared" si="19"/>
        <v>4.1402</v>
      </c>
      <c r="O52" s="187"/>
      <c r="P52" s="187"/>
      <c r="Q52" s="188">
        <v>76.0</v>
      </c>
      <c r="R52" s="190">
        <v>31.0</v>
      </c>
      <c r="S52" s="178">
        <f t="shared" si="9"/>
        <v>1.66</v>
      </c>
      <c r="T52" s="162">
        <f t="shared" si="10"/>
        <v>1</v>
      </c>
      <c r="U52" s="162">
        <f t="shared" si="11"/>
        <v>1.66</v>
      </c>
      <c r="V52" s="191">
        <f t="shared" si="12"/>
        <v>75.49182</v>
      </c>
      <c r="W52" s="178">
        <f t="shared" ref="W52:X52" si="38">C52/100</f>
        <v>0.9</v>
      </c>
      <c r="X52" s="178">
        <f t="shared" si="38"/>
        <v>1.63</v>
      </c>
      <c r="Y52" s="178">
        <f t="shared" si="14"/>
        <v>1.66</v>
      </c>
      <c r="Z52" s="192">
        <f t="shared" si="15"/>
        <v>2.43522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23.0</v>
      </c>
      <c r="B53" s="193" t="s">
        <v>57</v>
      </c>
      <c r="C53" s="193">
        <v>74.0</v>
      </c>
      <c r="D53" s="193">
        <v>163.0</v>
      </c>
      <c r="E53" s="193">
        <v>46.0</v>
      </c>
      <c r="F53" s="193">
        <f t="shared" si="5"/>
        <v>0</v>
      </c>
      <c r="G53" s="193">
        <f t="shared" si="6"/>
        <v>17.200412</v>
      </c>
      <c r="H53" s="194">
        <f t="shared" si="7"/>
        <v>17.200412</v>
      </c>
      <c r="I53" s="193">
        <v>1.0</v>
      </c>
      <c r="J53" s="195">
        <f t="shared" si="8"/>
        <v>17.200412</v>
      </c>
      <c r="K53" s="139"/>
      <c r="L53" s="178">
        <f t="shared" si="17"/>
        <v>4.1402</v>
      </c>
      <c r="M53" s="162">
        <f t="shared" si="18"/>
        <v>1</v>
      </c>
      <c r="N53" s="162">
        <f t="shared" si="19"/>
        <v>4.1402</v>
      </c>
      <c r="O53" s="139"/>
      <c r="P53" s="139"/>
      <c r="Q53" s="178">
        <v>23.0</v>
      </c>
      <c r="R53" s="190">
        <v>31.0</v>
      </c>
      <c r="S53" s="178">
        <f t="shared" si="9"/>
        <v>0.46</v>
      </c>
      <c r="T53" s="162">
        <f t="shared" si="10"/>
        <v>1</v>
      </c>
      <c r="U53" s="162">
        <f t="shared" si="11"/>
        <v>0.46</v>
      </c>
      <c r="V53" s="191">
        <f t="shared" si="12"/>
        <v>17.200412</v>
      </c>
      <c r="W53" s="178">
        <f t="shared" ref="W53:X53" si="39">C53/100</f>
        <v>0.74</v>
      </c>
      <c r="X53" s="178">
        <f t="shared" si="39"/>
        <v>1.63</v>
      </c>
      <c r="Y53" s="178">
        <f t="shared" si="14"/>
        <v>0.46</v>
      </c>
      <c r="Z53" s="192">
        <f t="shared" si="15"/>
        <v>0.554852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24.0</v>
      </c>
      <c r="B54" s="193" t="s">
        <v>57</v>
      </c>
      <c r="C54" s="193">
        <v>84.0</v>
      </c>
      <c r="D54" s="193">
        <v>163.0</v>
      </c>
      <c r="E54" s="193">
        <v>176.0</v>
      </c>
      <c r="F54" s="193">
        <f t="shared" si="5"/>
        <v>0</v>
      </c>
      <c r="G54" s="193">
        <f t="shared" si="6"/>
        <v>74.703552</v>
      </c>
      <c r="H54" s="194">
        <f t="shared" si="7"/>
        <v>74.703552</v>
      </c>
      <c r="I54" s="193">
        <v>1.0</v>
      </c>
      <c r="J54" s="195">
        <f t="shared" si="8"/>
        <v>74.703552</v>
      </c>
      <c r="K54" s="139"/>
      <c r="L54" s="178">
        <f t="shared" si="17"/>
        <v>4.1402</v>
      </c>
      <c r="M54" s="162">
        <f t="shared" si="18"/>
        <v>1</v>
      </c>
      <c r="N54" s="162">
        <f t="shared" si="19"/>
        <v>4.1402</v>
      </c>
      <c r="O54" s="139"/>
      <c r="P54" s="139"/>
      <c r="Q54" s="178">
        <v>77.0</v>
      </c>
      <c r="R54" s="190">
        <v>31.0</v>
      </c>
      <c r="S54" s="178">
        <f t="shared" si="9"/>
        <v>1.76</v>
      </c>
      <c r="T54" s="162">
        <f t="shared" si="10"/>
        <v>1</v>
      </c>
      <c r="U54" s="162">
        <f t="shared" si="11"/>
        <v>1.76</v>
      </c>
      <c r="V54" s="191">
        <f t="shared" si="12"/>
        <v>74.703552</v>
      </c>
      <c r="W54" s="178">
        <f t="shared" ref="W54:X54" si="40">C54/100</f>
        <v>0.84</v>
      </c>
      <c r="X54" s="178">
        <f t="shared" si="40"/>
        <v>1.63</v>
      </c>
      <c r="Y54" s="178">
        <f t="shared" si="14"/>
        <v>1.76</v>
      </c>
      <c r="Z54" s="192">
        <f t="shared" si="15"/>
        <v>2.409792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25.0</v>
      </c>
      <c r="B55" s="193" t="s">
        <v>57</v>
      </c>
      <c r="C55" s="193">
        <v>94.0</v>
      </c>
      <c r="D55" s="193">
        <v>163.0</v>
      </c>
      <c r="E55" s="193">
        <v>2749.0</v>
      </c>
      <c r="F55" s="193">
        <f t="shared" si="5"/>
        <v>0</v>
      </c>
      <c r="G55" s="193">
        <f t="shared" si="6"/>
        <v>1305.725518</v>
      </c>
      <c r="H55" s="194">
        <f t="shared" si="7"/>
        <v>1305.725518</v>
      </c>
      <c r="I55" s="193">
        <v>1.0</v>
      </c>
      <c r="J55" s="195">
        <f t="shared" si="8"/>
        <v>1305.725518</v>
      </c>
      <c r="K55" s="139"/>
      <c r="L55" s="178">
        <f t="shared" si="17"/>
        <v>4.1402</v>
      </c>
      <c r="M55" s="162">
        <f t="shared" si="18"/>
        <v>1</v>
      </c>
      <c r="N55" s="162">
        <f t="shared" si="19"/>
        <v>4.1402</v>
      </c>
      <c r="O55" s="139"/>
      <c r="P55" s="139"/>
      <c r="Q55" s="178">
        <v>1375.0</v>
      </c>
      <c r="R55" s="190">
        <v>31.0</v>
      </c>
      <c r="S55" s="178">
        <f t="shared" si="9"/>
        <v>27.49</v>
      </c>
      <c r="T55" s="162">
        <f t="shared" si="10"/>
        <v>1</v>
      </c>
      <c r="U55" s="162">
        <f t="shared" si="11"/>
        <v>27.49</v>
      </c>
      <c r="V55" s="191">
        <f t="shared" si="12"/>
        <v>1305.725518</v>
      </c>
      <c r="W55" s="178">
        <f t="shared" ref="W55:X55" si="41">C55/100</f>
        <v>0.94</v>
      </c>
      <c r="X55" s="178">
        <f t="shared" si="41"/>
        <v>1.63</v>
      </c>
      <c r="Y55" s="178">
        <f t="shared" si="14"/>
        <v>27.49</v>
      </c>
      <c r="Z55" s="192">
        <f t="shared" si="15"/>
        <v>42.120178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26.0</v>
      </c>
      <c r="B56" s="183" t="s">
        <v>66</v>
      </c>
      <c r="C56" s="184">
        <v>100.0</v>
      </c>
      <c r="D56" s="184">
        <v>195.0</v>
      </c>
      <c r="E56" s="184">
        <v>176.0</v>
      </c>
      <c r="F56" s="184">
        <f t="shared" si="5"/>
        <v>0.8</v>
      </c>
      <c r="G56" s="184">
        <f t="shared" si="6"/>
        <v>75.504</v>
      </c>
      <c r="H56" s="185">
        <f t="shared" si="7"/>
        <v>60.4032</v>
      </c>
      <c r="I56" s="184">
        <v>1.0</v>
      </c>
      <c r="J56" s="186">
        <f t="shared" si="8"/>
        <v>60.4032</v>
      </c>
      <c r="K56" s="187"/>
      <c r="L56" s="188">
        <f t="shared" si="17"/>
        <v>4.953</v>
      </c>
      <c r="M56" s="189">
        <f t="shared" si="18"/>
        <v>1</v>
      </c>
      <c r="N56" s="189">
        <f t="shared" si="19"/>
        <v>4.953</v>
      </c>
      <c r="O56" s="187"/>
      <c r="P56" s="187"/>
      <c r="Q56" s="188">
        <v>81.0</v>
      </c>
      <c r="R56" s="190">
        <v>22.0</v>
      </c>
      <c r="S56" s="178">
        <f t="shared" si="9"/>
        <v>1.76</v>
      </c>
      <c r="T56" s="162">
        <f t="shared" si="10"/>
        <v>1</v>
      </c>
      <c r="U56" s="162">
        <f t="shared" si="11"/>
        <v>1.76</v>
      </c>
      <c r="V56" s="191">
        <f t="shared" si="12"/>
        <v>75.504</v>
      </c>
      <c r="W56" s="178">
        <f t="shared" ref="W56:X56" si="42">C56/100</f>
        <v>1</v>
      </c>
      <c r="X56" s="178">
        <f t="shared" si="42"/>
        <v>1.95</v>
      </c>
      <c r="Y56" s="178">
        <f t="shared" si="14"/>
        <v>1.76</v>
      </c>
      <c r="Z56" s="192">
        <f t="shared" si="15"/>
        <v>3.432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27.0</v>
      </c>
      <c r="B57" s="193" t="s">
        <v>58</v>
      </c>
      <c r="C57" s="193">
        <v>104.0</v>
      </c>
      <c r="D57" s="193">
        <v>195.0</v>
      </c>
      <c r="E57" s="193">
        <v>197.0</v>
      </c>
      <c r="F57" s="193">
        <f t="shared" si="5"/>
        <v>0</v>
      </c>
      <c r="G57" s="193">
        <f t="shared" si="6"/>
        <v>87.89352</v>
      </c>
      <c r="H57" s="194">
        <f t="shared" si="7"/>
        <v>87.89352</v>
      </c>
      <c r="I57" s="193">
        <v>1.0</v>
      </c>
      <c r="J57" s="195">
        <f t="shared" si="8"/>
        <v>87.89352</v>
      </c>
      <c r="K57" s="139"/>
      <c r="L57" s="197"/>
      <c r="M57" s="198">
        <f t="shared" si="18"/>
        <v>1</v>
      </c>
      <c r="N57" s="198"/>
      <c r="O57" s="139"/>
      <c r="P57" s="139"/>
      <c r="Q57" s="178">
        <v>89.0</v>
      </c>
      <c r="R57" s="190">
        <v>22.0</v>
      </c>
      <c r="S57" s="178">
        <f t="shared" si="9"/>
        <v>1.97</v>
      </c>
      <c r="T57" s="162">
        <f t="shared" si="10"/>
        <v>1</v>
      </c>
      <c r="U57" s="162">
        <f t="shared" si="11"/>
        <v>1.97</v>
      </c>
      <c r="V57" s="191">
        <f t="shared" si="12"/>
        <v>87.89352</v>
      </c>
      <c r="W57" s="178">
        <f t="shared" ref="W57:X57" si="43">C57/100</f>
        <v>1.04</v>
      </c>
      <c r="X57" s="178">
        <f t="shared" si="43"/>
        <v>1.95</v>
      </c>
      <c r="Y57" s="178">
        <f t="shared" si="14"/>
        <v>1.97</v>
      </c>
      <c r="Z57" s="192">
        <f t="shared" si="15"/>
        <v>3.99516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28.0</v>
      </c>
      <c r="B58" s="193" t="s">
        <v>58</v>
      </c>
      <c r="C58" s="193">
        <v>104.0</v>
      </c>
      <c r="D58" s="193">
        <v>195.0</v>
      </c>
      <c r="E58" s="193">
        <v>2869.0</v>
      </c>
      <c r="F58" s="193">
        <f t="shared" si="5"/>
        <v>0</v>
      </c>
      <c r="G58" s="193">
        <f t="shared" si="6"/>
        <v>1280.03304</v>
      </c>
      <c r="H58" s="194">
        <f t="shared" si="7"/>
        <v>1280.03304</v>
      </c>
      <c r="I58" s="193">
        <v>1.0</v>
      </c>
      <c r="J58" s="195">
        <f t="shared" si="8"/>
        <v>1280.03304</v>
      </c>
      <c r="K58" s="139"/>
      <c r="L58" s="197"/>
      <c r="M58" s="198">
        <f t="shared" si="18"/>
        <v>1</v>
      </c>
      <c r="N58" s="198"/>
      <c r="O58" s="139"/>
      <c r="P58" s="139"/>
      <c r="Q58" s="178">
        <v>1280.0</v>
      </c>
      <c r="R58" s="190">
        <v>22.0</v>
      </c>
      <c r="S58" s="178">
        <f t="shared" si="9"/>
        <v>28.69</v>
      </c>
      <c r="T58" s="162">
        <f t="shared" si="10"/>
        <v>1</v>
      </c>
      <c r="U58" s="162">
        <f t="shared" si="11"/>
        <v>28.69</v>
      </c>
      <c r="V58" s="191">
        <f t="shared" si="12"/>
        <v>1280.03304</v>
      </c>
      <c r="W58" s="178">
        <f t="shared" ref="W58:X58" si="44">C58/100</f>
        <v>1.04</v>
      </c>
      <c r="X58" s="178">
        <f t="shared" si="44"/>
        <v>1.95</v>
      </c>
      <c r="Y58" s="178">
        <f t="shared" si="14"/>
        <v>28.69</v>
      </c>
      <c r="Z58" s="192">
        <f t="shared" si="15"/>
        <v>58.18332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29.0</v>
      </c>
      <c r="B59" s="193" t="s">
        <v>58</v>
      </c>
      <c r="C59" s="193">
        <v>105.0</v>
      </c>
      <c r="D59" s="193">
        <v>195.0</v>
      </c>
      <c r="E59" s="193">
        <v>2866.0</v>
      </c>
      <c r="F59" s="193">
        <f t="shared" si="5"/>
        <v>0</v>
      </c>
      <c r="G59" s="193">
        <f t="shared" si="6"/>
        <v>1290.9897</v>
      </c>
      <c r="H59" s="194">
        <f t="shared" si="7"/>
        <v>1290.9897</v>
      </c>
      <c r="I59" s="193">
        <v>1.0</v>
      </c>
      <c r="J59" s="195">
        <f t="shared" si="8"/>
        <v>1290.9897</v>
      </c>
      <c r="K59" s="139"/>
      <c r="L59" s="197"/>
      <c r="M59" s="198">
        <f t="shared" si="18"/>
        <v>1</v>
      </c>
      <c r="N59" s="198"/>
      <c r="O59" s="139"/>
      <c r="P59" s="139"/>
      <c r="Q59" s="178">
        <v>1320.0</v>
      </c>
      <c r="R59" s="190">
        <v>22.0</v>
      </c>
      <c r="S59" s="178">
        <f t="shared" si="9"/>
        <v>28.66</v>
      </c>
      <c r="T59" s="162">
        <f t="shared" si="10"/>
        <v>1</v>
      </c>
      <c r="U59" s="162">
        <f t="shared" si="11"/>
        <v>28.66</v>
      </c>
      <c r="V59" s="191">
        <f t="shared" si="12"/>
        <v>1290.9897</v>
      </c>
      <c r="W59" s="178">
        <f t="shared" ref="W59:X59" si="45">C59/100</f>
        <v>1.05</v>
      </c>
      <c r="X59" s="178">
        <f t="shared" si="45"/>
        <v>1.95</v>
      </c>
      <c r="Y59" s="178">
        <f t="shared" si="14"/>
        <v>28.66</v>
      </c>
      <c r="Z59" s="192">
        <f t="shared" si="15"/>
        <v>58.68135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30.0</v>
      </c>
      <c r="B60" s="193" t="s">
        <v>58</v>
      </c>
      <c r="C60" s="193">
        <v>104.0</v>
      </c>
      <c r="D60" s="193">
        <v>195.0</v>
      </c>
      <c r="E60" s="193">
        <v>2897.0</v>
      </c>
      <c r="F60" s="193">
        <f t="shared" si="5"/>
        <v>0</v>
      </c>
      <c r="G60" s="193">
        <f t="shared" si="6"/>
        <v>1292.52552</v>
      </c>
      <c r="H60" s="194">
        <f t="shared" si="7"/>
        <v>1292.52552</v>
      </c>
      <c r="I60" s="193">
        <v>1.0</v>
      </c>
      <c r="J60" s="195">
        <f t="shared" si="8"/>
        <v>1292.52552</v>
      </c>
      <c r="K60" s="139"/>
      <c r="L60" s="197"/>
      <c r="M60" s="198">
        <f t="shared" si="18"/>
        <v>1</v>
      </c>
      <c r="N60" s="198"/>
      <c r="O60" s="139"/>
      <c r="P60" s="139"/>
      <c r="Q60" s="178">
        <v>1290.0</v>
      </c>
      <c r="R60" s="190">
        <v>22.0</v>
      </c>
      <c r="S60" s="178">
        <f t="shared" si="9"/>
        <v>28.97</v>
      </c>
      <c r="T60" s="162">
        <f t="shared" si="10"/>
        <v>1</v>
      </c>
      <c r="U60" s="162">
        <f t="shared" si="11"/>
        <v>28.97</v>
      </c>
      <c r="V60" s="191">
        <f t="shared" si="12"/>
        <v>1292.52552</v>
      </c>
      <c r="W60" s="178">
        <f t="shared" ref="W60:X60" si="46">C60/100</f>
        <v>1.04</v>
      </c>
      <c r="X60" s="178">
        <f t="shared" si="46"/>
        <v>1.95</v>
      </c>
      <c r="Y60" s="178">
        <f t="shared" si="14"/>
        <v>28.97</v>
      </c>
      <c r="Z60" s="192">
        <f t="shared" si="15"/>
        <v>58.75116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31.0</v>
      </c>
      <c r="B61" s="183" t="s">
        <v>87</v>
      </c>
      <c r="C61" s="184">
        <v>77.0</v>
      </c>
      <c r="D61" s="184">
        <v>216.0</v>
      </c>
      <c r="E61" s="184">
        <v>173.0</v>
      </c>
      <c r="F61" s="184">
        <f t="shared" si="5"/>
        <v>0.8</v>
      </c>
      <c r="G61" s="184">
        <f t="shared" si="6"/>
        <v>70.494732</v>
      </c>
      <c r="H61" s="185">
        <f t="shared" si="7"/>
        <v>56.3957856</v>
      </c>
      <c r="I61" s="184">
        <v>1.0</v>
      </c>
      <c r="J61" s="186">
        <f t="shared" si="8"/>
        <v>56.3957856</v>
      </c>
      <c r="K61" s="187"/>
      <c r="L61" s="188"/>
      <c r="M61" s="189">
        <f t="shared" si="18"/>
        <v>1</v>
      </c>
      <c r="N61" s="189"/>
      <c r="O61" s="187"/>
      <c r="P61" s="187"/>
      <c r="Q61" s="188">
        <v>78.0</v>
      </c>
      <c r="R61" s="190">
        <v>24.5</v>
      </c>
      <c r="S61" s="178">
        <f t="shared" si="9"/>
        <v>1.73</v>
      </c>
      <c r="T61" s="162">
        <f t="shared" si="10"/>
        <v>1</v>
      </c>
      <c r="U61" s="162">
        <f t="shared" si="11"/>
        <v>1.73</v>
      </c>
      <c r="V61" s="191">
        <f t="shared" si="12"/>
        <v>70.494732</v>
      </c>
      <c r="W61" s="178">
        <f t="shared" ref="W61:X61" si="47">C61/100</f>
        <v>0.77</v>
      </c>
      <c r="X61" s="178">
        <f t="shared" si="47"/>
        <v>2.16</v>
      </c>
      <c r="Y61" s="178">
        <f t="shared" si="14"/>
        <v>1.73</v>
      </c>
      <c r="Z61" s="192">
        <f t="shared" si="15"/>
        <v>2.877336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2">
        <v>32.0</v>
      </c>
      <c r="B62" s="193" t="s">
        <v>80</v>
      </c>
      <c r="C62" s="193">
        <v>92.0</v>
      </c>
      <c r="D62" s="193">
        <v>216.0</v>
      </c>
      <c r="E62" s="193">
        <v>201.0</v>
      </c>
      <c r="F62" s="193">
        <f t="shared" si="5"/>
        <v>0</v>
      </c>
      <c r="G62" s="193">
        <f t="shared" si="6"/>
        <v>97.859664</v>
      </c>
      <c r="H62" s="194">
        <f t="shared" si="7"/>
        <v>97.859664</v>
      </c>
      <c r="I62" s="193">
        <v>1.0</v>
      </c>
      <c r="J62" s="195">
        <f t="shared" si="8"/>
        <v>97.859664</v>
      </c>
      <c r="K62" s="139"/>
      <c r="L62" s="197"/>
      <c r="M62" s="198">
        <f t="shared" si="18"/>
        <v>1</v>
      </c>
      <c r="N62" s="198"/>
      <c r="O62" s="139"/>
      <c r="P62" s="139"/>
      <c r="Q62" s="178">
        <v>100.0</v>
      </c>
      <c r="R62" s="190">
        <v>24.5</v>
      </c>
      <c r="S62" s="178">
        <f t="shared" si="9"/>
        <v>2.01</v>
      </c>
      <c r="T62" s="162">
        <f t="shared" si="10"/>
        <v>1</v>
      </c>
      <c r="U62" s="162">
        <f t="shared" si="11"/>
        <v>2.01</v>
      </c>
      <c r="V62" s="191">
        <f t="shared" si="12"/>
        <v>97.859664</v>
      </c>
      <c r="W62" s="178">
        <f t="shared" ref="W62:X62" si="48">C62/100</f>
        <v>0.92</v>
      </c>
      <c r="X62" s="178">
        <f t="shared" si="48"/>
        <v>2.16</v>
      </c>
      <c r="Y62" s="178">
        <f t="shared" si="14"/>
        <v>2.01</v>
      </c>
      <c r="Z62" s="192">
        <f t="shared" si="15"/>
        <v>3.994272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2">
        <v>33.0</v>
      </c>
      <c r="B63" s="193" t="s">
        <v>80</v>
      </c>
      <c r="C63" s="193">
        <v>93.0</v>
      </c>
      <c r="D63" s="193">
        <v>216.0</v>
      </c>
      <c r="E63" s="193">
        <v>2871.0</v>
      </c>
      <c r="F63" s="193">
        <f t="shared" si="5"/>
        <v>0</v>
      </c>
      <c r="G63" s="193">
        <f t="shared" si="6"/>
        <v>1412.979876</v>
      </c>
      <c r="H63" s="194">
        <f t="shared" si="7"/>
        <v>1412.979876</v>
      </c>
      <c r="I63" s="193">
        <v>1.0</v>
      </c>
      <c r="J63" s="195">
        <f t="shared" si="8"/>
        <v>1412.979876</v>
      </c>
      <c r="K63" s="139"/>
      <c r="L63" s="197"/>
      <c r="M63" s="198">
        <f t="shared" si="18"/>
        <v>1</v>
      </c>
      <c r="N63" s="198"/>
      <c r="O63" s="139"/>
      <c r="P63" s="139"/>
      <c r="Q63" s="178">
        <v>1420.0</v>
      </c>
      <c r="R63" s="190">
        <v>24.5</v>
      </c>
      <c r="S63" s="178">
        <f t="shared" si="9"/>
        <v>28.71</v>
      </c>
      <c r="T63" s="162">
        <f t="shared" si="10"/>
        <v>1</v>
      </c>
      <c r="U63" s="162">
        <f t="shared" si="11"/>
        <v>28.71</v>
      </c>
      <c r="V63" s="191">
        <f t="shared" si="12"/>
        <v>1412.979876</v>
      </c>
      <c r="W63" s="178">
        <f t="shared" ref="W63:X63" si="49">C63/100</f>
        <v>0.93</v>
      </c>
      <c r="X63" s="178">
        <f t="shared" si="49"/>
        <v>2.16</v>
      </c>
      <c r="Y63" s="178">
        <f t="shared" si="14"/>
        <v>28.71</v>
      </c>
      <c r="Z63" s="192">
        <f t="shared" si="15"/>
        <v>57.672648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2">
        <v>34.0</v>
      </c>
      <c r="B64" s="193" t="s">
        <v>80</v>
      </c>
      <c r="C64" s="193">
        <v>91.0</v>
      </c>
      <c r="D64" s="193">
        <v>216.0</v>
      </c>
      <c r="E64" s="193">
        <v>2870.0</v>
      </c>
      <c r="F64" s="193">
        <f t="shared" si="5"/>
        <v>0</v>
      </c>
      <c r="G64" s="193">
        <f t="shared" si="6"/>
        <v>1382.11164</v>
      </c>
      <c r="H64" s="194">
        <f t="shared" si="7"/>
        <v>1382.11164</v>
      </c>
      <c r="I64" s="193">
        <v>1.0</v>
      </c>
      <c r="J64" s="195">
        <f t="shared" si="8"/>
        <v>1382.11164</v>
      </c>
      <c r="K64" s="139"/>
      <c r="L64" s="197"/>
      <c r="M64" s="198">
        <f t="shared" si="18"/>
        <v>1</v>
      </c>
      <c r="N64" s="198"/>
      <c r="O64" s="139"/>
      <c r="P64" s="139"/>
      <c r="Q64" s="178">
        <v>1420.0</v>
      </c>
      <c r="R64" s="190">
        <v>24.5</v>
      </c>
      <c r="S64" s="178">
        <f t="shared" si="9"/>
        <v>28.7</v>
      </c>
      <c r="T64" s="162">
        <f t="shared" si="10"/>
        <v>1</v>
      </c>
      <c r="U64" s="162">
        <f t="shared" si="11"/>
        <v>28.7</v>
      </c>
      <c r="V64" s="191">
        <f t="shared" si="12"/>
        <v>1382.11164</v>
      </c>
      <c r="W64" s="178">
        <f t="shared" ref="W64:X64" si="50">C64/100</f>
        <v>0.91</v>
      </c>
      <c r="X64" s="178">
        <f t="shared" si="50"/>
        <v>2.16</v>
      </c>
      <c r="Y64" s="178">
        <f t="shared" si="14"/>
        <v>28.7</v>
      </c>
      <c r="Z64" s="192">
        <f t="shared" si="15"/>
        <v>56.41272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2">
        <v>35.0</v>
      </c>
      <c r="B65" s="193" t="s">
        <v>80</v>
      </c>
      <c r="C65" s="193">
        <v>94.0</v>
      </c>
      <c r="D65" s="193">
        <v>216.0</v>
      </c>
      <c r="E65" s="193">
        <v>2791.0</v>
      </c>
      <c r="F65" s="193">
        <f t="shared" si="5"/>
        <v>0</v>
      </c>
      <c r="G65" s="193">
        <f t="shared" si="6"/>
        <v>1388.377368</v>
      </c>
      <c r="H65" s="194">
        <f t="shared" si="7"/>
        <v>1388.377368</v>
      </c>
      <c r="I65" s="193">
        <v>1.0</v>
      </c>
      <c r="J65" s="195">
        <f t="shared" si="8"/>
        <v>1388.377368</v>
      </c>
      <c r="K65" s="139"/>
      <c r="L65" s="197"/>
      <c r="M65" s="198">
        <f t="shared" si="18"/>
        <v>1</v>
      </c>
      <c r="N65" s="198"/>
      <c r="O65" s="139"/>
      <c r="P65" s="139"/>
      <c r="Q65" s="178">
        <v>1390.0</v>
      </c>
      <c r="R65" s="190">
        <v>24.5</v>
      </c>
      <c r="S65" s="178">
        <f t="shared" si="9"/>
        <v>27.91</v>
      </c>
      <c r="T65" s="162">
        <f t="shared" si="10"/>
        <v>1</v>
      </c>
      <c r="U65" s="162">
        <f t="shared" si="11"/>
        <v>27.91</v>
      </c>
      <c r="V65" s="191">
        <f t="shared" si="12"/>
        <v>1388.377368</v>
      </c>
      <c r="W65" s="178">
        <f t="shared" ref="W65:X65" si="51">C65/100</f>
        <v>0.94</v>
      </c>
      <c r="X65" s="178">
        <f t="shared" si="51"/>
        <v>2.16</v>
      </c>
      <c r="Y65" s="178">
        <f t="shared" si="14"/>
        <v>27.91</v>
      </c>
      <c r="Z65" s="192">
        <f t="shared" si="15"/>
        <v>56.668464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2">
        <v>36.0</v>
      </c>
      <c r="B66" s="193" t="s">
        <v>80</v>
      </c>
      <c r="C66" s="193">
        <v>93.0</v>
      </c>
      <c r="D66" s="193">
        <v>216.0</v>
      </c>
      <c r="E66" s="193">
        <v>2869.0</v>
      </c>
      <c r="F66" s="193">
        <f t="shared" si="5"/>
        <v>0</v>
      </c>
      <c r="G66" s="193">
        <f t="shared" si="6"/>
        <v>1411.995564</v>
      </c>
      <c r="H66" s="194">
        <f t="shared" si="7"/>
        <v>1411.995564</v>
      </c>
      <c r="I66" s="193">
        <v>1.0</v>
      </c>
      <c r="J66" s="195">
        <f t="shared" si="8"/>
        <v>1411.995564</v>
      </c>
      <c r="K66" s="139"/>
      <c r="L66" s="197"/>
      <c r="M66" s="198">
        <f t="shared" si="18"/>
        <v>1</v>
      </c>
      <c r="N66" s="198"/>
      <c r="O66" s="139"/>
      <c r="P66" s="139"/>
      <c r="Q66" s="178">
        <v>1420.0</v>
      </c>
      <c r="R66" s="190">
        <v>24.5</v>
      </c>
      <c r="S66" s="178">
        <f t="shared" si="9"/>
        <v>28.69</v>
      </c>
      <c r="T66" s="162">
        <f t="shared" si="10"/>
        <v>1</v>
      </c>
      <c r="U66" s="162">
        <f t="shared" si="11"/>
        <v>28.69</v>
      </c>
      <c r="V66" s="191">
        <f t="shared" si="12"/>
        <v>1411.995564</v>
      </c>
      <c r="W66" s="178">
        <f t="shared" ref="W66:X66" si="52">C66/100</f>
        <v>0.93</v>
      </c>
      <c r="X66" s="178">
        <f t="shared" si="52"/>
        <v>2.16</v>
      </c>
      <c r="Y66" s="178">
        <f t="shared" si="14"/>
        <v>28.69</v>
      </c>
      <c r="Z66" s="192">
        <f t="shared" si="15"/>
        <v>57.632472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2">
        <v>37.0</v>
      </c>
      <c r="B67" s="183" t="s">
        <v>110</v>
      </c>
      <c r="C67" s="184">
        <v>78.0</v>
      </c>
      <c r="D67" s="184">
        <v>198.0</v>
      </c>
      <c r="E67" s="184">
        <v>188.0</v>
      </c>
      <c r="F67" s="184">
        <f t="shared" si="5"/>
        <v>0.8</v>
      </c>
      <c r="G67" s="184">
        <f t="shared" si="6"/>
        <v>58.06944</v>
      </c>
      <c r="H67" s="185">
        <f t="shared" si="7"/>
        <v>46.455552</v>
      </c>
      <c r="I67" s="184">
        <v>1.0</v>
      </c>
      <c r="J67" s="186">
        <f t="shared" si="8"/>
        <v>46.455552</v>
      </c>
      <c r="K67" s="187"/>
      <c r="L67" s="188"/>
      <c r="M67" s="189">
        <f t="shared" si="18"/>
        <v>1</v>
      </c>
      <c r="N67" s="189"/>
      <c r="O67" s="187"/>
      <c r="P67" s="187"/>
      <c r="Q67" s="188">
        <v>66.0</v>
      </c>
      <c r="R67" s="190">
        <v>20.0</v>
      </c>
      <c r="S67" s="178">
        <f t="shared" si="9"/>
        <v>1.88</v>
      </c>
      <c r="T67" s="162">
        <f t="shared" si="10"/>
        <v>1</v>
      </c>
      <c r="U67" s="162">
        <f t="shared" si="11"/>
        <v>1.88</v>
      </c>
      <c r="V67" s="191">
        <f t="shared" si="12"/>
        <v>58.06944</v>
      </c>
      <c r="W67" s="178">
        <f t="shared" ref="W67:X67" si="53">C67/100</f>
        <v>0.78</v>
      </c>
      <c r="X67" s="178">
        <f t="shared" si="53"/>
        <v>1.98</v>
      </c>
      <c r="Y67" s="178">
        <f t="shared" si="14"/>
        <v>1.88</v>
      </c>
      <c r="Z67" s="192">
        <f t="shared" si="15"/>
        <v>2.903472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2">
        <v>38.0</v>
      </c>
      <c r="B68" s="193" t="s">
        <v>111</v>
      </c>
      <c r="C68" s="193">
        <v>100.0</v>
      </c>
      <c r="D68" s="193">
        <v>198.0</v>
      </c>
      <c r="E68" s="193">
        <v>186.0</v>
      </c>
      <c r="F68" s="193">
        <f t="shared" si="5"/>
        <v>0</v>
      </c>
      <c r="G68" s="193">
        <f t="shared" si="6"/>
        <v>73.656</v>
      </c>
      <c r="H68" s="194">
        <f t="shared" si="7"/>
        <v>73.656</v>
      </c>
      <c r="I68" s="193">
        <v>1.0</v>
      </c>
      <c r="J68" s="195">
        <f t="shared" si="8"/>
        <v>73.656</v>
      </c>
      <c r="K68" s="139"/>
      <c r="L68" s="197"/>
      <c r="M68" s="198">
        <f t="shared" si="18"/>
        <v>1</v>
      </c>
      <c r="N68" s="198"/>
      <c r="O68" s="139"/>
      <c r="P68" s="139"/>
      <c r="Q68" s="178">
        <v>80.0</v>
      </c>
      <c r="R68" s="190">
        <v>20.0</v>
      </c>
      <c r="S68" s="178">
        <f t="shared" si="9"/>
        <v>1.86</v>
      </c>
      <c r="T68" s="162">
        <f t="shared" si="10"/>
        <v>1</v>
      </c>
      <c r="U68" s="162">
        <f t="shared" si="11"/>
        <v>1.86</v>
      </c>
      <c r="V68" s="191">
        <f t="shared" si="12"/>
        <v>73.656</v>
      </c>
      <c r="W68" s="178">
        <f t="shared" ref="W68:X68" si="54">C68/100</f>
        <v>1</v>
      </c>
      <c r="X68" s="178">
        <f t="shared" si="54"/>
        <v>1.98</v>
      </c>
      <c r="Y68" s="178">
        <f t="shared" si="14"/>
        <v>1.86</v>
      </c>
      <c r="Z68" s="192">
        <f t="shared" si="15"/>
        <v>3.6828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2">
        <v>39.0</v>
      </c>
      <c r="B69" s="193" t="s">
        <v>111</v>
      </c>
      <c r="C69" s="193">
        <v>102.0</v>
      </c>
      <c r="D69" s="193">
        <v>198.0</v>
      </c>
      <c r="E69" s="193">
        <v>2630.0</v>
      </c>
      <c r="F69" s="193">
        <f t="shared" si="5"/>
        <v>0</v>
      </c>
      <c r="G69" s="193">
        <f t="shared" si="6"/>
        <v>1062.3096</v>
      </c>
      <c r="H69" s="194">
        <f t="shared" si="7"/>
        <v>1062.3096</v>
      </c>
      <c r="I69" s="193">
        <v>1.0</v>
      </c>
      <c r="J69" s="195">
        <f t="shared" si="8"/>
        <v>1062.3096</v>
      </c>
      <c r="K69" s="139"/>
      <c r="L69" s="197"/>
      <c r="M69" s="198">
        <f t="shared" si="18"/>
        <v>1</v>
      </c>
      <c r="N69" s="198"/>
      <c r="O69" s="139"/>
      <c r="P69" s="139"/>
      <c r="Q69" s="178">
        <v>1060.0</v>
      </c>
      <c r="R69" s="190">
        <v>20.0</v>
      </c>
      <c r="S69" s="178">
        <f t="shared" si="9"/>
        <v>26.3</v>
      </c>
      <c r="T69" s="162">
        <f t="shared" si="10"/>
        <v>1</v>
      </c>
      <c r="U69" s="162">
        <f t="shared" si="11"/>
        <v>26.3</v>
      </c>
      <c r="V69" s="191">
        <f t="shared" si="12"/>
        <v>1062.3096</v>
      </c>
      <c r="W69" s="178">
        <f t="shared" ref="W69:X69" si="55">C69/100</f>
        <v>1.02</v>
      </c>
      <c r="X69" s="178">
        <f t="shared" si="55"/>
        <v>1.98</v>
      </c>
      <c r="Y69" s="178">
        <f t="shared" si="14"/>
        <v>26.3</v>
      </c>
      <c r="Z69" s="192">
        <f t="shared" si="15"/>
        <v>53.11548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2">
        <v>40.0</v>
      </c>
      <c r="B70" s="183" t="s">
        <v>140</v>
      </c>
      <c r="C70" s="184">
        <v>77.0</v>
      </c>
      <c r="D70" s="184">
        <v>203.0</v>
      </c>
      <c r="E70" s="184">
        <v>178.0</v>
      </c>
      <c r="F70" s="184">
        <f t="shared" si="5"/>
        <v>0.8</v>
      </c>
      <c r="G70" s="184">
        <f t="shared" si="6"/>
        <v>111.29272</v>
      </c>
      <c r="H70" s="185">
        <f t="shared" si="7"/>
        <v>89.034176</v>
      </c>
      <c r="I70" s="184">
        <v>1.0</v>
      </c>
      <c r="J70" s="186">
        <f t="shared" si="8"/>
        <v>89.034176</v>
      </c>
      <c r="K70" s="187"/>
      <c r="L70" s="188"/>
      <c r="M70" s="189"/>
      <c r="N70" s="189"/>
      <c r="O70" s="187"/>
      <c r="P70" s="187"/>
      <c r="Q70" s="188">
        <v>115.0</v>
      </c>
      <c r="R70" s="190">
        <v>40.0</v>
      </c>
      <c r="S70" s="178">
        <f t="shared" si="9"/>
        <v>1.78</v>
      </c>
      <c r="T70" s="162">
        <f t="shared" si="10"/>
        <v>1</v>
      </c>
      <c r="U70" s="162">
        <f t="shared" si="11"/>
        <v>1.78</v>
      </c>
      <c r="V70" s="191">
        <f t="shared" si="12"/>
        <v>111.29272</v>
      </c>
      <c r="W70" s="178">
        <f t="shared" ref="W70:X70" si="56">C70/100</f>
        <v>0.77</v>
      </c>
      <c r="X70" s="178">
        <f t="shared" si="56"/>
        <v>2.03</v>
      </c>
      <c r="Y70" s="178">
        <f t="shared" si="14"/>
        <v>1.78</v>
      </c>
      <c r="Z70" s="192">
        <f t="shared" si="15"/>
        <v>2.782318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2">
        <v>41.0</v>
      </c>
      <c r="B71" s="193" t="s">
        <v>138</v>
      </c>
      <c r="C71" s="193">
        <v>63.0</v>
      </c>
      <c r="D71" s="193">
        <v>203.0</v>
      </c>
      <c r="E71" s="193">
        <v>188.0</v>
      </c>
      <c r="F71" s="193">
        <f t="shared" si="5"/>
        <v>0</v>
      </c>
      <c r="G71" s="193">
        <f t="shared" si="6"/>
        <v>96.17328</v>
      </c>
      <c r="H71" s="194">
        <f t="shared" si="7"/>
        <v>96.17328</v>
      </c>
      <c r="I71" s="193">
        <v>1.0</v>
      </c>
      <c r="J71" s="195">
        <f t="shared" si="8"/>
        <v>96.17328</v>
      </c>
      <c r="K71" s="139"/>
      <c r="L71" s="197"/>
      <c r="M71" s="198"/>
      <c r="N71" s="198"/>
      <c r="O71" s="139"/>
      <c r="P71" s="139"/>
      <c r="Q71" s="178">
        <v>103.0</v>
      </c>
      <c r="R71" s="190">
        <v>40.0</v>
      </c>
      <c r="S71" s="178">
        <f t="shared" si="9"/>
        <v>1.88</v>
      </c>
      <c r="T71" s="162">
        <f t="shared" si="10"/>
        <v>1</v>
      </c>
      <c r="U71" s="162">
        <f t="shared" si="11"/>
        <v>1.88</v>
      </c>
      <c r="V71" s="191">
        <f t="shared" si="12"/>
        <v>96.17328</v>
      </c>
      <c r="W71" s="178">
        <f t="shared" ref="W71:X71" si="57">C71/100</f>
        <v>0.63</v>
      </c>
      <c r="X71" s="178">
        <f t="shared" si="57"/>
        <v>2.03</v>
      </c>
      <c r="Y71" s="178">
        <f t="shared" si="14"/>
        <v>1.88</v>
      </c>
      <c r="Z71" s="192">
        <f t="shared" si="15"/>
        <v>2.404332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2">
        <v>42.0</v>
      </c>
      <c r="B72" s="193" t="s">
        <v>138</v>
      </c>
      <c r="C72" s="193">
        <v>86.0</v>
      </c>
      <c r="D72" s="193">
        <v>203.0</v>
      </c>
      <c r="E72" s="193">
        <v>251.0</v>
      </c>
      <c r="F72" s="193">
        <f t="shared" si="5"/>
        <v>0</v>
      </c>
      <c r="G72" s="193">
        <f t="shared" si="6"/>
        <v>175.27832</v>
      </c>
      <c r="H72" s="194">
        <f t="shared" si="7"/>
        <v>175.27832</v>
      </c>
      <c r="I72" s="193">
        <v>1.0</v>
      </c>
      <c r="J72" s="195">
        <f t="shared" si="8"/>
        <v>175.27832</v>
      </c>
      <c r="K72" s="139"/>
      <c r="L72" s="197"/>
      <c r="M72" s="198"/>
      <c r="N72" s="198"/>
      <c r="O72" s="139"/>
      <c r="P72" s="139"/>
      <c r="Q72" s="178">
        <v>173.0</v>
      </c>
      <c r="R72" s="190">
        <v>40.0</v>
      </c>
      <c r="S72" s="178">
        <f t="shared" si="9"/>
        <v>2.51</v>
      </c>
      <c r="T72" s="162">
        <f t="shared" si="10"/>
        <v>1</v>
      </c>
      <c r="U72" s="162">
        <f t="shared" si="11"/>
        <v>2.51</v>
      </c>
      <c r="V72" s="191">
        <f t="shared" si="12"/>
        <v>175.27832</v>
      </c>
      <c r="W72" s="178">
        <f t="shared" ref="W72:X72" si="58">C72/100</f>
        <v>0.86</v>
      </c>
      <c r="X72" s="178">
        <f t="shared" si="58"/>
        <v>2.03</v>
      </c>
      <c r="Y72" s="178">
        <f t="shared" si="14"/>
        <v>2.51</v>
      </c>
      <c r="Z72" s="192">
        <f t="shared" si="15"/>
        <v>4.381958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2">
        <v>43.0</v>
      </c>
      <c r="B73" s="193" t="s">
        <v>138</v>
      </c>
      <c r="C73" s="193">
        <v>86.0</v>
      </c>
      <c r="D73" s="193">
        <v>203.0</v>
      </c>
      <c r="E73" s="193">
        <v>252.0</v>
      </c>
      <c r="F73" s="193">
        <f t="shared" si="5"/>
        <v>0</v>
      </c>
      <c r="G73" s="193">
        <f t="shared" si="6"/>
        <v>175.97664</v>
      </c>
      <c r="H73" s="194">
        <f t="shared" si="7"/>
        <v>175.97664</v>
      </c>
      <c r="I73" s="193">
        <v>1.0</v>
      </c>
      <c r="J73" s="195">
        <f t="shared" si="8"/>
        <v>175.97664</v>
      </c>
      <c r="K73" s="139"/>
      <c r="L73" s="197"/>
      <c r="M73" s="198"/>
      <c r="N73" s="198"/>
      <c r="O73" s="139"/>
      <c r="P73" s="139"/>
      <c r="Q73" s="178">
        <v>176.0</v>
      </c>
      <c r="R73" s="190">
        <v>40.0</v>
      </c>
      <c r="S73" s="178">
        <f t="shared" si="9"/>
        <v>2.52</v>
      </c>
      <c r="T73" s="162">
        <f t="shared" si="10"/>
        <v>1</v>
      </c>
      <c r="U73" s="162">
        <f t="shared" si="11"/>
        <v>2.52</v>
      </c>
      <c r="V73" s="191">
        <f t="shared" si="12"/>
        <v>175.97664</v>
      </c>
      <c r="W73" s="178">
        <f t="shared" ref="W73:X73" si="59">C73/100</f>
        <v>0.86</v>
      </c>
      <c r="X73" s="178">
        <f t="shared" si="59"/>
        <v>2.03</v>
      </c>
      <c r="Y73" s="178">
        <f t="shared" si="14"/>
        <v>2.52</v>
      </c>
      <c r="Z73" s="192">
        <f t="shared" si="15"/>
        <v>4.399416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2">
        <v>44.0</v>
      </c>
      <c r="B74" s="193" t="s">
        <v>138</v>
      </c>
      <c r="C74" s="193">
        <v>84.0</v>
      </c>
      <c r="D74" s="193">
        <v>203.0</v>
      </c>
      <c r="E74" s="193">
        <v>253.0</v>
      </c>
      <c r="F74" s="193">
        <f t="shared" si="5"/>
        <v>0</v>
      </c>
      <c r="G74" s="193">
        <f t="shared" si="6"/>
        <v>172.56624</v>
      </c>
      <c r="H74" s="194">
        <f t="shared" si="7"/>
        <v>172.56624</v>
      </c>
      <c r="I74" s="193">
        <v>1.0</v>
      </c>
      <c r="J74" s="195">
        <f t="shared" si="8"/>
        <v>172.56624</v>
      </c>
      <c r="K74" s="139"/>
      <c r="L74" s="197"/>
      <c r="M74" s="198"/>
      <c r="N74" s="198"/>
      <c r="O74" s="139"/>
      <c r="P74" s="139"/>
      <c r="Q74" s="178">
        <v>175.0</v>
      </c>
      <c r="R74" s="190">
        <v>40.0</v>
      </c>
      <c r="S74" s="178">
        <f t="shared" si="9"/>
        <v>2.53</v>
      </c>
      <c r="T74" s="162">
        <f t="shared" si="10"/>
        <v>1</v>
      </c>
      <c r="U74" s="162">
        <f t="shared" si="11"/>
        <v>2.53</v>
      </c>
      <c r="V74" s="191">
        <f t="shared" si="12"/>
        <v>172.56624</v>
      </c>
      <c r="W74" s="178">
        <f t="shared" ref="W74:X74" si="60">C74/100</f>
        <v>0.84</v>
      </c>
      <c r="X74" s="178">
        <f t="shared" si="60"/>
        <v>2.03</v>
      </c>
      <c r="Y74" s="178">
        <f t="shared" si="14"/>
        <v>2.53</v>
      </c>
      <c r="Z74" s="192">
        <f t="shared" si="15"/>
        <v>4.314156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2">
        <v>45.0</v>
      </c>
      <c r="B75" s="193" t="s">
        <v>138</v>
      </c>
      <c r="C75" s="193">
        <v>78.0</v>
      </c>
      <c r="D75" s="193">
        <v>203.0</v>
      </c>
      <c r="E75" s="193">
        <v>208.0</v>
      </c>
      <c r="F75" s="193">
        <f t="shared" si="5"/>
        <v>0</v>
      </c>
      <c r="G75" s="193">
        <f t="shared" si="6"/>
        <v>131.73888</v>
      </c>
      <c r="H75" s="194">
        <f t="shared" si="7"/>
        <v>131.73888</v>
      </c>
      <c r="I75" s="193">
        <v>1.0</v>
      </c>
      <c r="J75" s="195">
        <f t="shared" si="8"/>
        <v>131.73888</v>
      </c>
      <c r="K75" s="139"/>
      <c r="L75" s="197"/>
      <c r="M75" s="198"/>
      <c r="N75" s="198"/>
      <c r="O75" s="139"/>
      <c r="P75" s="139"/>
      <c r="Q75" s="178">
        <v>137.0</v>
      </c>
      <c r="R75" s="190">
        <v>40.0</v>
      </c>
      <c r="S75" s="178">
        <f t="shared" si="9"/>
        <v>2.08</v>
      </c>
      <c r="T75" s="162">
        <f t="shared" si="10"/>
        <v>1</v>
      </c>
      <c r="U75" s="162">
        <f t="shared" si="11"/>
        <v>2.08</v>
      </c>
      <c r="V75" s="191">
        <f t="shared" si="12"/>
        <v>131.73888</v>
      </c>
      <c r="W75" s="178">
        <f t="shared" ref="W75:X75" si="61">C75/100</f>
        <v>0.78</v>
      </c>
      <c r="X75" s="178">
        <f t="shared" si="61"/>
        <v>2.03</v>
      </c>
      <c r="Y75" s="178">
        <f t="shared" si="14"/>
        <v>2.08</v>
      </c>
      <c r="Z75" s="192">
        <f t="shared" si="15"/>
        <v>3.293472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2">
        <v>46.0</v>
      </c>
      <c r="B76" s="193" t="s">
        <v>138</v>
      </c>
      <c r="C76" s="193">
        <v>42.0</v>
      </c>
      <c r="D76" s="193">
        <v>203.0</v>
      </c>
      <c r="E76" s="193">
        <v>236.0</v>
      </c>
      <c r="F76" s="193">
        <f t="shared" si="5"/>
        <v>0</v>
      </c>
      <c r="G76" s="193">
        <f t="shared" si="6"/>
        <v>80.48544</v>
      </c>
      <c r="H76" s="194">
        <f t="shared" si="7"/>
        <v>80.48544</v>
      </c>
      <c r="I76" s="193">
        <v>1.0</v>
      </c>
      <c r="J76" s="195">
        <f t="shared" si="8"/>
        <v>80.48544</v>
      </c>
      <c r="K76" s="139"/>
      <c r="L76" s="197"/>
      <c r="M76" s="198"/>
      <c r="N76" s="198"/>
      <c r="O76" s="139"/>
      <c r="P76" s="139"/>
      <c r="Q76" s="178">
        <v>83.0</v>
      </c>
      <c r="R76" s="190">
        <v>40.0</v>
      </c>
      <c r="S76" s="178">
        <f t="shared" si="9"/>
        <v>2.36</v>
      </c>
      <c r="T76" s="162">
        <f t="shared" si="10"/>
        <v>1</v>
      </c>
      <c r="U76" s="162">
        <f t="shared" si="11"/>
        <v>2.36</v>
      </c>
      <c r="V76" s="191">
        <f t="shared" si="12"/>
        <v>80.48544</v>
      </c>
      <c r="W76" s="178">
        <f t="shared" ref="W76:X76" si="62">C76/100</f>
        <v>0.42</v>
      </c>
      <c r="X76" s="178">
        <f t="shared" si="62"/>
        <v>2.03</v>
      </c>
      <c r="Y76" s="178">
        <f t="shared" si="14"/>
        <v>2.36</v>
      </c>
      <c r="Z76" s="192">
        <f t="shared" si="15"/>
        <v>2.012136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2">
        <v>47.0</v>
      </c>
      <c r="B77" s="193" t="s">
        <v>138</v>
      </c>
      <c r="C77" s="193">
        <v>85.0</v>
      </c>
      <c r="D77" s="193">
        <v>203.0</v>
      </c>
      <c r="E77" s="193">
        <v>1900.0</v>
      </c>
      <c r="F77" s="193">
        <f t="shared" si="5"/>
        <v>0</v>
      </c>
      <c r="G77" s="193">
        <f t="shared" si="6"/>
        <v>1311.38</v>
      </c>
      <c r="H77" s="194">
        <f t="shared" si="7"/>
        <v>1311.38</v>
      </c>
      <c r="I77" s="193">
        <v>1.0</v>
      </c>
      <c r="J77" s="195">
        <f t="shared" si="8"/>
        <v>1311.38</v>
      </c>
      <c r="K77" s="139"/>
      <c r="L77" s="197"/>
      <c r="M77" s="198"/>
      <c r="N77" s="198"/>
      <c r="O77" s="139"/>
      <c r="P77" s="139"/>
      <c r="Q77" s="178">
        <v>1300.0</v>
      </c>
      <c r="R77" s="190">
        <v>40.0</v>
      </c>
      <c r="S77" s="178">
        <f t="shared" si="9"/>
        <v>19</v>
      </c>
      <c r="T77" s="162">
        <f t="shared" si="10"/>
        <v>1</v>
      </c>
      <c r="U77" s="162">
        <f t="shared" si="11"/>
        <v>19</v>
      </c>
      <c r="V77" s="191">
        <f t="shared" si="12"/>
        <v>1311.38</v>
      </c>
      <c r="W77" s="178">
        <f t="shared" ref="W77:X77" si="63">C77/100</f>
        <v>0.85</v>
      </c>
      <c r="X77" s="178">
        <f t="shared" si="63"/>
        <v>2.03</v>
      </c>
      <c r="Y77" s="178">
        <f t="shared" si="14"/>
        <v>19</v>
      </c>
      <c r="Z77" s="192">
        <f t="shared" si="15"/>
        <v>32.7845</v>
      </c>
      <c r="AA77" s="139"/>
      <c r="AB77" s="139"/>
      <c r="AC77" s="26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101.0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4">C78/100</f>
        <v>0</v>
      </c>
      <c r="X78" s="199">
        <f t="shared" si="64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102.0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5">C79/100</f>
        <v>0</v>
      </c>
      <c r="X79" s="199">
        <f t="shared" si="65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103.0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6">C80/100</f>
        <v>0</v>
      </c>
      <c r="X80" s="199">
        <f t="shared" si="66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104.0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7">C81/100</f>
        <v>0</v>
      </c>
      <c r="X81" s="199">
        <f t="shared" si="67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105.0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68">C82/100</f>
        <v>0</v>
      </c>
      <c r="X82" s="199">
        <f t="shared" si="68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106.0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69">C83/100</f>
        <v>0</v>
      </c>
      <c r="X83" s="199">
        <f t="shared" si="69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107.0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0">C84/100</f>
        <v>0</v>
      </c>
      <c r="X84" s="199">
        <f t="shared" si="70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108.0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1">C85/100</f>
        <v>0</v>
      </c>
      <c r="X85" s="199">
        <f t="shared" si="71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109.0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2">C86/100</f>
        <v>0</v>
      </c>
      <c r="X86" s="199">
        <f t="shared" si="72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110.0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3">C87/100</f>
        <v>0</v>
      </c>
      <c r="X87" s="199">
        <f t="shared" si="73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111.0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4">C88/100</f>
        <v>0</v>
      </c>
      <c r="X88" s="199">
        <f t="shared" si="74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112.0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5">C89/100</f>
        <v>0</v>
      </c>
      <c r="X89" s="199">
        <f t="shared" si="75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113.0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6">C90/100</f>
        <v>0</v>
      </c>
      <c r="X90" s="199">
        <f t="shared" si="76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114.0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7">C91/100</f>
        <v>0</v>
      </c>
      <c r="X91" s="199">
        <f t="shared" si="77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115.0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78">C92/100</f>
        <v>0</v>
      </c>
      <c r="X92" s="199">
        <f t="shared" si="78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116.0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79">C93/100</f>
        <v>0</v>
      </c>
      <c r="X93" s="199">
        <f t="shared" si="79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117.0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0">C94/100</f>
        <v>0</v>
      </c>
      <c r="X94" s="199">
        <f t="shared" si="80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118.0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1">C95/100</f>
        <v>0</v>
      </c>
      <c r="X95" s="199">
        <f t="shared" si="81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119.0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2">C96/100</f>
        <v>0</v>
      </c>
      <c r="X96" s="199">
        <f t="shared" si="82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120.0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3">C97/100</f>
        <v>0</v>
      </c>
      <c r="X97" s="199">
        <f t="shared" si="83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121.0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4">C98/100</f>
        <v>0</v>
      </c>
      <c r="X98" s="199">
        <f t="shared" si="84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122.0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5">C99/100</f>
        <v>0</v>
      </c>
      <c r="X99" s="199">
        <f t="shared" si="85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123.0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6">C100/100</f>
        <v>0</v>
      </c>
      <c r="X100" s="199">
        <f t="shared" si="86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124.0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7">C101/100</f>
        <v>0</v>
      </c>
      <c r="X101" s="199">
        <f t="shared" si="87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125.0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88">C102/100</f>
        <v>0</v>
      </c>
      <c r="X102" s="199">
        <f t="shared" si="88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126.0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89">C103/100</f>
        <v>0</v>
      </c>
      <c r="X103" s="199">
        <f t="shared" si="89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127.0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0">C104/100</f>
        <v>0</v>
      </c>
      <c r="X104" s="199">
        <f t="shared" si="90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128.0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1">C105/100</f>
        <v>0</v>
      </c>
      <c r="X105" s="199">
        <f t="shared" si="91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129.0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2">C106/100</f>
        <v>0</v>
      </c>
      <c r="X106" s="199">
        <f t="shared" si="92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130.0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3">C107/100</f>
        <v>0</v>
      </c>
      <c r="X107" s="199">
        <f t="shared" si="93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131.0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4">C108/100</f>
        <v>0</v>
      </c>
      <c r="X108" s="199">
        <f t="shared" si="94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132.0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5">C109/100</f>
        <v>0</v>
      </c>
      <c r="X109" s="199">
        <f t="shared" si="95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133.0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6">C110/100</f>
        <v>0</v>
      </c>
      <c r="X110" s="199">
        <f t="shared" si="96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134.0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7">C111/100</f>
        <v>0</v>
      </c>
      <c r="X111" s="199">
        <f t="shared" si="97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135.0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98">C112/100</f>
        <v>0</v>
      </c>
      <c r="X112" s="199">
        <f t="shared" si="98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136.0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99">C113/100</f>
        <v>0</v>
      </c>
      <c r="X113" s="199">
        <f t="shared" si="99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137.0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0">C114/100</f>
        <v>0</v>
      </c>
      <c r="X114" s="199">
        <f t="shared" si="100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138.0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1">C115/100</f>
        <v>0</v>
      </c>
      <c r="X115" s="199">
        <f t="shared" si="101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139.0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2">C116/100</f>
        <v>0</v>
      </c>
      <c r="X116" s="199">
        <f t="shared" si="102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140.0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3">C117/100</f>
        <v>0</v>
      </c>
      <c r="X117" s="199">
        <f t="shared" si="103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141.0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4">C118/100</f>
        <v>0</v>
      </c>
      <c r="X118" s="199">
        <f t="shared" si="104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142.0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5">C119/100</f>
        <v>0</v>
      </c>
      <c r="X119" s="199">
        <f t="shared" si="105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143.0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6">C120/100</f>
        <v>0</v>
      </c>
      <c r="X120" s="199">
        <f t="shared" si="106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144.0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7">C121/100</f>
        <v>0</v>
      </c>
      <c r="X121" s="199">
        <f t="shared" si="107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145.0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08">C122/100</f>
        <v>0</v>
      </c>
      <c r="X122" s="199">
        <f t="shared" si="108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146.0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09">C123/100</f>
        <v>0</v>
      </c>
      <c r="X123" s="199">
        <f t="shared" si="109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147.0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0">C124/100</f>
        <v>0</v>
      </c>
      <c r="X124" s="199">
        <f t="shared" si="110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148.0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1">C125/100</f>
        <v>0</v>
      </c>
      <c r="X125" s="199">
        <f t="shared" si="111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149.0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2">C126/100</f>
        <v>0</v>
      </c>
      <c r="X126" s="199">
        <f t="shared" si="112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150.0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3">C127/100</f>
        <v>0</v>
      </c>
      <c r="X127" s="199">
        <f t="shared" si="113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151.0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4">C128/100</f>
        <v>0</v>
      </c>
      <c r="X128" s="199">
        <f t="shared" si="114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152.0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5">C129/100</f>
        <v>0</v>
      </c>
      <c r="X129" s="199">
        <f t="shared" si="115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153.0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6">C130/100</f>
        <v>0</v>
      </c>
      <c r="X130" s="199">
        <f t="shared" si="116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154.0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7">C131/100</f>
        <v>0</v>
      </c>
      <c r="X131" s="199">
        <f t="shared" si="117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155.0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18">C132/100</f>
        <v>0</v>
      </c>
      <c r="X132" s="199">
        <f t="shared" si="118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156.0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19">C133/100</f>
        <v>0</v>
      </c>
      <c r="X133" s="199">
        <f t="shared" si="119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157.0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0">C134/100</f>
        <v>0</v>
      </c>
      <c r="X134" s="199">
        <f t="shared" si="120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158.0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1">C135/100</f>
        <v>0</v>
      </c>
      <c r="X135" s="199">
        <f t="shared" si="121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159.0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2">C136/100</f>
        <v>0</v>
      </c>
      <c r="X136" s="199">
        <f t="shared" si="122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160.0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3">C137/100</f>
        <v>0</v>
      </c>
      <c r="X137" s="199">
        <f t="shared" si="123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161.0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4">C138/100</f>
        <v>0</v>
      </c>
      <c r="X138" s="199">
        <f t="shared" si="124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162.0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5">C139/100</f>
        <v>0</v>
      </c>
      <c r="X139" s="199">
        <f t="shared" si="125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163.0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6">C140/100</f>
        <v>0</v>
      </c>
      <c r="X140" s="199">
        <f t="shared" si="126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164.0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7">C141/100</f>
        <v>0</v>
      </c>
      <c r="X141" s="199">
        <f t="shared" si="127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165.0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28">C142/100</f>
        <v>0</v>
      </c>
      <c r="X142" s="199">
        <f t="shared" si="128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166.0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29">C143/100</f>
        <v>0</v>
      </c>
      <c r="X143" s="199">
        <f t="shared" si="129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167.0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0">C144/100</f>
        <v>0</v>
      </c>
      <c r="X144" s="199">
        <f t="shared" si="130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168.0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1">C145/100</f>
        <v>0</v>
      </c>
      <c r="X145" s="199">
        <f t="shared" si="131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169.0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2">C146/100</f>
        <v>0</v>
      </c>
      <c r="X146" s="199">
        <f t="shared" si="132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170.0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3">C147/100</f>
        <v>0</v>
      </c>
      <c r="X147" s="199">
        <f t="shared" si="133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171.0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4">C148/100</f>
        <v>0</v>
      </c>
      <c r="X148" s="199">
        <f t="shared" si="134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172.0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5">C149/100</f>
        <v>0</v>
      </c>
      <c r="X149" s="199">
        <f t="shared" si="135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173.0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6">C150/100</f>
        <v>0</v>
      </c>
      <c r="X150" s="199">
        <f t="shared" si="136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174.0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7">C151/100</f>
        <v>0</v>
      </c>
      <c r="X151" s="199">
        <f t="shared" si="137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175.0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38">C152/100</f>
        <v>0</v>
      </c>
      <c r="X152" s="199">
        <f t="shared" si="138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176.0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39">C153/100</f>
        <v>0</v>
      </c>
      <c r="X153" s="199">
        <f t="shared" si="139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177.0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0">C154/100</f>
        <v>0</v>
      </c>
      <c r="X154" s="199">
        <f t="shared" si="140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178.0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1">C155/100</f>
        <v>0</v>
      </c>
      <c r="X155" s="199">
        <f t="shared" si="141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179.0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2">C156/100</f>
        <v>0</v>
      </c>
      <c r="X156" s="199">
        <f t="shared" si="142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180.0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3">C157/100</f>
        <v>0</v>
      </c>
      <c r="X157" s="199">
        <f t="shared" si="143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181.0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4">C158/100</f>
        <v>0</v>
      </c>
      <c r="X158" s="199">
        <f t="shared" si="144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182.0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5">C159/100</f>
        <v>0</v>
      </c>
      <c r="X159" s="199">
        <f t="shared" si="145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183.0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6">C160/100</f>
        <v>0</v>
      </c>
      <c r="X160" s="199">
        <f t="shared" si="146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184.0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7">C161/100</f>
        <v>0</v>
      </c>
      <c r="X161" s="199">
        <f t="shared" si="147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185.0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48">C162/100</f>
        <v>0</v>
      </c>
      <c r="X162" s="199">
        <f t="shared" si="148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186.0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49">C163/100</f>
        <v>0</v>
      </c>
      <c r="X163" s="199">
        <f t="shared" si="149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187.0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0">C164/100</f>
        <v>0</v>
      </c>
      <c r="X164" s="199">
        <f t="shared" si="150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188.0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1">C165/100</f>
        <v>0</v>
      </c>
      <c r="X165" s="199">
        <f t="shared" si="151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189.0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2">C166/100</f>
        <v>0</v>
      </c>
      <c r="X166" s="199">
        <f t="shared" si="152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190.0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3">C167/100</f>
        <v>0</v>
      </c>
      <c r="X167" s="199">
        <f t="shared" si="153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191.0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4">C168/100</f>
        <v>0</v>
      </c>
      <c r="X168" s="199">
        <f t="shared" si="154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192.0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5">C169/100</f>
        <v>0</v>
      </c>
      <c r="X169" s="199">
        <f t="shared" si="155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193.0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6">C170/100</f>
        <v>0</v>
      </c>
      <c r="X170" s="199">
        <f t="shared" si="156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194.0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7">C171/100</f>
        <v>0</v>
      </c>
      <c r="X171" s="199">
        <f t="shared" si="157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195.0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58">C172/100</f>
        <v>0</v>
      </c>
      <c r="X172" s="199">
        <f t="shared" si="158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196.0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59">C173/100</f>
        <v>0</v>
      </c>
      <c r="X173" s="199">
        <f t="shared" si="159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197.0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0">C174/100</f>
        <v>0</v>
      </c>
      <c r="X174" s="199">
        <f t="shared" si="160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198.0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1">C175/100</f>
        <v>0</v>
      </c>
      <c r="X175" s="199">
        <f t="shared" si="161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199.0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2">C176/100</f>
        <v>0</v>
      </c>
      <c r="X176" s="199">
        <f t="shared" si="162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200.0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3">C177/100</f>
        <v>0</v>
      </c>
      <c r="X177" s="199">
        <f t="shared" si="163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201.0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4">C178/100</f>
        <v>0</v>
      </c>
      <c r="X178" s="199">
        <f t="shared" si="164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2">
        <v>202.0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5">C179/100</f>
        <v>0</v>
      </c>
      <c r="X179" s="199">
        <f t="shared" si="165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2">
        <v>203.0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6">C180/100</f>
        <v>0</v>
      </c>
      <c r="X180" s="199">
        <f t="shared" si="166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2">
        <v>204.0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7">C181/100</f>
        <v>0</v>
      </c>
      <c r="X181" s="199">
        <f t="shared" si="167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2">
        <v>205.0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68">C182/100</f>
        <v>0</v>
      </c>
      <c r="X182" s="199">
        <f t="shared" si="168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2">
        <v>206.0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69">C183/100</f>
        <v>0</v>
      </c>
      <c r="X183" s="199">
        <f t="shared" si="169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2">
        <v>207.0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0">C184/100</f>
        <v>0</v>
      </c>
      <c r="X184" s="199">
        <f t="shared" si="170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2">
        <v>208.0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1">C185/100</f>
        <v>0</v>
      </c>
      <c r="X185" s="199">
        <f t="shared" si="171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2">
        <v>209.0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2">C186/100</f>
        <v>0</v>
      </c>
      <c r="X186" s="199">
        <f t="shared" si="172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2">
        <v>210.0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3">C187/100</f>
        <v>0</v>
      </c>
      <c r="X187" s="199">
        <f t="shared" si="173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2">
        <v>211.0</v>
      </c>
      <c r="B188" s="193"/>
      <c r="C188" s="193"/>
      <c r="D188" s="193"/>
      <c r="E188" s="193"/>
      <c r="F188" s="193">
        <f t="shared" si="5"/>
        <v>0</v>
      </c>
      <c r="G188" s="193">
        <f t="shared" si="6"/>
        <v>0</v>
      </c>
      <c r="H188" s="194">
        <f t="shared" si="7"/>
        <v>0</v>
      </c>
      <c r="I188" s="193"/>
      <c r="J188" s="195">
        <f t="shared" si="8"/>
        <v>0</v>
      </c>
      <c r="K188" s="139"/>
      <c r="L188" s="197"/>
      <c r="M188" s="198"/>
      <c r="N188" s="198"/>
      <c r="O188" s="139"/>
      <c r="P188" s="139"/>
      <c r="Q188" s="195"/>
      <c r="R188" s="141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4">C188/100</f>
        <v>0</v>
      </c>
      <c r="X188" s="199">
        <f t="shared" si="174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2">
        <v>212.0</v>
      </c>
      <c r="B189" s="193"/>
      <c r="C189" s="193"/>
      <c r="D189" s="193"/>
      <c r="E189" s="193"/>
      <c r="F189" s="193">
        <f t="shared" si="5"/>
        <v>0</v>
      </c>
      <c r="G189" s="193">
        <f t="shared" si="6"/>
        <v>0</v>
      </c>
      <c r="H189" s="194">
        <f t="shared" si="7"/>
        <v>0</v>
      </c>
      <c r="I189" s="193"/>
      <c r="J189" s="195">
        <f t="shared" si="8"/>
        <v>0</v>
      </c>
      <c r="K189" s="139"/>
      <c r="L189" s="197"/>
      <c r="M189" s="198"/>
      <c r="N189" s="198"/>
      <c r="O189" s="139"/>
      <c r="P189" s="139"/>
      <c r="Q189" s="195"/>
      <c r="R189" s="141"/>
      <c r="S189" s="199">
        <f t="shared" si="9"/>
        <v>0</v>
      </c>
      <c r="T189" s="200" t="str">
        <f t="shared" si="10"/>
        <v/>
      </c>
      <c r="U189" s="200">
        <f t="shared" si="11"/>
        <v>0</v>
      </c>
      <c r="V189" s="203"/>
      <c r="W189" s="199">
        <f t="shared" ref="W189:X189" si="175">C189/100</f>
        <v>0</v>
      </c>
      <c r="X189" s="199">
        <f t="shared" si="175"/>
        <v>0</v>
      </c>
      <c r="Y189" s="199">
        <f t="shared" si="14"/>
        <v>0</v>
      </c>
      <c r="Z189" s="202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2">
        <v>213.0</v>
      </c>
      <c r="B190" s="193"/>
      <c r="C190" s="193"/>
      <c r="D190" s="193"/>
      <c r="E190" s="193"/>
      <c r="F190" s="193">
        <f t="shared" si="5"/>
        <v>0</v>
      </c>
      <c r="G190" s="193">
        <f t="shared" si="6"/>
        <v>0</v>
      </c>
      <c r="H190" s="194">
        <f t="shared" si="7"/>
        <v>0</v>
      </c>
      <c r="I190" s="193"/>
      <c r="J190" s="195">
        <f t="shared" si="8"/>
        <v>0</v>
      </c>
      <c r="K190" s="139"/>
      <c r="L190" s="197"/>
      <c r="M190" s="198"/>
      <c r="N190" s="198"/>
      <c r="O190" s="139"/>
      <c r="P190" s="139"/>
      <c r="Q190" s="195"/>
      <c r="R190" s="141"/>
      <c r="S190" s="199">
        <f t="shared" si="9"/>
        <v>0</v>
      </c>
      <c r="T190" s="200" t="str">
        <f t="shared" si="10"/>
        <v/>
      </c>
      <c r="U190" s="200">
        <f t="shared" si="11"/>
        <v>0</v>
      </c>
      <c r="V190" s="203"/>
      <c r="W190" s="199">
        <f t="shared" ref="W190:X190" si="176">C190/100</f>
        <v>0</v>
      </c>
      <c r="X190" s="199">
        <f t="shared" si="176"/>
        <v>0</v>
      </c>
      <c r="Y190" s="199">
        <f t="shared" si="14"/>
        <v>0</v>
      </c>
      <c r="Z190" s="202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2">
        <v>214.0</v>
      </c>
      <c r="B191" s="193"/>
      <c r="C191" s="193"/>
      <c r="D191" s="193"/>
      <c r="E191" s="193"/>
      <c r="F191" s="193">
        <f t="shared" si="5"/>
        <v>0</v>
      </c>
      <c r="G191" s="193">
        <f t="shared" si="6"/>
        <v>0</v>
      </c>
      <c r="H191" s="194">
        <f t="shared" si="7"/>
        <v>0</v>
      </c>
      <c r="I191" s="193"/>
      <c r="J191" s="195">
        <f t="shared" si="8"/>
        <v>0</v>
      </c>
      <c r="K191" s="139"/>
      <c r="L191" s="197"/>
      <c r="M191" s="198"/>
      <c r="N191" s="198"/>
      <c r="O191" s="139"/>
      <c r="P191" s="139"/>
      <c r="Q191" s="195"/>
      <c r="R191" s="141"/>
      <c r="S191" s="199">
        <f t="shared" si="9"/>
        <v>0</v>
      </c>
      <c r="T191" s="200" t="str">
        <f t="shared" si="10"/>
        <v/>
      </c>
      <c r="U191" s="200">
        <f t="shared" si="11"/>
        <v>0</v>
      </c>
      <c r="V191" s="203"/>
      <c r="W191" s="199">
        <f t="shared" ref="W191:X191" si="177">C191/100</f>
        <v>0</v>
      </c>
      <c r="X191" s="199">
        <f t="shared" si="177"/>
        <v>0</v>
      </c>
      <c r="Y191" s="199">
        <f t="shared" si="14"/>
        <v>0</v>
      </c>
      <c r="Z191" s="202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2">
        <v>215.0</v>
      </c>
      <c r="B192" s="193"/>
      <c r="C192" s="193"/>
      <c r="D192" s="193"/>
      <c r="E192" s="193"/>
      <c r="F192" s="193">
        <f t="shared" si="5"/>
        <v>0</v>
      </c>
      <c r="G192" s="193">
        <f t="shared" si="6"/>
        <v>0</v>
      </c>
      <c r="H192" s="194">
        <f t="shared" si="7"/>
        <v>0</v>
      </c>
      <c r="I192" s="193"/>
      <c r="J192" s="195">
        <f t="shared" si="8"/>
        <v>0</v>
      </c>
      <c r="K192" s="139"/>
      <c r="L192" s="197"/>
      <c r="M192" s="198"/>
      <c r="N192" s="198"/>
      <c r="O192" s="139"/>
      <c r="P192" s="139"/>
      <c r="Q192" s="195"/>
      <c r="R192" s="141"/>
      <c r="S192" s="199">
        <f t="shared" si="9"/>
        <v>0</v>
      </c>
      <c r="T192" s="200" t="str">
        <f t="shared" si="10"/>
        <v/>
      </c>
      <c r="U192" s="200">
        <f t="shared" si="11"/>
        <v>0</v>
      </c>
      <c r="V192" s="203"/>
      <c r="W192" s="199">
        <f t="shared" ref="W192:X192" si="178">C192/100</f>
        <v>0</v>
      </c>
      <c r="X192" s="199">
        <f t="shared" si="178"/>
        <v>0</v>
      </c>
      <c r="Y192" s="199">
        <f t="shared" si="14"/>
        <v>0</v>
      </c>
      <c r="Z192" s="202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2">
        <v>216.0</v>
      </c>
      <c r="B193" s="193"/>
      <c r="C193" s="193"/>
      <c r="D193" s="193"/>
      <c r="E193" s="193"/>
      <c r="F193" s="193">
        <f t="shared" si="5"/>
        <v>0</v>
      </c>
      <c r="G193" s="193">
        <f t="shared" si="6"/>
        <v>0</v>
      </c>
      <c r="H193" s="194">
        <f t="shared" si="7"/>
        <v>0</v>
      </c>
      <c r="I193" s="193"/>
      <c r="J193" s="195">
        <f t="shared" si="8"/>
        <v>0</v>
      </c>
      <c r="K193" s="139"/>
      <c r="L193" s="197"/>
      <c r="M193" s="198"/>
      <c r="N193" s="198"/>
      <c r="O193" s="139"/>
      <c r="P193" s="139"/>
      <c r="Q193" s="195"/>
      <c r="R193" s="141"/>
      <c r="S193" s="199">
        <f t="shared" si="9"/>
        <v>0</v>
      </c>
      <c r="T193" s="200" t="str">
        <f t="shared" si="10"/>
        <v/>
      </c>
      <c r="U193" s="200">
        <f t="shared" si="11"/>
        <v>0</v>
      </c>
      <c r="V193" s="203"/>
      <c r="W193" s="199">
        <f t="shared" ref="W193:X193" si="179">C193/100</f>
        <v>0</v>
      </c>
      <c r="X193" s="199">
        <f t="shared" si="179"/>
        <v>0</v>
      </c>
      <c r="Y193" s="199">
        <f t="shared" si="14"/>
        <v>0</v>
      </c>
      <c r="Z193" s="202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2">
        <v>217.0</v>
      </c>
      <c r="B194" s="193"/>
      <c r="C194" s="193"/>
      <c r="D194" s="193"/>
      <c r="E194" s="193"/>
      <c r="F194" s="193">
        <f t="shared" si="5"/>
        <v>0</v>
      </c>
      <c r="G194" s="193">
        <f t="shared" si="6"/>
        <v>0</v>
      </c>
      <c r="H194" s="194">
        <f t="shared" si="7"/>
        <v>0</v>
      </c>
      <c r="I194" s="193"/>
      <c r="J194" s="195">
        <f t="shared" si="8"/>
        <v>0</v>
      </c>
      <c r="K194" s="139"/>
      <c r="L194" s="197"/>
      <c r="M194" s="198"/>
      <c r="N194" s="198"/>
      <c r="O194" s="139"/>
      <c r="P194" s="139"/>
      <c r="Q194" s="195"/>
      <c r="R194" s="141"/>
      <c r="S194" s="199">
        <f t="shared" si="9"/>
        <v>0</v>
      </c>
      <c r="T194" s="200" t="str">
        <f t="shared" si="10"/>
        <v/>
      </c>
      <c r="U194" s="200">
        <f t="shared" si="11"/>
        <v>0</v>
      </c>
      <c r="V194" s="203"/>
      <c r="W194" s="199">
        <f t="shared" ref="W194:X194" si="180">C194/100</f>
        <v>0</v>
      </c>
      <c r="X194" s="199">
        <f t="shared" si="180"/>
        <v>0</v>
      </c>
      <c r="Y194" s="199">
        <f t="shared" si="14"/>
        <v>0</v>
      </c>
      <c r="Z194" s="202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customHeight="1">
      <c r="A195" s="162"/>
      <c r="B195" s="178"/>
      <c r="C195" s="178"/>
      <c r="D195" s="178"/>
      <c r="E195" s="178"/>
      <c r="F195" s="178"/>
      <c r="G195" s="178"/>
      <c r="H195" s="181"/>
      <c r="I195" s="162"/>
      <c r="J195" s="204">
        <f>+Q254</f>
        <v>204.4</v>
      </c>
      <c r="K195" s="139"/>
      <c r="L195" s="139"/>
      <c r="M195" s="139"/>
      <c r="N195" s="139"/>
      <c r="O195" s="139"/>
      <c r="P195" s="139"/>
      <c r="Q195" s="139"/>
      <c r="R195" s="205"/>
      <c r="S195" s="199">
        <f t="shared" si="9"/>
        <v>0</v>
      </c>
      <c r="T195" s="200" t="str">
        <f t="shared" si="10"/>
        <v/>
      </c>
      <c r="U195" s="200">
        <f t="shared" si="11"/>
        <v>0</v>
      </c>
      <c r="V195" s="203"/>
      <c r="W195" s="199">
        <f t="shared" ref="W195:X195" si="181">C195/100</f>
        <v>0</v>
      </c>
      <c r="X195" s="199">
        <f t="shared" si="181"/>
        <v>0</v>
      </c>
      <c r="Y195" s="199">
        <f t="shared" si="14"/>
        <v>0</v>
      </c>
      <c r="Z195" s="202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customHeight="1">
      <c r="A196" s="162"/>
      <c r="B196" s="206"/>
      <c r="C196" s="206"/>
      <c r="D196" s="206"/>
      <c r="E196" s="206"/>
      <c r="F196" s="206"/>
      <c r="G196" s="206"/>
      <c r="H196" s="207"/>
      <c r="I196" s="208">
        <f>SUM(I31:I194)</f>
        <v>47</v>
      </c>
      <c r="J196" s="209">
        <f>SUM(J31:J195)</f>
        <v>33701.01894</v>
      </c>
      <c r="K196" s="210"/>
      <c r="L196" s="210"/>
      <c r="M196" s="210"/>
      <c r="N196" s="210"/>
      <c r="O196" s="210"/>
      <c r="P196" s="210"/>
      <c r="Q196" s="210"/>
      <c r="R196" s="141"/>
      <c r="S196" s="210">
        <f>SUMIFS($T$31:$T$194,$S$31:$S$194,"&gt;=3")</f>
        <v>21</v>
      </c>
      <c r="T196" s="210">
        <f t="shared" ref="T196:U196" si="182">SUM(T31:T194)</f>
        <v>47</v>
      </c>
      <c r="U196" s="210">
        <f t="shared" si="182"/>
        <v>620.52</v>
      </c>
      <c r="V196" s="210"/>
      <c r="W196" s="210"/>
      <c r="X196" s="210"/>
      <c r="Y196" s="210"/>
      <c r="Z196" s="211">
        <f>SUM(Z31:Z195)</f>
        <v>1208.880649</v>
      </c>
      <c r="AA196" s="210"/>
      <c r="AB196" s="210"/>
      <c r="AC196" s="210"/>
      <c r="AD196" s="210"/>
      <c r="AE196" s="210"/>
      <c r="AF196" s="210"/>
      <c r="AG196" s="210"/>
      <c r="AH196" s="210"/>
      <c r="AI196" s="210"/>
      <c r="AJ196" s="210"/>
      <c r="AK196" s="210"/>
      <c r="AL196" s="210"/>
      <c r="AM196" s="210"/>
      <c r="AN196" s="210"/>
      <c r="AO196" s="210"/>
      <c r="AP196" s="210"/>
      <c r="AQ196" s="210"/>
      <c r="AR196" s="210"/>
      <c r="AS196" s="210"/>
      <c r="AT196" s="210"/>
    </row>
    <row r="197" ht="29.2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269"/>
      <c r="K197" s="139"/>
      <c r="L197" s="139"/>
      <c r="M197" s="139"/>
      <c r="N197" s="139"/>
      <c r="O197" s="139"/>
      <c r="P197" s="139"/>
      <c r="Q197" s="139"/>
      <c r="R197" s="205"/>
      <c r="S197" s="203"/>
      <c r="T197" s="139">
        <f>+T196-S196</f>
        <v>26</v>
      </c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9.2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91"/>
      <c r="K198" s="191"/>
      <c r="L198" s="191"/>
      <c r="M198" s="191"/>
      <c r="N198" s="191"/>
      <c r="O198" s="191"/>
      <c r="P198" s="191"/>
      <c r="Q198" s="191"/>
      <c r="R198" s="205"/>
      <c r="S198" s="139"/>
      <c r="T198" s="139" t="s">
        <v>48</v>
      </c>
      <c r="U198" s="139" t="s">
        <v>68</v>
      </c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41"/>
      <c r="S199" s="139" t="s">
        <v>31</v>
      </c>
      <c r="T199" s="212">
        <f>SUMIFS($J$31:$J$194,$S$31:$S$194,"&gt;=3")</f>
        <v>30933.89358</v>
      </c>
      <c r="U199" s="213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9.25" customHeight="1">
      <c r="A200" s="139" t="s">
        <v>32</v>
      </c>
      <c r="B200" s="139"/>
      <c r="C200" s="139"/>
      <c r="D200" s="139" t="s">
        <v>33</v>
      </c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141"/>
      <c r="S200" s="139" t="s">
        <v>34</v>
      </c>
      <c r="T200" s="266">
        <f>J196-T199</f>
        <v>2767.12536</v>
      </c>
      <c r="U200" s="213">
        <f>+SUMIFS($U$31:$U$194,$S$31:$S$194,"&gt;=3")</f>
        <v>568.6</v>
      </c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205"/>
      <c r="S201" s="139"/>
      <c r="T201" s="214">
        <f>+I196</f>
        <v>47</v>
      </c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39.0" customHeight="1">
      <c r="A202" s="178"/>
      <c r="B202" s="162" t="s">
        <v>12</v>
      </c>
      <c r="C202" s="179" t="s">
        <v>69</v>
      </c>
      <c r="D202" s="52"/>
      <c r="E202" s="53"/>
      <c r="F202" s="180"/>
      <c r="G202" s="180"/>
      <c r="H202" s="181" t="s">
        <v>14</v>
      </c>
      <c r="I202" s="162" t="s">
        <v>15</v>
      </c>
      <c r="J202" s="162" t="s">
        <v>16</v>
      </c>
      <c r="K202" s="139"/>
      <c r="L202" s="139"/>
      <c r="M202" s="139"/>
      <c r="N202" s="139"/>
      <c r="O202" s="139"/>
      <c r="P202" s="139"/>
      <c r="Q202" s="139"/>
      <c r="R202" s="141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55">
        <v>1.0</v>
      </c>
      <c r="B203" s="215" t="s">
        <v>63</v>
      </c>
      <c r="C203" s="215">
        <v>76.0</v>
      </c>
      <c r="D203" s="215">
        <v>206.0</v>
      </c>
      <c r="E203" s="215">
        <v>169.0</v>
      </c>
      <c r="F203" s="215">
        <f t="shared" ref="F203:F212" si="183">1-VALUE(IF(RIGHT(B203, 1)="%", RIGHT(B203, 3), 0))</f>
        <v>0.2</v>
      </c>
      <c r="G203" s="215">
        <f t="shared" ref="G203:G212" si="184">+Q203*C203/100*D203/100*E203/100</f>
        <v>0</v>
      </c>
      <c r="H203" s="216">
        <f t="shared" ref="H203:H212" si="185">IF(F203=0, G203, F203*G203)</f>
        <v>0</v>
      </c>
      <c r="I203" s="215">
        <v>1.0</v>
      </c>
      <c r="J203" s="217">
        <v>92.60524000000001</v>
      </c>
      <c r="K203" s="139"/>
      <c r="L203" s="178">
        <f t="shared" ref="L203:L211" si="186">D203*25.4/1000</f>
        <v>5.2324</v>
      </c>
      <c r="M203" s="162">
        <f t="shared" ref="M203:M207" si="187">+I203</f>
        <v>1</v>
      </c>
      <c r="N203" s="162">
        <f t="shared" ref="N203:N207" si="188">M203*L203</f>
        <v>5.2324</v>
      </c>
      <c r="O203" s="139"/>
      <c r="P203" s="139"/>
      <c r="Q203" s="139"/>
      <c r="R203" s="141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55">
        <v>2.0</v>
      </c>
      <c r="B204" s="215" t="s">
        <v>63</v>
      </c>
      <c r="C204" s="215">
        <v>87.0</v>
      </c>
      <c r="D204" s="215">
        <v>203.0</v>
      </c>
      <c r="E204" s="215">
        <v>239.0</v>
      </c>
      <c r="F204" s="215">
        <f t="shared" si="183"/>
        <v>0.2</v>
      </c>
      <c r="G204" s="215">
        <f t="shared" si="184"/>
        <v>0</v>
      </c>
      <c r="H204" s="216">
        <f t="shared" si="185"/>
        <v>0</v>
      </c>
      <c r="I204" s="215">
        <v>1.0</v>
      </c>
      <c r="J204" s="217">
        <v>126.62937000000002</v>
      </c>
      <c r="K204" s="139"/>
      <c r="L204" s="178">
        <f t="shared" si="186"/>
        <v>5.1562</v>
      </c>
      <c r="M204" s="162">
        <f t="shared" si="187"/>
        <v>1</v>
      </c>
      <c r="N204" s="162">
        <f t="shared" si="188"/>
        <v>5.1562</v>
      </c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5">
        <v>3.0</v>
      </c>
      <c r="B205" s="218" t="s">
        <v>121</v>
      </c>
      <c r="C205" s="218">
        <v>99.0</v>
      </c>
      <c r="D205" s="218">
        <v>303.0</v>
      </c>
      <c r="E205" s="218">
        <v>225.0</v>
      </c>
      <c r="F205" s="218">
        <f t="shared" si="183"/>
        <v>0.5</v>
      </c>
      <c r="G205" s="218">
        <f t="shared" si="184"/>
        <v>0</v>
      </c>
      <c r="H205" s="219">
        <f t="shared" si="185"/>
        <v>0</v>
      </c>
      <c r="I205" s="218">
        <v>1.0</v>
      </c>
      <c r="J205" s="195">
        <v>202.47975</v>
      </c>
      <c r="K205" s="139"/>
      <c r="L205" s="178">
        <f t="shared" si="186"/>
        <v>7.6962</v>
      </c>
      <c r="M205" s="162">
        <f t="shared" si="187"/>
        <v>1</v>
      </c>
      <c r="N205" s="162">
        <f t="shared" si="188"/>
        <v>7.6962</v>
      </c>
      <c r="O205" s="139"/>
      <c r="P205" s="139"/>
      <c r="Q205" s="139"/>
      <c r="R205" s="139"/>
      <c r="S205" s="220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5">
        <v>4.0</v>
      </c>
      <c r="B206" s="218" t="s">
        <v>94</v>
      </c>
      <c r="C206" s="218">
        <v>86.0</v>
      </c>
      <c r="D206" s="218">
        <v>218.0</v>
      </c>
      <c r="E206" s="218">
        <v>182.0</v>
      </c>
      <c r="F206" s="218">
        <f t="shared" si="183"/>
        <v>0.2</v>
      </c>
      <c r="G206" s="218">
        <f t="shared" si="184"/>
        <v>0</v>
      </c>
      <c r="H206" s="219">
        <f t="shared" si="185"/>
        <v>0</v>
      </c>
      <c r="I206" s="218">
        <v>1.0</v>
      </c>
      <c r="J206" s="195">
        <v>100.658012</v>
      </c>
      <c r="K206" s="139"/>
      <c r="L206" s="178">
        <f t="shared" si="186"/>
        <v>5.5372</v>
      </c>
      <c r="M206" s="162">
        <f t="shared" si="187"/>
        <v>1</v>
      </c>
      <c r="N206" s="162">
        <f t="shared" si="188"/>
        <v>5.5372</v>
      </c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5">
        <v>5.0</v>
      </c>
      <c r="B207" s="218" t="s">
        <v>63</v>
      </c>
      <c r="C207" s="218">
        <v>90.0</v>
      </c>
      <c r="D207" s="218">
        <v>184.0</v>
      </c>
      <c r="E207" s="218">
        <v>194.0</v>
      </c>
      <c r="F207" s="218">
        <f t="shared" si="183"/>
        <v>0.2</v>
      </c>
      <c r="G207" s="218">
        <f t="shared" si="184"/>
        <v>0</v>
      </c>
      <c r="H207" s="219">
        <f t="shared" si="185"/>
        <v>0</v>
      </c>
      <c r="I207" s="218">
        <v>1.0</v>
      </c>
      <c r="J207" s="195">
        <v>99.59183999999998</v>
      </c>
      <c r="K207" s="139"/>
      <c r="L207" s="178">
        <f t="shared" si="186"/>
        <v>4.6736</v>
      </c>
      <c r="M207" s="162">
        <f t="shared" si="187"/>
        <v>1</v>
      </c>
      <c r="N207" s="162">
        <f t="shared" si="188"/>
        <v>4.6736</v>
      </c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5">
        <v>6.0</v>
      </c>
      <c r="B208" s="218" t="s">
        <v>94</v>
      </c>
      <c r="C208" s="218">
        <v>90.0</v>
      </c>
      <c r="D208" s="218">
        <v>163.0</v>
      </c>
      <c r="E208" s="218">
        <v>166.0</v>
      </c>
      <c r="F208" s="218">
        <f t="shared" si="183"/>
        <v>0.2</v>
      </c>
      <c r="G208" s="218">
        <f t="shared" si="184"/>
        <v>0</v>
      </c>
      <c r="H208" s="219">
        <f t="shared" si="185"/>
        <v>0</v>
      </c>
      <c r="I208" s="218">
        <v>1.0</v>
      </c>
      <c r="J208" s="195">
        <v>75.49182</v>
      </c>
      <c r="K208" s="139"/>
      <c r="L208" s="139">
        <f t="shared" si="186"/>
        <v>4.1402</v>
      </c>
      <c r="M208" s="221"/>
      <c r="N208" s="221"/>
      <c r="O208" s="139"/>
      <c r="P208" s="139"/>
      <c r="Q208" s="139"/>
      <c r="R208" s="29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5">
        <v>7.0</v>
      </c>
      <c r="B209" s="218" t="s">
        <v>66</v>
      </c>
      <c r="C209" s="218">
        <v>100.0</v>
      </c>
      <c r="D209" s="218">
        <v>195.0</v>
      </c>
      <c r="E209" s="218">
        <v>176.0</v>
      </c>
      <c r="F209" s="218">
        <f t="shared" si="183"/>
        <v>0.2</v>
      </c>
      <c r="G209" s="218">
        <f t="shared" si="184"/>
        <v>0</v>
      </c>
      <c r="H209" s="219">
        <f t="shared" si="185"/>
        <v>0</v>
      </c>
      <c r="I209" s="218">
        <v>1.0</v>
      </c>
      <c r="J209" s="195">
        <v>75.50399999999999</v>
      </c>
      <c r="K209" s="139"/>
      <c r="L209" s="139">
        <f t="shared" si="186"/>
        <v>4.953</v>
      </c>
      <c r="M209" s="221"/>
      <c r="N209" s="221"/>
      <c r="O209" s="139"/>
      <c r="P209" s="139"/>
      <c r="Q209" s="139"/>
      <c r="R209" s="29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5">
        <v>8.0</v>
      </c>
      <c r="B210" s="218" t="s">
        <v>87</v>
      </c>
      <c r="C210" s="218">
        <v>77.0</v>
      </c>
      <c r="D210" s="218">
        <v>216.0</v>
      </c>
      <c r="E210" s="218">
        <v>173.0</v>
      </c>
      <c r="F210" s="218">
        <f t="shared" si="183"/>
        <v>0.2</v>
      </c>
      <c r="G210" s="218">
        <f t="shared" si="184"/>
        <v>0</v>
      </c>
      <c r="H210" s="219">
        <f t="shared" si="185"/>
        <v>0</v>
      </c>
      <c r="I210" s="218">
        <v>1.0</v>
      </c>
      <c r="J210" s="195">
        <v>70.494732</v>
      </c>
      <c r="K210" s="139"/>
      <c r="L210" s="139">
        <f t="shared" si="186"/>
        <v>5.4864</v>
      </c>
      <c r="M210" s="221"/>
      <c r="N210" s="221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5">
        <v>9.0</v>
      </c>
      <c r="B211" s="218" t="s">
        <v>110</v>
      </c>
      <c r="C211" s="218">
        <v>78.0</v>
      </c>
      <c r="D211" s="218">
        <v>198.0</v>
      </c>
      <c r="E211" s="218">
        <v>188.0</v>
      </c>
      <c r="F211" s="218">
        <f t="shared" si="183"/>
        <v>0.2</v>
      </c>
      <c r="G211" s="218">
        <f t="shared" si="184"/>
        <v>0</v>
      </c>
      <c r="H211" s="219">
        <f t="shared" si="185"/>
        <v>0</v>
      </c>
      <c r="I211" s="218">
        <v>1.0</v>
      </c>
      <c r="J211" s="195">
        <v>58.06943999999999</v>
      </c>
      <c r="K211" s="139"/>
      <c r="L211" s="139">
        <f t="shared" si="186"/>
        <v>5.0292</v>
      </c>
      <c r="M211" s="221"/>
      <c r="N211" s="221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5">
        <v>10.0</v>
      </c>
      <c r="B212" s="193" t="s">
        <v>140</v>
      </c>
      <c r="C212" s="193">
        <v>77.0</v>
      </c>
      <c r="D212" s="193">
        <v>203.0</v>
      </c>
      <c r="E212" s="193">
        <v>178.0</v>
      </c>
      <c r="F212" s="193">
        <f t="shared" si="183"/>
        <v>0.2</v>
      </c>
      <c r="G212" s="193">
        <f t="shared" si="184"/>
        <v>0</v>
      </c>
      <c r="H212" s="194">
        <f t="shared" si="185"/>
        <v>0</v>
      </c>
      <c r="I212" s="193">
        <v>1.0</v>
      </c>
      <c r="J212" s="195">
        <v>111.29272</v>
      </c>
      <c r="K212" s="139"/>
      <c r="L212" s="139"/>
      <c r="M212" s="221"/>
      <c r="N212" s="221"/>
      <c r="O212" s="139"/>
      <c r="P212" s="139"/>
      <c r="Q212" s="139"/>
      <c r="R212" s="139"/>
      <c r="S212" s="29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/>
      <c r="B213" s="197"/>
      <c r="C213" s="197"/>
      <c r="D213" s="197"/>
      <c r="E213" s="197"/>
      <c r="F213" s="197"/>
      <c r="G213" s="197"/>
      <c r="H213" s="222" t="s">
        <v>38</v>
      </c>
      <c r="I213" s="197"/>
      <c r="J213" s="223">
        <f>SUM(J203:J212)</f>
        <v>1012.816924</v>
      </c>
      <c r="K213" s="139"/>
      <c r="L213" s="139"/>
      <c r="M213" s="139"/>
      <c r="N213" s="139"/>
      <c r="O213" s="139"/>
      <c r="P213" s="139"/>
      <c r="Q213" s="139"/>
      <c r="R213" s="141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76"/>
      <c r="B214" s="144"/>
      <c r="C214" s="144"/>
      <c r="D214" s="144"/>
      <c r="E214" s="144"/>
      <c r="F214" s="144"/>
      <c r="G214" s="144"/>
      <c r="H214" s="145"/>
      <c r="I214" s="144"/>
      <c r="J214" s="177"/>
      <c r="K214" s="139"/>
      <c r="L214" s="139"/>
      <c r="M214" s="139"/>
      <c r="N214" s="139"/>
      <c r="O214" s="139"/>
      <c r="P214" s="139"/>
      <c r="Q214" s="139"/>
      <c r="R214" s="141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24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 t="s">
        <v>39</v>
      </c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24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4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42.0" customHeight="1">
      <c r="A219" s="178"/>
      <c r="B219" s="162" t="s">
        <v>12</v>
      </c>
      <c r="C219" s="179" t="s">
        <v>75</v>
      </c>
      <c r="D219" s="52"/>
      <c r="E219" s="53"/>
      <c r="F219" s="225"/>
      <c r="G219" s="225"/>
      <c r="H219" s="181" t="s">
        <v>14</v>
      </c>
      <c r="I219" s="226" t="s">
        <v>15</v>
      </c>
      <c r="J219" s="162" t="s">
        <v>16</v>
      </c>
      <c r="K219" s="139"/>
      <c r="L219" s="139"/>
      <c r="M219" s="139"/>
      <c r="N219" s="139"/>
      <c r="O219" s="139"/>
      <c r="P219" s="139"/>
      <c r="Q219" s="139"/>
      <c r="R219" s="224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2">
        <v>1.0</v>
      </c>
      <c r="B220" s="183" t="s">
        <v>55</v>
      </c>
      <c r="C220" s="200"/>
      <c r="D220" s="200"/>
      <c r="E220" s="200"/>
      <c r="F220" s="200"/>
      <c r="G220" s="200"/>
      <c r="H220" s="227">
        <v>37.0</v>
      </c>
      <c r="I220" s="200">
        <v>1.0</v>
      </c>
      <c r="J220" s="195">
        <f t="shared" ref="J220:J252" si="189">+I220*H220</f>
        <v>37</v>
      </c>
      <c r="K220" s="178"/>
      <c r="L220" s="178"/>
      <c r="M220" s="178"/>
      <c r="N220" s="178"/>
      <c r="O220" s="178"/>
      <c r="P220" s="178"/>
      <c r="Q220" s="228"/>
      <c r="R220" s="224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2">
        <v>2.0</v>
      </c>
      <c r="B221" s="193" t="s">
        <v>55</v>
      </c>
      <c r="C221" s="200"/>
      <c r="D221" s="200"/>
      <c r="E221" s="200"/>
      <c r="F221" s="200"/>
      <c r="G221" s="200"/>
      <c r="H221" s="227">
        <v>23.0</v>
      </c>
      <c r="I221" s="200">
        <v>1.0</v>
      </c>
      <c r="J221" s="195">
        <f t="shared" si="189"/>
        <v>23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2">
        <v>3.0</v>
      </c>
      <c r="B222" s="183" t="s">
        <v>55</v>
      </c>
      <c r="C222" s="200"/>
      <c r="D222" s="200"/>
      <c r="E222" s="200"/>
      <c r="F222" s="200"/>
      <c r="G222" s="200"/>
      <c r="H222" s="227">
        <v>34.0</v>
      </c>
      <c r="I222" s="200">
        <v>1.0</v>
      </c>
      <c r="J222" s="195">
        <f t="shared" si="189"/>
        <v>34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2">
        <v>4.0</v>
      </c>
      <c r="B223" s="193" t="s">
        <v>57</v>
      </c>
      <c r="C223" s="200"/>
      <c r="D223" s="200"/>
      <c r="E223" s="200"/>
      <c r="F223" s="200"/>
      <c r="G223" s="200"/>
      <c r="H223" s="227">
        <v>15.0</v>
      </c>
      <c r="I223" s="200">
        <v>1.0</v>
      </c>
      <c r="J223" s="195">
        <f t="shared" si="189"/>
        <v>15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2">
        <v>5.0</v>
      </c>
      <c r="B224" s="183" t="s">
        <v>57</v>
      </c>
      <c r="C224" s="200"/>
      <c r="D224" s="200"/>
      <c r="E224" s="200"/>
      <c r="F224" s="200"/>
      <c r="G224" s="200"/>
      <c r="H224" s="227">
        <v>34.0</v>
      </c>
      <c r="I224" s="200">
        <v>1.0</v>
      </c>
      <c r="J224" s="195">
        <f t="shared" si="189"/>
        <v>34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2">
        <v>6.0</v>
      </c>
      <c r="B225" s="193" t="s">
        <v>57</v>
      </c>
      <c r="C225" s="200"/>
      <c r="D225" s="200"/>
      <c r="E225" s="200"/>
      <c r="F225" s="200"/>
      <c r="G225" s="200"/>
      <c r="H225" s="227">
        <v>13.0</v>
      </c>
      <c r="I225" s="200">
        <v>1.0</v>
      </c>
      <c r="J225" s="195">
        <f t="shared" si="189"/>
        <v>13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2">
        <v>7.0</v>
      </c>
      <c r="B226" s="183" t="s">
        <v>55</v>
      </c>
      <c r="C226" s="200"/>
      <c r="D226" s="200"/>
      <c r="E226" s="200"/>
      <c r="F226" s="200"/>
      <c r="G226" s="200"/>
      <c r="H226" s="227">
        <v>29.0</v>
      </c>
      <c r="I226" s="200">
        <v>1.0</v>
      </c>
      <c r="J226" s="195">
        <f t="shared" si="189"/>
        <v>29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2">
        <v>8.0</v>
      </c>
      <c r="B227" s="193" t="s">
        <v>55</v>
      </c>
      <c r="C227" s="200"/>
      <c r="D227" s="200"/>
      <c r="E227" s="200"/>
      <c r="F227" s="200"/>
      <c r="G227" s="200"/>
      <c r="H227" s="227">
        <v>21.0</v>
      </c>
      <c r="I227" s="200">
        <v>1.0</v>
      </c>
      <c r="J227" s="195">
        <f t="shared" si="189"/>
        <v>21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2">
        <v>9.0</v>
      </c>
      <c r="B228" s="183" t="s">
        <v>57</v>
      </c>
      <c r="C228" s="200"/>
      <c r="D228" s="200"/>
      <c r="E228" s="200"/>
      <c r="F228" s="200"/>
      <c r="G228" s="200"/>
      <c r="H228" s="227">
        <v>26.0</v>
      </c>
      <c r="I228" s="200">
        <v>1.0</v>
      </c>
      <c r="J228" s="195">
        <f t="shared" si="189"/>
        <v>26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2">
        <v>10.0</v>
      </c>
      <c r="B229" s="193" t="s">
        <v>57</v>
      </c>
      <c r="C229" s="200"/>
      <c r="D229" s="200"/>
      <c r="E229" s="200"/>
      <c r="F229" s="200"/>
      <c r="G229" s="200"/>
      <c r="H229" s="227">
        <v>26.0</v>
      </c>
      <c r="I229" s="200">
        <v>1.0</v>
      </c>
      <c r="J229" s="195">
        <f t="shared" si="189"/>
        <v>26</v>
      </c>
      <c r="K229" s="178"/>
      <c r="L229" s="178"/>
      <c r="M229" s="178"/>
      <c r="N229" s="178"/>
      <c r="O229" s="178"/>
      <c r="P229" s="178"/>
      <c r="Q229" s="228"/>
      <c r="R229" s="224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2">
        <v>11.0</v>
      </c>
      <c r="B230" s="183" t="s">
        <v>58</v>
      </c>
      <c r="C230" s="200"/>
      <c r="D230" s="200"/>
      <c r="E230" s="200"/>
      <c r="F230" s="200"/>
      <c r="G230" s="200"/>
      <c r="H230" s="227">
        <v>26.0</v>
      </c>
      <c r="I230" s="200">
        <v>1.0</v>
      </c>
      <c r="J230" s="195">
        <f t="shared" si="189"/>
        <v>26</v>
      </c>
      <c r="K230" s="178"/>
      <c r="L230" s="178"/>
      <c r="M230" s="178"/>
      <c r="N230" s="178"/>
      <c r="O230" s="178"/>
      <c r="P230" s="178"/>
      <c r="Q230" s="228"/>
      <c r="R230" s="224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2">
        <v>12.0</v>
      </c>
      <c r="B231" s="193" t="s">
        <v>58</v>
      </c>
      <c r="C231" s="200"/>
      <c r="D231" s="200"/>
      <c r="E231" s="200"/>
      <c r="F231" s="200"/>
      <c r="G231" s="200"/>
      <c r="H231" s="227">
        <v>24.0</v>
      </c>
      <c r="I231" s="200">
        <v>1.0</v>
      </c>
      <c r="J231" s="195">
        <f t="shared" si="189"/>
        <v>24</v>
      </c>
      <c r="K231" s="178"/>
      <c r="L231" s="178"/>
      <c r="M231" s="178"/>
      <c r="N231" s="178"/>
      <c r="O231" s="178"/>
      <c r="P231" s="178"/>
      <c r="Q231" s="228"/>
      <c r="R231" s="224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2">
        <v>13.0</v>
      </c>
      <c r="B232" s="183" t="s">
        <v>80</v>
      </c>
      <c r="C232" s="200"/>
      <c r="D232" s="200"/>
      <c r="E232" s="200"/>
      <c r="F232" s="200"/>
      <c r="G232" s="200"/>
      <c r="H232" s="227">
        <v>25.0</v>
      </c>
      <c r="I232" s="200">
        <v>1.0</v>
      </c>
      <c r="J232" s="195">
        <f t="shared" si="189"/>
        <v>25</v>
      </c>
      <c r="K232" s="178"/>
      <c r="L232" s="178"/>
      <c r="M232" s="178"/>
      <c r="N232" s="178"/>
      <c r="O232" s="178"/>
      <c r="P232" s="178"/>
      <c r="Q232" s="228"/>
      <c r="R232" s="224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2">
        <v>14.0</v>
      </c>
      <c r="B233" s="193" t="s">
        <v>80</v>
      </c>
      <c r="C233" s="200"/>
      <c r="D233" s="200"/>
      <c r="E233" s="200"/>
      <c r="F233" s="200"/>
      <c r="G233" s="200"/>
      <c r="H233" s="227">
        <v>25.0</v>
      </c>
      <c r="I233" s="200">
        <v>1.0</v>
      </c>
      <c r="J233" s="195">
        <f t="shared" si="189"/>
        <v>25</v>
      </c>
      <c r="K233" s="178"/>
      <c r="L233" s="178"/>
      <c r="M233" s="178"/>
      <c r="N233" s="178"/>
      <c r="O233" s="178"/>
      <c r="P233" s="178"/>
      <c r="Q233" s="228"/>
      <c r="R233" s="224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2">
        <v>15.0</v>
      </c>
      <c r="B234" s="183" t="s">
        <v>111</v>
      </c>
      <c r="C234" s="200"/>
      <c r="D234" s="200"/>
      <c r="E234" s="200"/>
      <c r="F234" s="200"/>
      <c r="G234" s="200"/>
      <c r="H234" s="227">
        <v>24.0</v>
      </c>
      <c r="I234" s="200">
        <v>1.0</v>
      </c>
      <c r="J234" s="195">
        <f t="shared" si="189"/>
        <v>24</v>
      </c>
      <c r="K234" s="178"/>
      <c r="L234" s="178"/>
      <c r="M234" s="178"/>
      <c r="N234" s="178"/>
      <c r="O234" s="178"/>
      <c r="P234" s="178"/>
      <c r="Q234" s="228"/>
      <c r="R234" s="224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2">
        <v>16.0</v>
      </c>
      <c r="B235" s="193" t="s">
        <v>111</v>
      </c>
      <c r="C235" s="200"/>
      <c r="D235" s="200"/>
      <c r="E235" s="200"/>
      <c r="F235" s="200"/>
      <c r="G235" s="200"/>
      <c r="H235" s="227">
        <v>21.0</v>
      </c>
      <c r="I235" s="200">
        <v>1.0</v>
      </c>
      <c r="J235" s="195">
        <f t="shared" si="189"/>
        <v>21</v>
      </c>
      <c r="K235" s="178"/>
      <c r="L235" s="178"/>
      <c r="M235" s="178"/>
      <c r="N235" s="178"/>
      <c r="O235" s="178"/>
      <c r="P235" s="178"/>
      <c r="Q235" s="228"/>
      <c r="R235" s="224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2">
        <v>17.0</v>
      </c>
      <c r="B236" s="183" t="s">
        <v>138</v>
      </c>
      <c r="C236" s="200"/>
      <c r="D236" s="200"/>
      <c r="E236" s="200"/>
      <c r="F236" s="200"/>
      <c r="G236" s="200"/>
      <c r="H236" s="227">
        <v>70.0</v>
      </c>
      <c r="I236" s="200">
        <v>1.0</v>
      </c>
      <c r="J236" s="195">
        <f t="shared" si="189"/>
        <v>70</v>
      </c>
      <c r="K236" s="178"/>
      <c r="L236" s="178"/>
      <c r="M236" s="178"/>
      <c r="N236" s="178"/>
      <c r="O236" s="178"/>
      <c r="P236" s="178"/>
      <c r="Q236" s="228"/>
      <c r="R236" s="224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2">
        <v>18.0</v>
      </c>
      <c r="B237" s="193" t="s">
        <v>138</v>
      </c>
      <c r="C237" s="200"/>
      <c r="D237" s="200"/>
      <c r="E237" s="200"/>
      <c r="F237" s="200"/>
      <c r="G237" s="200"/>
      <c r="H237" s="227">
        <v>38.0</v>
      </c>
      <c r="I237" s="200">
        <v>1.0</v>
      </c>
      <c r="J237" s="195">
        <f t="shared" si="189"/>
        <v>38</v>
      </c>
      <c r="K237" s="178"/>
      <c r="L237" s="178"/>
      <c r="M237" s="178"/>
      <c r="N237" s="178"/>
      <c r="O237" s="178"/>
      <c r="P237" s="178"/>
      <c r="Q237" s="228"/>
      <c r="R237" s="224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2">
        <v>21.0</v>
      </c>
      <c r="B238" s="229"/>
      <c r="C238" s="200"/>
      <c r="D238" s="200"/>
      <c r="E238" s="200"/>
      <c r="F238" s="200"/>
      <c r="G238" s="200"/>
      <c r="H238" s="227"/>
      <c r="I238" s="200"/>
      <c r="J238" s="195">
        <f t="shared" si="189"/>
        <v>0</v>
      </c>
      <c r="K238" s="178"/>
      <c r="L238" s="178"/>
      <c r="M238" s="178"/>
      <c r="N238" s="178"/>
      <c r="O238" s="178"/>
      <c r="P238" s="178"/>
      <c r="Q238" s="228"/>
      <c r="R238" s="224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2">
        <v>22.0</v>
      </c>
      <c r="B239" s="229"/>
      <c r="C239" s="200"/>
      <c r="D239" s="200"/>
      <c r="E239" s="200"/>
      <c r="F239" s="200"/>
      <c r="G239" s="200"/>
      <c r="H239" s="227"/>
      <c r="I239" s="200"/>
      <c r="J239" s="195">
        <f t="shared" si="189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2">
        <v>23.0</v>
      </c>
      <c r="B240" s="229"/>
      <c r="C240" s="200"/>
      <c r="D240" s="200"/>
      <c r="E240" s="200"/>
      <c r="F240" s="200"/>
      <c r="G240" s="200"/>
      <c r="H240" s="227"/>
      <c r="I240" s="200"/>
      <c r="J240" s="195">
        <f t="shared" si="189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2">
        <v>24.0</v>
      </c>
      <c r="B241" s="229"/>
      <c r="C241" s="200"/>
      <c r="D241" s="200"/>
      <c r="E241" s="200"/>
      <c r="F241" s="200"/>
      <c r="G241" s="200"/>
      <c r="H241" s="227"/>
      <c r="I241" s="200"/>
      <c r="J241" s="195">
        <f t="shared" si="189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2">
        <v>25.0</v>
      </c>
      <c r="B242" s="229"/>
      <c r="C242" s="200"/>
      <c r="D242" s="200"/>
      <c r="E242" s="200"/>
      <c r="F242" s="200"/>
      <c r="G242" s="200"/>
      <c r="H242" s="227"/>
      <c r="I242" s="200"/>
      <c r="J242" s="195">
        <f t="shared" si="189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2">
        <v>26.0</v>
      </c>
      <c r="B243" s="229"/>
      <c r="C243" s="200"/>
      <c r="D243" s="200"/>
      <c r="E243" s="200"/>
      <c r="F243" s="200"/>
      <c r="G243" s="200"/>
      <c r="H243" s="227"/>
      <c r="I243" s="200"/>
      <c r="J243" s="195">
        <f t="shared" si="189"/>
        <v>0</v>
      </c>
      <c r="K243" s="178"/>
      <c r="L243" s="178"/>
      <c r="M243" s="178"/>
      <c r="N243" s="178"/>
      <c r="O243" s="178"/>
      <c r="P243" s="178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2">
        <v>27.0</v>
      </c>
      <c r="B244" s="229"/>
      <c r="C244" s="200"/>
      <c r="D244" s="200"/>
      <c r="E244" s="200"/>
      <c r="F244" s="200"/>
      <c r="G244" s="200"/>
      <c r="H244" s="200"/>
      <c r="I244" s="200"/>
      <c r="J244" s="195">
        <f t="shared" si="189"/>
        <v>0</v>
      </c>
      <c r="K244" s="178"/>
      <c r="L244" s="178"/>
      <c r="M244" s="178"/>
      <c r="N244" s="178"/>
      <c r="O244" s="178"/>
      <c r="P244" s="178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2">
        <v>28.0</v>
      </c>
      <c r="B245" s="229"/>
      <c r="C245" s="200"/>
      <c r="D245" s="200"/>
      <c r="E245" s="200"/>
      <c r="F245" s="200"/>
      <c r="G245" s="200"/>
      <c r="H245" s="200"/>
      <c r="I245" s="200"/>
      <c r="J245" s="195">
        <f t="shared" si="189"/>
        <v>0</v>
      </c>
      <c r="K245" s="178"/>
      <c r="L245" s="178"/>
      <c r="M245" s="178"/>
      <c r="N245" s="178"/>
      <c r="O245" s="178"/>
      <c r="P245" s="178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2">
        <v>29.0</v>
      </c>
      <c r="B246" s="230"/>
      <c r="C246" s="200"/>
      <c r="D246" s="200"/>
      <c r="E246" s="200"/>
      <c r="F246" s="200"/>
      <c r="G246" s="200"/>
      <c r="H246" s="200"/>
      <c r="I246" s="200"/>
      <c r="J246" s="195">
        <f t="shared" si="189"/>
        <v>0</v>
      </c>
      <c r="K246" s="178"/>
      <c r="L246" s="178"/>
      <c r="M246" s="178"/>
      <c r="N246" s="178"/>
      <c r="O246" s="178"/>
      <c r="P246" s="178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2">
        <v>30.0</v>
      </c>
      <c r="B247" s="230"/>
      <c r="C247" s="200"/>
      <c r="D247" s="200"/>
      <c r="E247" s="200"/>
      <c r="F247" s="200"/>
      <c r="G247" s="200"/>
      <c r="H247" s="227"/>
      <c r="I247" s="200"/>
      <c r="J247" s="195">
        <f t="shared" si="189"/>
        <v>0</v>
      </c>
      <c r="K247" s="178"/>
      <c r="L247" s="178"/>
      <c r="M247" s="178"/>
      <c r="N247" s="178"/>
      <c r="O247" s="178"/>
      <c r="P247" s="178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2">
        <v>31.0</v>
      </c>
      <c r="B248" s="218"/>
      <c r="C248" s="200"/>
      <c r="D248" s="200"/>
      <c r="E248" s="200"/>
      <c r="F248" s="200"/>
      <c r="G248" s="200"/>
      <c r="H248" s="227"/>
      <c r="I248" s="200"/>
      <c r="J248" s="195">
        <f t="shared" si="189"/>
        <v>0</v>
      </c>
      <c r="K248" s="178"/>
      <c r="L248" s="178"/>
      <c r="M248" s="178"/>
      <c r="N248" s="178"/>
      <c r="O248" s="178"/>
      <c r="P248" s="178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2">
        <v>32.0</v>
      </c>
      <c r="B249" s="218"/>
      <c r="C249" s="162"/>
      <c r="D249" s="162"/>
      <c r="E249" s="162"/>
      <c r="F249" s="162"/>
      <c r="G249" s="162"/>
      <c r="H249" s="162"/>
      <c r="I249" s="162"/>
      <c r="J249" s="195">
        <f t="shared" si="189"/>
        <v>0</v>
      </c>
      <c r="K249" s="178"/>
      <c r="L249" s="178"/>
      <c r="M249" s="178"/>
      <c r="N249" s="178"/>
      <c r="O249" s="178"/>
      <c r="P249" s="178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2">
        <v>33.0</v>
      </c>
      <c r="B250" s="230"/>
      <c r="C250" s="162"/>
      <c r="D250" s="162"/>
      <c r="E250" s="162"/>
      <c r="F250" s="162"/>
      <c r="G250" s="162"/>
      <c r="H250" s="162"/>
      <c r="I250" s="162"/>
      <c r="J250" s="195">
        <f t="shared" si="189"/>
        <v>0</v>
      </c>
      <c r="K250" s="178"/>
      <c r="L250" s="178"/>
      <c r="M250" s="178"/>
      <c r="N250" s="178"/>
      <c r="O250" s="178"/>
      <c r="P250" s="178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2">
        <v>34.0</v>
      </c>
      <c r="B251" s="231"/>
      <c r="C251" s="162"/>
      <c r="D251" s="162"/>
      <c r="E251" s="162"/>
      <c r="F251" s="162"/>
      <c r="G251" s="162"/>
      <c r="H251" s="162"/>
      <c r="I251" s="162"/>
      <c r="J251" s="195">
        <f t="shared" si="189"/>
        <v>0</v>
      </c>
      <c r="K251" s="178"/>
      <c r="L251" s="178"/>
      <c r="M251" s="178"/>
      <c r="N251" s="178"/>
      <c r="O251" s="178"/>
      <c r="P251" s="178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2">
        <v>35.0</v>
      </c>
      <c r="B252" s="232"/>
      <c r="C252" s="162"/>
      <c r="D252" s="162"/>
      <c r="E252" s="162"/>
      <c r="F252" s="162"/>
      <c r="G252" s="162"/>
      <c r="H252" s="162"/>
      <c r="I252" s="162"/>
      <c r="J252" s="195">
        <f t="shared" si="189"/>
        <v>0</v>
      </c>
      <c r="K252" s="178"/>
      <c r="L252" s="178"/>
      <c r="M252" s="178"/>
      <c r="N252" s="178"/>
      <c r="O252" s="178"/>
      <c r="P252" s="178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 t="s">
        <v>38</v>
      </c>
      <c r="I253" s="139"/>
      <c r="J253" s="233">
        <f>SUM(J220:J252)</f>
        <v>511</v>
      </c>
      <c r="K253" s="234"/>
      <c r="L253" s="234"/>
      <c r="M253" s="234"/>
      <c r="N253" s="234"/>
      <c r="O253" s="234"/>
      <c r="P253" s="234"/>
      <c r="Q253" s="234"/>
      <c r="R253" s="139"/>
      <c r="S253" s="224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44"/>
      <c r="B254" s="144"/>
      <c r="C254" s="144"/>
      <c r="D254" s="144"/>
      <c r="E254" s="144"/>
      <c r="F254" s="144"/>
      <c r="G254" s="144"/>
      <c r="H254" s="145"/>
      <c r="I254" s="175"/>
      <c r="J254" s="206">
        <f>+J253*60%</f>
        <v>306.6</v>
      </c>
      <c r="K254" s="206"/>
      <c r="L254" s="206"/>
      <c r="M254" s="206"/>
      <c r="N254" s="206"/>
      <c r="O254" s="206"/>
      <c r="P254" s="206"/>
      <c r="Q254" s="206">
        <f>+J253*40%</f>
        <v>204.4</v>
      </c>
      <c r="R254" s="139"/>
      <c r="S254" s="224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8.75" customHeight="1">
      <c r="A255" s="139"/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22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/>
      <c r="I256" s="139"/>
      <c r="J256" s="139"/>
      <c r="K256" s="139"/>
      <c r="L256" s="139"/>
      <c r="M256" s="139"/>
      <c r="N256" s="139"/>
      <c r="O256" s="139"/>
      <c r="P256" s="139"/>
      <c r="Q256" s="139"/>
      <c r="R256" s="139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295" t="s">
        <v>141</v>
      </c>
      <c r="B257" s="295"/>
      <c r="C257" s="295"/>
      <c r="D257" s="295" t="s">
        <v>33</v>
      </c>
      <c r="E257" s="295"/>
      <c r="F257" s="295"/>
      <c r="G257" s="295"/>
      <c r="H257" s="224"/>
      <c r="I257" s="295"/>
      <c r="J257" s="296"/>
      <c r="K257" s="139"/>
      <c r="L257" s="139"/>
      <c r="M257" s="139"/>
      <c r="N257" s="139"/>
      <c r="O257" s="139"/>
      <c r="P257" s="139"/>
      <c r="Q257" s="139"/>
      <c r="R257" s="139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295"/>
      <c r="B258" s="295"/>
      <c r="C258" s="295"/>
      <c r="D258" s="295"/>
      <c r="E258" s="295"/>
      <c r="F258" s="295"/>
      <c r="G258" s="295"/>
      <c r="H258" s="224"/>
      <c r="I258" s="295"/>
      <c r="J258" s="296"/>
      <c r="K258" s="139"/>
      <c r="L258" s="139"/>
      <c r="M258" s="139"/>
      <c r="N258" s="139"/>
      <c r="O258" s="139"/>
      <c r="P258" s="139"/>
      <c r="Q258" s="139"/>
      <c r="R258" s="139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297"/>
      <c r="B259" s="193" t="s">
        <v>12</v>
      </c>
      <c r="C259" s="298" t="s">
        <v>69</v>
      </c>
      <c r="D259" s="52"/>
      <c r="E259" s="53"/>
      <c r="F259" s="193"/>
      <c r="G259" s="193"/>
      <c r="H259" s="299" t="s">
        <v>14</v>
      </c>
      <c r="I259" s="193" t="s">
        <v>15</v>
      </c>
      <c r="J259" s="287" t="s">
        <v>16</v>
      </c>
      <c r="K259" s="139"/>
      <c r="L259" s="139"/>
      <c r="M259" s="139"/>
      <c r="N259" s="139"/>
      <c r="O259" s="139"/>
      <c r="P259" s="139"/>
      <c r="Q259" s="139"/>
      <c r="R259" s="139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148">
        <v>1.0</v>
      </c>
      <c r="B260" s="218" t="s">
        <v>142</v>
      </c>
      <c r="C260" s="218">
        <v>99.0</v>
      </c>
      <c r="D260" s="218">
        <v>303.0</v>
      </c>
      <c r="E260" s="218">
        <v>225.0</v>
      </c>
      <c r="F260" s="218"/>
      <c r="G260" s="218"/>
      <c r="H260" s="219">
        <v>202.47975</v>
      </c>
      <c r="I260" s="215">
        <v>1.0</v>
      </c>
      <c r="J260" s="287">
        <v>202.47975</v>
      </c>
      <c r="K260" s="139"/>
      <c r="L260" s="139"/>
      <c r="M260" s="139"/>
      <c r="N260" s="139"/>
      <c r="O260" s="139"/>
      <c r="P260" s="139"/>
      <c r="Q260" s="139"/>
      <c r="R260" s="139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193"/>
      <c r="B261" s="300"/>
      <c r="C261" s="300"/>
      <c r="D261" s="300"/>
      <c r="E261" s="300"/>
      <c r="F261" s="300"/>
      <c r="G261" s="300"/>
      <c r="H261" s="301" t="s">
        <v>38</v>
      </c>
      <c r="I261" s="300"/>
      <c r="J261" s="302">
        <f>SUM(J260)</f>
        <v>202.47975</v>
      </c>
      <c r="K261" s="139"/>
      <c r="L261" s="139"/>
      <c r="M261" s="139"/>
      <c r="N261" s="139"/>
      <c r="O261" s="139"/>
      <c r="P261" s="139"/>
      <c r="Q261" s="139"/>
      <c r="R261" s="139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303"/>
      <c r="B262" s="304"/>
      <c r="C262" s="304"/>
      <c r="D262" s="304"/>
      <c r="E262" s="304"/>
      <c r="F262" s="304"/>
      <c r="G262" s="304"/>
      <c r="H262" s="305"/>
      <c r="I262" s="304"/>
      <c r="J262" s="287"/>
      <c r="K262" s="139"/>
      <c r="L262" s="139"/>
      <c r="M262" s="139"/>
      <c r="N262" s="139"/>
      <c r="O262" s="139"/>
      <c r="P262" s="139"/>
      <c r="Q262" s="139"/>
      <c r="R262" s="139"/>
      <c r="S262" s="224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139"/>
      <c r="B263" s="139"/>
      <c r="C263" s="139"/>
      <c r="D263" s="139"/>
      <c r="E263" s="139"/>
      <c r="F263" s="139"/>
      <c r="G263" s="139"/>
      <c r="H263" s="140"/>
      <c r="I263" s="139"/>
      <c r="J263" s="139"/>
      <c r="K263" s="139"/>
      <c r="L263" s="139"/>
      <c r="M263" s="139"/>
      <c r="N263" s="139"/>
      <c r="O263" s="139"/>
      <c r="P263" s="139"/>
      <c r="Q263" s="139"/>
      <c r="R263" s="139"/>
      <c r="S263" s="224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235" t="s">
        <v>41</v>
      </c>
      <c r="B264" s="139"/>
      <c r="C264" s="139"/>
      <c r="D264" s="139"/>
      <c r="E264" s="139"/>
      <c r="F264" s="139"/>
      <c r="G264" s="139"/>
      <c r="H264" s="140"/>
      <c r="I264" s="139"/>
      <c r="J264" s="139"/>
      <c r="K264" s="139"/>
      <c r="L264" s="139"/>
      <c r="M264" s="139"/>
      <c r="N264" s="139"/>
      <c r="O264" s="139"/>
      <c r="P264" s="139"/>
      <c r="Q264" s="139"/>
      <c r="R264" s="139"/>
      <c r="S264" s="224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57.0" customHeight="1">
      <c r="A265" s="236"/>
      <c r="B265" s="237" t="s">
        <v>42</v>
      </c>
      <c r="C265" s="237" t="s">
        <v>43</v>
      </c>
      <c r="D265" s="237" t="s">
        <v>44</v>
      </c>
      <c r="E265" s="237" t="s">
        <v>45</v>
      </c>
      <c r="F265" s="237"/>
      <c r="G265" s="237"/>
      <c r="H265" s="238" t="s">
        <v>46</v>
      </c>
      <c r="I265" s="239" t="s">
        <v>47</v>
      </c>
      <c r="J265" s="139"/>
      <c r="K265" s="139"/>
      <c r="L265" s="139"/>
      <c r="M265" s="139"/>
      <c r="N265" s="139"/>
      <c r="O265" s="139"/>
      <c r="P265" s="139"/>
      <c r="Q265" s="139"/>
      <c r="R265" s="141"/>
      <c r="S265" s="224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40" t="s">
        <v>48</v>
      </c>
      <c r="B266" s="241">
        <f>+E24</f>
        <v>36168.6977</v>
      </c>
      <c r="C266" s="242">
        <f>+J196</f>
        <v>33701.01894</v>
      </c>
      <c r="D266" s="242">
        <f>+J213</f>
        <v>1012.816924</v>
      </c>
      <c r="E266" s="243">
        <f>J254</f>
        <v>306.6</v>
      </c>
      <c r="F266" s="243"/>
      <c r="G266" s="243"/>
      <c r="H266" s="244">
        <f>+I24</f>
        <v>1513.728918</v>
      </c>
      <c r="I266" s="245">
        <f>+B266-C266-D266-E266-H266</f>
        <v>-365.467078</v>
      </c>
      <c r="J266" s="139"/>
      <c r="K266" s="139"/>
      <c r="L266" s="139"/>
      <c r="M266" s="139"/>
      <c r="N266" s="139"/>
      <c r="O266" s="139"/>
      <c r="P266" s="139"/>
      <c r="Q266" s="139"/>
      <c r="R266" s="141"/>
      <c r="S266" s="224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9.5" customHeight="1">
      <c r="A267" s="246" t="s">
        <v>49</v>
      </c>
      <c r="B267" s="247"/>
      <c r="C267" s="248">
        <f>+C266/B266</f>
        <v>0.9317730822</v>
      </c>
      <c r="D267" s="248">
        <f>+D266/B266</f>
        <v>0.02800258202</v>
      </c>
      <c r="E267" s="248">
        <f>+E266/B266</f>
        <v>0.00847694331</v>
      </c>
      <c r="F267" s="248"/>
      <c r="G267" s="248"/>
      <c r="H267" s="249">
        <f>+H266/B266</f>
        <v>0.04185190549</v>
      </c>
      <c r="I267" s="250">
        <f>+I266/B266</f>
        <v>-0.01010451305</v>
      </c>
      <c r="J267" s="139"/>
      <c r="K267" s="139"/>
      <c r="L267" s="139"/>
      <c r="M267" s="139"/>
      <c r="N267" s="139"/>
      <c r="O267" s="139"/>
      <c r="P267" s="139"/>
      <c r="Q267" s="139"/>
      <c r="R267" s="141"/>
      <c r="S267" s="224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9.5" customHeight="1">
      <c r="A268" s="165"/>
      <c r="B268" s="221"/>
      <c r="C268" s="251"/>
      <c r="D268" s="251"/>
      <c r="E268" s="251"/>
      <c r="F268" s="251"/>
      <c r="G268" s="251"/>
      <c r="H268" s="252"/>
      <c r="I268" s="253"/>
      <c r="J268" s="139"/>
      <c r="K268" s="139"/>
      <c r="L268" s="139"/>
      <c r="M268" s="139"/>
      <c r="N268" s="139"/>
      <c r="O268" s="139"/>
      <c r="P268" s="139"/>
      <c r="Q268" s="139"/>
      <c r="R268" s="141"/>
      <c r="S268" s="224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8.75" customHeight="1">
      <c r="A269" s="254"/>
      <c r="B269" s="255"/>
      <c r="C269" s="255"/>
      <c r="D269" s="255" t="s">
        <v>50</v>
      </c>
      <c r="E269" s="255" t="s">
        <v>48</v>
      </c>
      <c r="F269" s="255"/>
      <c r="G269" s="255"/>
      <c r="H269" s="256">
        <f>+D266+E266+H266+I266</f>
        <v>2467.678764</v>
      </c>
      <c r="I269" s="257"/>
      <c r="J269" s="139"/>
      <c r="K269" s="139"/>
      <c r="L269" s="139"/>
      <c r="M269" s="139"/>
      <c r="N269" s="139"/>
      <c r="O269" s="139"/>
      <c r="P269" s="139"/>
      <c r="Q269" s="139"/>
      <c r="R269" s="141"/>
      <c r="S269" s="140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258"/>
      <c r="B270" s="139"/>
      <c r="C270" s="139"/>
      <c r="D270" s="139"/>
      <c r="E270" s="139" t="s">
        <v>49</v>
      </c>
      <c r="F270" s="139"/>
      <c r="G270" s="139"/>
      <c r="H270" s="252">
        <f>+H269/B266</f>
        <v>0.06822691777</v>
      </c>
      <c r="I270" s="259"/>
      <c r="J270" s="139"/>
      <c r="K270" s="139"/>
      <c r="L270" s="139"/>
      <c r="M270" s="139"/>
      <c r="N270" s="139"/>
      <c r="O270" s="139"/>
      <c r="P270" s="139"/>
      <c r="Q270" s="139"/>
      <c r="R270" s="141"/>
      <c r="S270" s="140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258"/>
      <c r="B271" s="139"/>
      <c r="C271" s="139" t="s">
        <v>51</v>
      </c>
      <c r="D271" s="139"/>
      <c r="E271" s="139"/>
      <c r="F271" s="139"/>
      <c r="G271" s="139"/>
      <c r="H271" s="140"/>
      <c r="I271" s="259"/>
      <c r="J271" s="139"/>
      <c r="K271" s="139"/>
      <c r="L271" s="139"/>
      <c r="M271" s="139"/>
      <c r="N271" s="139"/>
      <c r="O271" s="139"/>
      <c r="P271" s="139"/>
      <c r="Q271" s="139"/>
      <c r="R271" s="141"/>
      <c r="S271" s="140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258"/>
      <c r="B272" s="139"/>
      <c r="C272" s="139"/>
      <c r="D272" s="139" t="s">
        <v>52</v>
      </c>
      <c r="E272" s="139"/>
      <c r="F272" s="139"/>
      <c r="G272" s="139"/>
      <c r="H272" s="140">
        <f>+H271*(H269-H266)</f>
        <v>0</v>
      </c>
      <c r="I272" s="259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9.5" customHeight="1">
      <c r="A273" s="260"/>
      <c r="B273" s="261"/>
      <c r="C273" s="261"/>
      <c r="D273" s="261"/>
      <c r="E273" s="261"/>
      <c r="F273" s="261"/>
      <c r="G273" s="261"/>
      <c r="H273" s="262"/>
      <c r="I273" s="263"/>
      <c r="J273" s="139"/>
      <c r="K273" s="139"/>
      <c r="L273" s="139"/>
      <c r="M273" s="139"/>
      <c r="N273" s="139"/>
      <c r="O273" s="139"/>
      <c r="P273" s="139"/>
      <c r="Q273" s="139"/>
      <c r="R273" s="141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  <c r="AJ273" s="139"/>
      <c r="AK273" s="139"/>
      <c r="AL273" s="139"/>
      <c r="AM273" s="139"/>
      <c r="AN273" s="139"/>
      <c r="AO273" s="139"/>
      <c r="AP273" s="139"/>
      <c r="AQ273" s="139"/>
      <c r="AR273" s="139"/>
      <c r="AS273" s="139"/>
      <c r="AT273" s="139"/>
    </row>
    <row r="274" ht="18.75" customHeight="1">
      <c r="A274" s="139"/>
      <c r="B274" s="139"/>
      <c r="C274" s="139"/>
      <c r="D274" s="139"/>
      <c r="E274" s="139"/>
      <c r="F274" s="139"/>
      <c r="G274" s="139"/>
      <c r="H274" s="140"/>
      <c r="I274" s="139"/>
      <c r="J274" s="139"/>
      <c r="K274" s="139"/>
      <c r="L274" s="139"/>
      <c r="M274" s="139"/>
      <c r="N274" s="139"/>
      <c r="O274" s="139"/>
      <c r="P274" s="139"/>
      <c r="Q274" s="139"/>
      <c r="R274" s="141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  <c r="AJ274" s="139"/>
      <c r="AK274" s="139"/>
      <c r="AL274" s="139"/>
      <c r="AM274" s="139"/>
      <c r="AN274" s="139"/>
      <c r="AO274" s="139"/>
      <c r="AP274" s="139"/>
      <c r="AQ274" s="139"/>
      <c r="AR274" s="139"/>
      <c r="AS274" s="139"/>
      <c r="AT274" s="139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8.0" customHeight="1">
      <c r="A469" s="7"/>
      <c r="B469" s="7"/>
      <c r="C469" s="7"/>
      <c r="D469" s="7"/>
      <c r="E469" s="7"/>
      <c r="F469" s="7"/>
      <c r="G469" s="7"/>
      <c r="H469" s="264"/>
      <c r="I469" s="7"/>
      <c r="J469" s="7"/>
      <c r="K469" s="7"/>
      <c r="L469" s="7"/>
      <c r="M469" s="7"/>
      <c r="N469" s="7"/>
      <c r="O469" s="7"/>
      <c r="P469" s="7"/>
      <c r="Q469" s="7"/>
      <c r="R469" s="265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</row>
    <row r="470" ht="18.0" customHeight="1">
      <c r="A470" s="7"/>
      <c r="B470" s="7"/>
      <c r="C470" s="7"/>
      <c r="D470" s="7"/>
      <c r="E470" s="7"/>
      <c r="F470" s="7"/>
      <c r="G470" s="7"/>
      <c r="H470" s="264"/>
      <c r="I470" s="7"/>
      <c r="J470" s="7"/>
      <c r="K470" s="7"/>
      <c r="L470" s="7"/>
      <c r="M470" s="7"/>
      <c r="N470" s="7"/>
      <c r="O470" s="7"/>
      <c r="P470" s="7"/>
      <c r="Q470" s="7"/>
      <c r="R470" s="265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</row>
    <row r="471" ht="18.0" customHeight="1">
      <c r="A471" s="7"/>
      <c r="B471" s="7"/>
      <c r="C471" s="7"/>
      <c r="D471" s="7"/>
      <c r="E471" s="7"/>
      <c r="F471" s="7"/>
      <c r="G471" s="7"/>
      <c r="H471" s="264"/>
      <c r="I471" s="7"/>
      <c r="J471" s="7"/>
      <c r="K471" s="7"/>
      <c r="L471" s="7"/>
      <c r="M471" s="7"/>
      <c r="N471" s="7"/>
      <c r="O471" s="7"/>
      <c r="P471" s="7"/>
      <c r="Q471" s="7"/>
      <c r="R471" s="265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</row>
    <row r="472" ht="18.0" customHeight="1">
      <c r="A472" s="7"/>
      <c r="B472" s="7"/>
      <c r="C472" s="7"/>
      <c r="D472" s="7"/>
      <c r="E472" s="7"/>
      <c r="F472" s="7"/>
      <c r="G472" s="7"/>
      <c r="H472" s="264"/>
      <c r="I472" s="7"/>
      <c r="J472" s="7"/>
      <c r="K472" s="7"/>
      <c r="L472" s="7"/>
      <c r="M472" s="7"/>
      <c r="N472" s="7"/>
      <c r="O472" s="7"/>
      <c r="P472" s="7"/>
      <c r="Q472" s="7"/>
      <c r="R472" s="265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</row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A7:B7"/>
    <mergeCell ref="E7:H7"/>
    <mergeCell ref="C24:D24"/>
    <mergeCell ref="E25:H25"/>
    <mergeCell ref="C30:E30"/>
    <mergeCell ref="C202:E202"/>
    <mergeCell ref="C219:E219"/>
    <mergeCell ref="C259:E259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44544.0</v>
      </c>
      <c r="J4" s="139" t="str">
        <f>+B8&amp;"/"&amp;B9&amp;"/"&amp;B10&amp;"/"&amp;B11&amp;"/"&amp;B12&amp;"/"&amp;B13&amp;"/"&amp;B14&amp;"/"&amp;B15&amp;"/"&amp;B16</f>
        <v>D2240/D1650/HRD2960//////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143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+I225</f>
        <v>0.016408005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144</v>
      </c>
      <c r="C8" s="155">
        <v>22.5</v>
      </c>
      <c r="D8" s="156">
        <v>0.0805</v>
      </c>
      <c r="E8" s="157">
        <f>205.95*82.5</f>
        <v>16990.875</v>
      </c>
      <c r="F8" s="157"/>
      <c r="G8" s="157"/>
      <c r="H8" s="158">
        <v>82.5</v>
      </c>
      <c r="I8" s="159">
        <f t="shared" ref="I8:I17" si="1">+D8*E8</f>
        <v>1367.765438</v>
      </c>
      <c r="J8" s="160">
        <f t="shared" ref="J8:J17" si="2">E8-I8</f>
        <v>15623.10956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59</v>
      </c>
      <c r="C9" s="155">
        <v>16.5</v>
      </c>
      <c r="D9" s="156">
        <v>0.1057</v>
      </c>
      <c r="E9" s="157">
        <f>178.73*25.3</f>
        <v>4521.869</v>
      </c>
      <c r="F9" s="157"/>
      <c r="G9" s="157"/>
      <c r="H9" s="158">
        <v>25.3</v>
      </c>
      <c r="I9" s="159">
        <f t="shared" si="1"/>
        <v>477.9615533</v>
      </c>
      <c r="J9" s="160">
        <f t="shared" si="2"/>
        <v>4043.907447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90</v>
      </c>
      <c r="C10" s="155">
        <v>29.5</v>
      </c>
      <c r="D10" s="156">
        <v>0.0162</v>
      </c>
      <c r="E10" s="157">
        <f>240.23*36.5</f>
        <v>8768.395</v>
      </c>
      <c r="F10" s="157"/>
      <c r="G10" s="157"/>
      <c r="H10" s="158">
        <v>36.5</v>
      </c>
      <c r="I10" s="159">
        <f t="shared" si="1"/>
        <v>142.047999</v>
      </c>
      <c r="J10" s="160">
        <f t="shared" si="2"/>
        <v>8626.347001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11.0</v>
      </c>
      <c r="B11" s="155"/>
      <c r="C11" s="155"/>
      <c r="D11" s="156"/>
      <c r="E11" s="157"/>
      <c r="F11" s="157"/>
      <c r="G11" s="157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12.0</v>
      </c>
      <c r="B12" s="162"/>
      <c r="C12" s="162"/>
      <c r="D12" s="163"/>
      <c r="E12" s="164"/>
      <c r="F12" s="164"/>
      <c r="G12" s="164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13.0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14.0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15.0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16.0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17.0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65"/>
      <c r="B18" s="166"/>
      <c r="C18" s="167"/>
      <c r="D18" s="168"/>
      <c r="E18" s="169">
        <f>SUM(E8:E17)</f>
        <v>30281.139</v>
      </c>
      <c r="F18" s="170"/>
      <c r="G18" s="170"/>
      <c r="H18" s="171"/>
      <c r="I18" s="172">
        <f t="shared" ref="I18:J18" si="3">SUM(I8:I17)</f>
        <v>1987.77499</v>
      </c>
      <c r="J18" s="173">
        <f t="shared" si="3"/>
        <v>28293.36401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74"/>
      <c r="B19" s="144"/>
      <c r="C19" s="144"/>
      <c r="D19" s="175"/>
      <c r="E19" s="176"/>
      <c r="F19" s="151"/>
      <c r="G19" s="151"/>
      <c r="H19" s="147"/>
      <c r="I19" s="177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8"/>
      <c r="B24" s="162" t="s">
        <v>12</v>
      </c>
      <c r="C24" s="179" t="s">
        <v>60</v>
      </c>
      <c r="D24" s="52"/>
      <c r="E24" s="53"/>
      <c r="F24" s="180"/>
      <c r="G24" s="180"/>
      <c r="H24" s="181" t="s">
        <v>14</v>
      </c>
      <c r="I24" s="162" t="s">
        <v>15</v>
      </c>
      <c r="J24" s="162" t="s">
        <v>16</v>
      </c>
      <c r="K24" s="139"/>
      <c r="L24" s="162" t="s">
        <v>17</v>
      </c>
      <c r="M24" s="162" t="s">
        <v>15</v>
      </c>
      <c r="N24" s="178" t="s">
        <v>18</v>
      </c>
      <c r="O24" s="139"/>
      <c r="P24" s="139"/>
      <c r="Q24" s="178" t="s">
        <v>61</v>
      </c>
      <c r="R24" s="182"/>
      <c r="S24" s="162" t="s">
        <v>17</v>
      </c>
      <c r="T24" s="162" t="s">
        <v>15</v>
      </c>
      <c r="U24" s="178" t="s">
        <v>18</v>
      </c>
      <c r="V24" s="139"/>
      <c r="W24" s="178" t="s">
        <v>19</v>
      </c>
      <c r="X24" s="178" t="s">
        <v>20</v>
      </c>
      <c r="Y24" s="178" t="s">
        <v>21</v>
      </c>
      <c r="Z24" s="178" t="s">
        <v>145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2">
        <v>1.0</v>
      </c>
      <c r="B25" s="183" t="s">
        <v>146</v>
      </c>
      <c r="C25" s="184">
        <v>91.0</v>
      </c>
      <c r="D25" s="184">
        <v>191.0</v>
      </c>
      <c r="E25" s="184">
        <v>171.0</v>
      </c>
      <c r="F25" s="184">
        <f t="shared" ref="F25:F169" si="5">VALUE(IF(RIGHT(B25, 1)="%", RIGHT(B25, 3), 0))</f>
        <v>0.8</v>
      </c>
      <c r="G25" s="184">
        <f t="shared" ref="G25:G169" si="6">+R25*C25/100*D25/100*E25/100</f>
        <v>66.8733975</v>
      </c>
      <c r="H25" s="185">
        <f t="shared" ref="H25:H169" si="7">IF(F25=0, G25, F25*G25)</f>
        <v>53.498718</v>
      </c>
      <c r="I25" s="184">
        <v>1.0</v>
      </c>
      <c r="J25" s="186">
        <f t="shared" ref="J25:J169" si="8">+I25*H25</f>
        <v>53.498718</v>
      </c>
      <c r="K25" s="187"/>
      <c r="L25" s="188">
        <f>D25*25.4/1000</f>
        <v>4.8514</v>
      </c>
      <c r="M25" s="189">
        <f>+I25</f>
        <v>1</v>
      </c>
      <c r="N25" s="189">
        <f>M25*L25</f>
        <v>4.8514</v>
      </c>
      <c r="O25" s="187"/>
      <c r="P25" s="187"/>
      <c r="Q25" s="188">
        <v>77.0</v>
      </c>
      <c r="R25" s="190">
        <v>22.5</v>
      </c>
      <c r="S25" s="178">
        <f t="shared" ref="S25:S170" si="9">E25/100</f>
        <v>1.71</v>
      </c>
      <c r="T25" s="162">
        <f t="shared" ref="T25:T170" si="10">I25</f>
        <v>1</v>
      </c>
      <c r="U25" s="162">
        <f t="shared" ref="U25:U170" si="11">T25*S25</f>
        <v>1.71</v>
      </c>
      <c r="V25" s="191">
        <f t="shared" ref="V25:V52" si="12">R25*C25/100*D25/100*E25/100</f>
        <v>66.8733975</v>
      </c>
      <c r="W25" s="178">
        <f t="shared" ref="W25:X25" si="4">C25/100</f>
        <v>0.91</v>
      </c>
      <c r="X25" s="178">
        <f t="shared" si="4"/>
        <v>1.91</v>
      </c>
      <c r="Y25" s="178">
        <f t="shared" ref="Y25:Y170" si="14">U25</f>
        <v>1.71</v>
      </c>
      <c r="Z25" s="192">
        <f t="shared" ref="Z25:Z170" si="15">W25*X25*Y25</f>
        <v>2.972151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2">
        <v>2.0</v>
      </c>
      <c r="B26" s="193" t="s">
        <v>144</v>
      </c>
      <c r="C26" s="193">
        <v>104.0</v>
      </c>
      <c r="D26" s="193">
        <v>191.0</v>
      </c>
      <c r="E26" s="193">
        <v>209.0</v>
      </c>
      <c r="F26" s="193">
        <f t="shared" si="5"/>
        <v>0</v>
      </c>
      <c r="G26" s="193">
        <f t="shared" si="6"/>
        <v>93.41046</v>
      </c>
      <c r="H26" s="194">
        <f t="shared" si="7"/>
        <v>93.41046</v>
      </c>
      <c r="I26" s="193">
        <v>1.0</v>
      </c>
      <c r="J26" s="195">
        <f t="shared" si="8"/>
        <v>93.41046</v>
      </c>
      <c r="K26" s="139"/>
      <c r="L26" s="178"/>
      <c r="M26" s="162"/>
      <c r="N26" s="162"/>
      <c r="O26" s="139"/>
      <c r="P26" s="139"/>
      <c r="Q26" s="178">
        <v>95.0</v>
      </c>
      <c r="R26" s="190">
        <v>22.5</v>
      </c>
      <c r="S26" s="178">
        <f t="shared" si="9"/>
        <v>2.09</v>
      </c>
      <c r="T26" s="162">
        <f t="shared" si="10"/>
        <v>1</v>
      </c>
      <c r="U26" s="162">
        <f t="shared" si="11"/>
        <v>2.09</v>
      </c>
      <c r="V26" s="191">
        <f t="shared" si="12"/>
        <v>93.41046</v>
      </c>
      <c r="W26" s="178">
        <f t="shared" ref="W26:X26" si="13">C26/100</f>
        <v>1.04</v>
      </c>
      <c r="X26" s="178">
        <f t="shared" si="13"/>
        <v>1.91</v>
      </c>
      <c r="Y26" s="178">
        <f t="shared" si="14"/>
        <v>2.09</v>
      </c>
      <c r="Z26" s="192">
        <f t="shared" si="15"/>
        <v>4.151576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3.0</v>
      </c>
      <c r="B27" s="193" t="s">
        <v>144</v>
      </c>
      <c r="C27" s="193">
        <v>96.0</v>
      </c>
      <c r="D27" s="193">
        <v>191.0</v>
      </c>
      <c r="E27" s="193">
        <v>185.0</v>
      </c>
      <c r="F27" s="193">
        <f t="shared" si="5"/>
        <v>0</v>
      </c>
      <c r="G27" s="193">
        <f t="shared" si="6"/>
        <v>76.3236</v>
      </c>
      <c r="H27" s="194">
        <f t="shared" si="7"/>
        <v>76.3236</v>
      </c>
      <c r="I27" s="193">
        <v>1.0</v>
      </c>
      <c r="J27" s="195">
        <f t="shared" si="8"/>
        <v>76.3236</v>
      </c>
      <c r="K27" s="139"/>
      <c r="L27" s="178">
        <f t="shared" ref="L27:L49" si="17">D27*25.4/1000</f>
        <v>4.8514</v>
      </c>
      <c r="M27" s="162">
        <f t="shared" ref="M27:M52" si="18">+I27</f>
        <v>1</v>
      </c>
      <c r="N27" s="162">
        <f t="shared" ref="N27:N49" si="19">M27*L27</f>
        <v>4.8514</v>
      </c>
      <c r="O27" s="139"/>
      <c r="P27" s="139"/>
      <c r="Q27" s="178">
        <v>84.0</v>
      </c>
      <c r="R27" s="190">
        <v>22.5</v>
      </c>
      <c r="S27" s="178">
        <f t="shared" si="9"/>
        <v>1.85</v>
      </c>
      <c r="T27" s="162">
        <f t="shared" si="10"/>
        <v>1</v>
      </c>
      <c r="U27" s="162">
        <f t="shared" si="11"/>
        <v>1.85</v>
      </c>
      <c r="V27" s="191">
        <f t="shared" si="12"/>
        <v>76.3236</v>
      </c>
      <c r="W27" s="178">
        <f t="shared" ref="W27:X27" si="16">C27/100</f>
        <v>0.96</v>
      </c>
      <c r="X27" s="178">
        <f t="shared" si="16"/>
        <v>1.91</v>
      </c>
      <c r="Y27" s="178">
        <f t="shared" si="14"/>
        <v>1.85</v>
      </c>
      <c r="Z27" s="192">
        <f t="shared" si="15"/>
        <v>3.39216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4.0</v>
      </c>
      <c r="B28" s="193" t="s">
        <v>144</v>
      </c>
      <c r="C28" s="193">
        <v>102.0</v>
      </c>
      <c r="D28" s="193">
        <v>191.0</v>
      </c>
      <c r="E28" s="193">
        <v>2890.0</v>
      </c>
      <c r="F28" s="193">
        <f t="shared" si="5"/>
        <v>0</v>
      </c>
      <c r="G28" s="193">
        <f t="shared" si="6"/>
        <v>1266.81705</v>
      </c>
      <c r="H28" s="194">
        <f t="shared" si="7"/>
        <v>1266.81705</v>
      </c>
      <c r="I28" s="193">
        <v>1.0</v>
      </c>
      <c r="J28" s="195">
        <f t="shared" si="8"/>
        <v>1266.81705</v>
      </c>
      <c r="K28" s="139"/>
      <c r="L28" s="178">
        <f t="shared" si="17"/>
        <v>4.8514</v>
      </c>
      <c r="M28" s="162">
        <f t="shared" si="18"/>
        <v>1</v>
      </c>
      <c r="N28" s="162">
        <f t="shared" si="19"/>
        <v>4.8514</v>
      </c>
      <c r="O28" s="139"/>
      <c r="P28" s="139"/>
      <c r="Q28" s="178">
        <v>1250.0</v>
      </c>
      <c r="R28" s="190">
        <v>22.5</v>
      </c>
      <c r="S28" s="178">
        <f t="shared" si="9"/>
        <v>28.9</v>
      </c>
      <c r="T28" s="162">
        <f t="shared" si="10"/>
        <v>1</v>
      </c>
      <c r="U28" s="162">
        <f t="shared" si="11"/>
        <v>28.9</v>
      </c>
      <c r="V28" s="191">
        <f t="shared" si="12"/>
        <v>1266.81705</v>
      </c>
      <c r="W28" s="178">
        <f t="shared" ref="W28:X28" si="20">C28/100</f>
        <v>1.02</v>
      </c>
      <c r="X28" s="178">
        <f t="shared" si="20"/>
        <v>1.91</v>
      </c>
      <c r="Y28" s="178">
        <f t="shared" si="14"/>
        <v>28.9</v>
      </c>
      <c r="Z28" s="192">
        <f t="shared" si="15"/>
        <v>56.30298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5.0</v>
      </c>
      <c r="B29" s="193" t="s">
        <v>144</v>
      </c>
      <c r="C29" s="193">
        <v>103.0</v>
      </c>
      <c r="D29" s="193">
        <v>191.0</v>
      </c>
      <c r="E29" s="193">
        <v>2885.0</v>
      </c>
      <c r="F29" s="193">
        <f t="shared" si="5"/>
        <v>0</v>
      </c>
      <c r="G29" s="193">
        <f t="shared" si="6"/>
        <v>1277.023613</v>
      </c>
      <c r="H29" s="194">
        <f t="shared" si="7"/>
        <v>1277.023613</v>
      </c>
      <c r="I29" s="193">
        <v>1.0</v>
      </c>
      <c r="J29" s="195">
        <f t="shared" si="8"/>
        <v>1277.023613</v>
      </c>
      <c r="K29" s="139"/>
      <c r="L29" s="178">
        <f t="shared" si="17"/>
        <v>4.8514</v>
      </c>
      <c r="M29" s="162">
        <f t="shared" si="18"/>
        <v>1</v>
      </c>
      <c r="N29" s="162">
        <f t="shared" si="19"/>
        <v>4.8514</v>
      </c>
      <c r="O29" s="139"/>
      <c r="P29" s="139"/>
      <c r="Q29" s="178">
        <v>1255.0</v>
      </c>
      <c r="R29" s="190">
        <v>22.5</v>
      </c>
      <c r="S29" s="178">
        <f t="shared" si="9"/>
        <v>28.85</v>
      </c>
      <c r="T29" s="162">
        <f t="shared" si="10"/>
        <v>1</v>
      </c>
      <c r="U29" s="162">
        <f t="shared" si="11"/>
        <v>28.85</v>
      </c>
      <c r="V29" s="191">
        <f t="shared" si="12"/>
        <v>1277.023613</v>
      </c>
      <c r="W29" s="178">
        <f t="shared" ref="W29:X29" si="21">C29/100</f>
        <v>1.03</v>
      </c>
      <c r="X29" s="178">
        <f t="shared" si="21"/>
        <v>1.91</v>
      </c>
      <c r="Y29" s="178">
        <f t="shared" si="14"/>
        <v>28.85</v>
      </c>
      <c r="Z29" s="192">
        <f t="shared" si="15"/>
        <v>56.756605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6.0</v>
      </c>
      <c r="B30" s="193" t="s">
        <v>144</v>
      </c>
      <c r="C30" s="193">
        <v>103.0</v>
      </c>
      <c r="D30" s="193">
        <v>191.0</v>
      </c>
      <c r="E30" s="193">
        <v>2889.0</v>
      </c>
      <c r="F30" s="193">
        <f t="shared" si="5"/>
        <v>0</v>
      </c>
      <c r="G30" s="193">
        <f t="shared" si="6"/>
        <v>1278.794183</v>
      </c>
      <c r="H30" s="194">
        <f t="shared" si="7"/>
        <v>1278.794183</v>
      </c>
      <c r="I30" s="193">
        <v>1.0</v>
      </c>
      <c r="J30" s="195">
        <f t="shared" si="8"/>
        <v>1278.794183</v>
      </c>
      <c r="K30" s="139"/>
      <c r="L30" s="178">
        <f t="shared" si="17"/>
        <v>4.8514</v>
      </c>
      <c r="M30" s="162">
        <f t="shared" si="18"/>
        <v>1</v>
      </c>
      <c r="N30" s="162">
        <f t="shared" si="19"/>
        <v>4.8514</v>
      </c>
      <c r="O30" s="139"/>
      <c r="P30" s="139"/>
      <c r="Q30" s="178">
        <v>1245.0</v>
      </c>
      <c r="R30" s="190">
        <v>22.5</v>
      </c>
      <c r="S30" s="178">
        <f t="shared" si="9"/>
        <v>28.89</v>
      </c>
      <c r="T30" s="162">
        <f t="shared" si="10"/>
        <v>1</v>
      </c>
      <c r="U30" s="162">
        <f t="shared" si="11"/>
        <v>28.89</v>
      </c>
      <c r="V30" s="191">
        <f t="shared" si="12"/>
        <v>1278.794183</v>
      </c>
      <c r="W30" s="178">
        <f t="shared" ref="W30:X30" si="22">C30/100</f>
        <v>1.03</v>
      </c>
      <c r="X30" s="178">
        <f t="shared" si="22"/>
        <v>1.91</v>
      </c>
      <c r="Y30" s="178">
        <f t="shared" si="14"/>
        <v>28.89</v>
      </c>
      <c r="Z30" s="192">
        <f t="shared" si="15"/>
        <v>56.835297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7.0</v>
      </c>
      <c r="B31" s="193" t="s">
        <v>144</v>
      </c>
      <c r="C31" s="193">
        <v>101.0</v>
      </c>
      <c r="D31" s="193">
        <v>191.0</v>
      </c>
      <c r="E31" s="193">
        <v>2885.0</v>
      </c>
      <c r="F31" s="193">
        <f t="shared" si="5"/>
        <v>0</v>
      </c>
      <c r="G31" s="193">
        <f t="shared" si="6"/>
        <v>1252.227038</v>
      </c>
      <c r="H31" s="194">
        <f t="shared" si="7"/>
        <v>1252.227038</v>
      </c>
      <c r="I31" s="193">
        <v>1.0</v>
      </c>
      <c r="J31" s="195">
        <f t="shared" si="8"/>
        <v>1252.227038</v>
      </c>
      <c r="K31" s="139"/>
      <c r="L31" s="178">
        <f t="shared" si="17"/>
        <v>4.8514</v>
      </c>
      <c r="M31" s="162">
        <f t="shared" si="18"/>
        <v>1</v>
      </c>
      <c r="N31" s="162">
        <f t="shared" si="19"/>
        <v>4.8514</v>
      </c>
      <c r="O31" s="139"/>
      <c r="P31" s="139"/>
      <c r="Q31" s="178">
        <v>1250.0</v>
      </c>
      <c r="R31" s="190">
        <v>22.5</v>
      </c>
      <c r="S31" s="178">
        <f t="shared" si="9"/>
        <v>28.85</v>
      </c>
      <c r="T31" s="162">
        <f t="shared" si="10"/>
        <v>1</v>
      </c>
      <c r="U31" s="162">
        <f t="shared" si="11"/>
        <v>28.85</v>
      </c>
      <c r="V31" s="191">
        <f t="shared" si="12"/>
        <v>1252.227038</v>
      </c>
      <c r="W31" s="178">
        <f t="shared" ref="W31:X31" si="23">C31/100</f>
        <v>1.01</v>
      </c>
      <c r="X31" s="178">
        <f t="shared" si="23"/>
        <v>1.91</v>
      </c>
      <c r="Y31" s="178">
        <f t="shared" si="14"/>
        <v>28.85</v>
      </c>
      <c r="Z31" s="192">
        <f t="shared" si="15"/>
        <v>55.654535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8.0</v>
      </c>
      <c r="B32" s="193" t="s">
        <v>144</v>
      </c>
      <c r="C32" s="193">
        <v>102.0</v>
      </c>
      <c r="D32" s="193">
        <v>191.0</v>
      </c>
      <c r="E32" s="193">
        <v>2885.0</v>
      </c>
      <c r="F32" s="193">
        <f t="shared" si="5"/>
        <v>0</v>
      </c>
      <c r="G32" s="193">
        <f t="shared" si="6"/>
        <v>1264.625325</v>
      </c>
      <c r="H32" s="194">
        <f t="shared" si="7"/>
        <v>1264.625325</v>
      </c>
      <c r="I32" s="193">
        <v>1.0</v>
      </c>
      <c r="J32" s="195">
        <f t="shared" si="8"/>
        <v>1264.625325</v>
      </c>
      <c r="K32" s="139"/>
      <c r="L32" s="178">
        <f t="shared" si="17"/>
        <v>4.8514</v>
      </c>
      <c r="M32" s="162">
        <f t="shared" si="18"/>
        <v>1</v>
      </c>
      <c r="N32" s="162">
        <f t="shared" si="19"/>
        <v>4.8514</v>
      </c>
      <c r="O32" s="139"/>
      <c r="P32" s="139"/>
      <c r="Q32" s="178">
        <v>1250.0</v>
      </c>
      <c r="R32" s="190">
        <v>22.5</v>
      </c>
      <c r="S32" s="178">
        <f t="shared" si="9"/>
        <v>28.85</v>
      </c>
      <c r="T32" s="162">
        <f t="shared" si="10"/>
        <v>1</v>
      </c>
      <c r="U32" s="162">
        <f t="shared" si="11"/>
        <v>28.85</v>
      </c>
      <c r="V32" s="191">
        <f t="shared" si="12"/>
        <v>1264.625325</v>
      </c>
      <c r="W32" s="178">
        <f t="shared" ref="W32:X32" si="24">C32/100</f>
        <v>1.02</v>
      </c>
      <c r="X32" s="178">
        <f t="shared" si="24"/>
        <v>1.91</v>
      </c>
      <c r="Y32" s="178">
        <f t="shared" si="14"/>
        <v>28.85</v>
      </c>
      <c r="Z32" s="192">
        <f t="shared" si="15"/>
        <v>56.20557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9.0</v>
      </c>
      <c r="B33" s="193" t="s">
        <v>144</v>
      </c>
      <c r="C33" s="193">
        <v>102.0</v>
      </c>
      <c r="D33" s="193">
        <v>191.0</v>
      </c>
      <c r="E33" s="193">
        <v>2882.0</v>
      </c>
      <c r="F33" s="193">
        <f t="shared" si="5"/>
        <v>0</v>
      </c>
      <c r="G33" s="193">
        <f t="shared" si="6"/>
        <v>1263.31029</v>
      </c>
      <c r="H33" s="194">
        <f t="shared" si="7"/>
        <v>1263.31029</v>
      </c>
      <c r="I33" s="193">
        <v>1.0</v>
      </c>
      <c r="J33" s="195">
        <f t="shared" si="8"/>
        <v>1263.31029</v>
      </c>
      <c r="K33" s="139"/>
      <c r="L33" s="178">
        <f t="shared" si="17"/>
        <v>4.8514</v>
      </c>
      <c r="M33" s="162">
        <f t="shared" si="18"/>
        <v>1</v>
      </c>
      <c r="N33" s="162">
        <f t="shared" si="19"/>
        <v>4.8514</v>
      </c>
      <c r="O33" s="139"/>
      <c r="P33" s="139"/>
      <c r="Q33" s="178">
        <v>1255.0</v>
      </c>
      <c r="R33" s="190">
        <v>22.5</v>
      </c>
      <c r="S33" s="178">
        <f t="shared" si="9"/>
        <v>28.82</v>
      </c>
      <c r="T33" s="162">
        <f t="shared" si="10"/>
        <v>1</v>
      </c>
      <c r="U33" s="162">
        <f t="shared" si="11"/>
        <v>28.82</v>
      </c>
      <c r="V33" s="191">
        <f t="shared" si="12"/>
        <v>1263.31029</v>
      </c>
      <c r="W33" s="178">
        <f t="shared" ref="W33:X33" si="25">C33/100</f>
        <v>1.02</v>
      </c>
      <c r="X33" s="178">
        <f t="shared" si="25"/>
        <v>1.91</v>
      </c>
      <c r="Y33" s="178">
        <f t="shared" si="14"/>
        <v>28.82</v>
      </c>
      <c r="Z33" s="192">
        <f t="shared" si="15"/>
        <v>56.147124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10.0</v>
      </c>
      <c r="B34" s="193" t="s">
        <v>144</v>
      </c>
      <c r="C34" s="193">
        <v>102.0</v>
      </c>
      <c r="D34" s="193">
        <v>191.0</v>
      </c>
      <c r="E34" s="193">
        <v>2885.0</v>
      </c>
      <c r="F34" s="193">
        <f t="shared" si="5"/>
        <v>0</v>
      </c>
      <c r="G34" s="193">
        <f t="shared" si="6"/>
        <v>1264.625325</v>
      </c>
      <c r="H34" s="194">
        <f t="shared" si="7"/>
        <v>1264.625325</v>
      </c>
      <c r="I34" s="193">
        <v>1.0</v>
      </c>
      <c r="J34" s="195">
        <f t="shared" si="8"/>
        <v>1264.625325</v>
      </c>
      <c r="K34" s="139"/>
      <c r="L34" s="178">
        <f t="shared" si="17"/>
        <v>4.8514</v>
      </c>
      <c r="M34" s="162">
        <f t="shared" si="18"/>
        <v>1</v>
      </c>
      <c r="N34" s="162">
        <f t="shared" si="19"/>
        <v>4.8514</v>
      </c>
      <c r="O34" s="139"/>
      <c r="P34" s="139"/>
      <c r="Q34" s="178">
        <v>1250.0</v>
      </c>
      <c r="R34" s="190">
        <v>22.5</v>
      </c>
      <c r="S34" s="178">
        <f t="shared" si="9"/>
        <v>28.85</v>
      </c>
      <c r="T34" s="162">
        <f t="shared" si="10"/>
        <v>1</v>
      </c>
      <c r="U34" s="162">
        <f t="shared" si="11"/>
        <v>28.85</v>
      </c>
      <c r="V34" s="191">
        <f t="shared" si="12"/>
        <v>1264.625325</v>
      </c>
      <c r="W34" s="178">
        <f t="shared" ref="W34:X34" si="26">C34/100</f>
        <v>1.02</v>
      </c>
      <c r="X34" s="178">
        <f t="shared" si="26"/>
        <v>1.91</v>
      </c>
      <c r="Y34" s="178">
        <f t="shared" si="14"/>
        <v>28.85</v>
      </c>
      <c r="Z34" s="192">
        <f t="shared" si="15"/>
        <v>56.20557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11.0</v>
      </c>
      <c r="B35" s="193" t="s">
        <v>144</v>
      </c>
      <c r="C35" s="193">
        <v>102.0</v>
      </c>
      <c r="D35" s="193">
        <v>191.0</v>
      </c>
      <c r="E35" s="193">
        <v>2881.0</v>
      </c>
      <c r="F35" s="193">
        <f t="shared" si="5"/>
        <v>0</v>
      </c>
      <c r="G35" s="193">
        <f t="shared" si="6"/>
        <v>1262.871945</v>
      </c>
      <c r="H35" s="194">
        <f t="shared" si="7"/>
        <v>1262.871945</v>
      </c>
      <c r="I35" s="193">
        <v>1.0</v>
      </c>
      <c r="J35" s="195">
        <f t="shared" si="8"/>
        <v>1262.871945</v>
      </c>
      <c r="K35" s="139"/>
      <c r="L35" s="178">
        <f t="shared" si="17"/>
        <v>4.8514</v>
      </c>
      <c r="M35" s="162">
        <f t="shared" si="18"/>
        <v>1</v>
      </c>
      <c r="N35" s="162">
        <f t="shared" si="19"/>
        <v>4.8514</v>
      </c>
      <c r="O35" s="139"/>
      <c r="P35" s="139"/>
      <c r="Q35" s="178">
        <v>1250.0</v>
      </c>
      <c r="R35" s="190">
        <v>22.5</v>
      </c>
      <c r="S35" s="178">
        <f t="shared" si="9"/>
        <v>28.81</v>
      </c>
      <c r="T35" s="162">
        <f t="shared" si="10"/>
        <v>1</v>
      </c>
      <c r="U35" s="162">
        <f t="shared" si="11"/>
        <v>28.81</v>
      </c>
      <c r="V35" s="191">
        <f t="shared" si="12"/>
        <v>1262.871945</v>
      </c>
      <c r="W35" s="178">
        <f t="shared" ref="W35:X35" si="27">C35/100</f>
        <v>1.02</v>
      </c>
      <c r="X35" s="178">
        <f t="shared" si="27"/>
        <v>1.91</v>
      </c>
      <c r="Y35" s="178">
        <f t="shared" si="14"/>
        <v>28.81</v>
      </c>
      <c r="Z35" s="192">
        <f t="shared" si="15"/>
        <v>56.127642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12.0</v>
      </c>
      <c r="B36" s="193" t="s">
        <v>144</v>
      </c>
      <c r="C36" s="193">
        <v>102.0</v>
      </c>
      <c r="D36" s="193">
        <v>191.0</v>
      </c>
      <c r="E36" s="193">
        <v>2544.0</v>
      </c>
      <c r="F36" s="193">
        <f t="shared" si="5"/>
        <v>0</v>
      </c>
      <c r="G36" s="193">
        <f t="shared" si="6"/>
        <v>1115.14968</v>
      </c>
      <c r="H36" s="194">
        <f t="shared" si="7"/>
        <v>1115.14968</v>
      </c>
      <c r="I36" s="193">
        <v>1.0</v>
      </c>
      <c r="J36" s="195">
        <f t="shared" si="8"/>
        <v>1115.14968</v>
      </c>
      <c r="K36" s="139"/>
      <c r="L36" s="178">
        <f t="shared" si="17"/>
        <v>4.8514</v>
      </c>
      <c r="M36" s="162">
        <f t="shared" si="18"/>
        <v>1</v>
      </c>
      <c r="N36" s="162">
        <f t="shared" si="19"/>
        <v>4.8514</v>
      </c>
      <c r="O36" s="139"/>
      <c r="P36" s="139"/>
      <c r="Q36" s="178">
        <v>1105.0</v>
      </c>
      <c r="R36" s="190">
        <v>22.5</v>
      </c>
      <c r="S36" s="178">
        <f t="shared" si="9"/>
        <v>25.44</v>
      </c>
      <c r="T36" s="162">
        <f t="shared" si="10"/>
        <v>1</v>
      </c>
      <c r="U36" s="162">
        <f t="shared" si="11"/>
        <v>25.44</v>
      </c>
      <c r="V36" s="191">
        <f t="shared" si="12"/>
        <v>1115.14968</v>
      </c>
      <c r="W36" s="178">
        <f t="shared" ref="W36:X36" si="28">C36/100</f>
        <v>1.02</v>
      </c>
      <c r="X36" s="178">
        <f t="shared" si="28"/>
        <v>1.91</v>
      </c>
      <c r="Y36" s="178">
        <f t="shared" si="14"/>
        <v>25.44</v>
      </c>
      <c r="Z36" s="192">
        <f t="shared" si="15"/>
        <v>49.562208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13.0</v>
      </c>
      <c r="B37" s="193" t="s">
        <v>144</v>
      </c>
      <c r="C37" s="193">
        <v>102.0</v>
      </c>
      <c r="D37" s="193">
        <v>191.0</v>
      </c>
      <c r="E37" s="193">
        <v>2886.0</v>
      </c>
      <c r="F37" s="193">
        <f t="shared" si="5"/>
        <v>0</v>
      </c>
      <c r="G37" s="193">
        <f t="shared" si="6"/>
        <v>1265.06367</v>
      </c>
      <c r="H37" s="194">
        <f t="shared" si="7"/>
        <v>1265.06367</v>
      </c>
      <c r="I37" s="193">
        <v>1.0</v>
      </c>
      <c r="J37" s="195">
        <f t="shared" si="8"/>
        <v>1265.06367</v>
      </c>
      <c r="K37" s="139"/>
      <c r="L37" s="178">
        <f t="shared" si="17"/>
        <v>4.8514</v>
      </c>
      <c r="M37" s="162">
        <f t="shared" si="18"/>
        <v>1</v>
      </c>
      <c r="N37" s="162">
        <f t="shared" si="19"/>
        <v>4.8514</v>
      </c>
      <c r="O37" s="139"/>
      <c r="P37" s="139"/>
      <c r="Q37" s="178">
        <v>1250.0</v>
      </c>
      <c r="R37" s="190">
        <v>22.5</v>
      </c>
      <c r="S37" s="178">
        <f t="shared" si="9"/>
        <v>28.86</v>
      </c>
      <c r="T37" s="162">
        <f t="shared" si="10"/>
        <v>1</v>
      </c>
      <c r="U37" s="162">
        <f t="shared" si="11"/>
        <v>28.86</v>
      </c>
      <c r="V37" s="191">
        <f t="shared" si="12"/>
        <v>1265.06367</v>
      </c>
      <c r="W37" s="178">
        <f t="shared" ref="W37:X37" si="29">C37/100</f>
        <v>1.02</v>
      </c>
      <c r="X37" s="178">
        <f t="shared" si="29"/>
        <v>1.91</v>
      </c>
      <c r="Y37" s="178">
        <f t="shared" si="14"/>
        <v>28.86</v>
      </c>
      <c r="Z37" s="192">
        <f t="shared" si="15"/>
        <v>56.225052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14.0</v>
      </c>
      <c r="B38" s="193" t="s">
        <v>144</v>
      </c>
      <c r="C38" s="193">
        <v>102.0</v>
      </c>
      <c r="D38" s="193">
        <v>191.0</v>
      </c>
      <c r="E38" s="193">
        <v>2885.0</v>
      </c>
      <c r="F38" s="193">
        <f t="shared" si="5"/>
        <v>0</v>
      </c>
      <c r="G38" s="193">
        <f t="shared" si="6"/>
        <v>1264.625325</v>
      </c>
      <c r="H38" s="194">
        <f t="shared" si="7"/>
        <v>1264.625325</v>
      </c>
      <c r="I38" s="193">
        <v>1.0</v>
      </c>
      <c r="J38" s="195">
        <f t="shared" si="8"/>
        <v>1264.625325</v>
      </c>
      <c r="K38" s="139"/>
      <c r="L38" s="178">
        <f t="shared" si="17"/>
        <v>4.8514</v>
      </c>
      <c r="M38" s="162">
        <f t="shared" si="18"/>
        <v>1</v>
      </c>
      <c r="N38" s="162">
        <f t="shared" si="19"/>
        <v>4.8514</v>
      </c>
      <c r="O38" s="139"/>
      <c r="P38" s="139"/>
      <c r="Q38" s="178">
        <v>1285.0</v>
      </c>
      <c r="R38" s="190">
        <v>22.5</v>
      </c>
      <c r="S38" s="178">
        <f t="shared" si="9"/>
        <v>28.85</v>
      </c>
      <c r="T38" s="162">
        <f t="shared" si="10"/>
        <v>1</v>
      </c>
      <c r="U38" s="162">
        <f t="shared" si="11"/>
        <v>28.85</v>
      </c>
      <c r="V38" s="191">
        <f t="shared" si="12"/>
        <v>1264.625325</v>
      </c>
      <c r="W38" s="178">
        <f t="shared" ref="W38:X38" si="30">C38/100</f>
        <v>1.02</v>
      </c>
      <c r="X38" s="178">
        <f t="shared" si="30"/>
        <v>1.91</v>
      </c>
      <c r="Y38" s="178">
        <f t="shared" si="14"/>
        <v>28.85</v>
      </c>
      <c r="Z38" s="192">
        <f t="shared" si="15"/>
        <v>56.20557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15.0</v>
      </c>
      <c r="B39" s="193" t="s">
        <v>144</v>
      </c>
      <c r="C39" s="193">
        <v>104.0</v>
      </c>
      <c r="D39" s="193">
        <v>191.0</v>
      </c>
      <c r="E39" s="193">
        <v>2875.0</v>
      </c>
      <c r="F39" s="193">
        <f t="shared" si="5"/>
        <v>0</v>
      </c>
      <c r="G39" s="193">
        <f t="shared" si="6"/>
        <v>1284.9525</v>
      </c>
      <c r="H39" s="194">
        <f t="shared" si="7"/>
        <v>1284.9525</v>
      </c>
      <c r="I39" s="193">
        <v>1.0</v>
      </c>
      <c r="J39" s="195">
        <f t="shared" si="8"/>
        <v>1284.9525</v>
      </c>
      <c r="K39" s="139"/>
      <c r="L39" s="178">
        <f t="shared" si="17"/>
        <v>4.8514</v>
      </c>
      <c r="M39" s="162">
        <f t="shared" si="18"/>
        <v>1</v>
      </c>
      <c r="N39" s="162">
        <f t="shared" si="19"/>
        <v>4.8514</v>
      </c>
      <c r="O39" s="139"/>
      <c r="P39" s="139"/>
      <c r="Q39" s="178">
        <v>1295.0</v>
      </c>
      <c r="R39" s="190">
        <v>22.5</v>
      </c>
      <c r="S39" s="178">
        <f t="shared" si="9"/>
        <v>28.75</v>
      </c>
      <c r="T39" s="162">
        <f t="shared" si="10"/>
        <v>1</v>
      </c>
      <c r="U39" s="162">
        <f t="shared" si="11"/>
        <v>28.75</v>
      </c>
      <c r="V39" s="191">
        <f t="shared" si="12"/>
        <v>1284.9525</v>
      </c>
      <c r="W39" s="178">
        <f t="shared" ref="W39:X39" si="31">C39/100</f>
        <v>1.04</v>
      </c>
      <c r="X39" s="178">
        <f t="shared" si="31"/>
        <v>1.91</v>
      </c>
      <c r="Y39" s="178">
        <f t="shared" si="14"/>
        <v>28.75</v>
      </c>
      <c r="Z39" s="192">
        <f t="shared" si="15"/>
        <v>57.109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16.0</v>
      </c>
      <c r="B40" s="183" t="s">
        <v>67</v>
      </c>
      <c r="C40" s="184">
        <v>84.0</v>
      </c>
      <c r="D40" s="184">
        <v>191.0</v>
      </c>
      <c r="E40" s="184">
        <v>177.0</v>
      </c>
      <c r="F40" s="184">
        <f t="shared" si="5"/>
        <v>0.8</v>
      </c>
      <c r="G40" s="184">
        <f t="shared" si="6"/>
        <v>46.856502</v>
      </c>
      <c r="H40" s="185">
        <f t="shared" si="7"/>
        <v>37.4852016</v>
      </c>
      <c r="I40" s="184">
        <v>1.0</v>
      </c>
      <c r="J40" s="186">
        <f t="shared" si="8"/>
        <v>37.4852016</v>
      </c>
      <c r="K40" s="187"/>
      <c r="L40" s="188">
        <f t="shared" si="17"/>
        <v>4.8514</v>
      </c>
      <c r="M40" s="189">
        <f t="shared" si="18"/>
        <v>1</v>
      </c>
      <c r="N40" s="189">
        <f t="shared" si="19"/>
        <v>4.8514</v>
      </c>
      <c r="O40" s="187"/>
      <c r="P40" s="187"/>
      <c r="Q40" s="188">
        <v>53.0</v>
      </c>
      <c r="R40" s="190">
        <v>16.5</v>
      </c>
      <c r="S40" s="178">
        <f t="shared" si="9"/>
        <v>1.77</v>
      </c>
      <c r="T40" s="162">
        <f t="shared" si="10"/>
        <v>1</v>
      </c>
      <c r="U40" s="162">
        <f t="shared" si="11"/>
        <v>1.77</v>
      </c>
      <c r="V40" s="191">
        <f t="shared" si="12"/>
        <v>46.856502</v>
      </c>
      <c r="W40" s="178">
        <f t="shared" ref="W40:X40" si="32">C40/100</f>
        <v>0.84</v>
      </c>
      <c r="X40" s="178">
        <f t="shared" si="32"/>
        <v>1.91</v>
      </c>
      <c r="Y40" s="178">
        <f t="shared" si="14"/>
        <v>1.77</v>
      </c>
      <c r="Z40" s="192">
        <f t="shared" si="15"/>
        <v>2.839788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17.0</v>
      </c>
      <c r="B41" s="193" t="s">
        <v>59</v>
      </c>
      <c r="C41" s="193">
        <v>109.0</v>
      </c>
      <c r="D41" s="193">
        <v>191.0</v>
      </c>
      <c r="E41" s="193">
        <v>192.0</v>
      </c>
      <c r="F41" s="193">
        <f t="shared" si="5"/>
        <v>0</v>
      </c>
      <c r="G41" s="193">
        <f t="shared" si="6"/>
        <v>65.954592</v>
      </c>
      <c r="H41" s="194">
        <f t="shared" si="7"/>
        <v>65.954592</v>
      </c>
      <c r="I41" s="193">
        <v>1.0</v>
      </c>
      <c r="J41" s="195">
        <f t="shared" si="8"/>
        <v>65.954592</v>
      </c>
      <c r="K41" s="139"/>
      <c r="L41" s="178">
        <f t="shared" si="17"/>
        <v>4.8514</v>
      </c>
      <c r="M41" s="162">
        <f t="shared" si="18"/>
        <v>1</v>
      </c>
      <c r="N41" s="162">
        <f t="shared" si="19"/>
        <v>4.8514</v>
      </c>
      <c r="O41" s="139"/>
      <c r="P41" s="139"/>
      <c r="Q41" s="178">
        <v>62.0</v>
      </c>
      <c r="R41" s="190">
        <v>16.5</v>
      </c>
      <c r="S41" s="178">
        <f t="shared" si="9"/>
        <v>1.92</v>
      </c>
      <c r="T41" s="162">
        <f t="shared" si="10"/>
        <v>1</v>
      </c>
      <c r="U41" s="162">
        <f t="shared" si="11"/>
        <v>1.92</v>
      </c>
      <c r="V41" s="191">
        <f t="shared" si="12"/>
        <v>65.954592</v>
      </c>
      <c r="W41" s="178">
        <f t="shared" ref="W41:X41" si="33">C41/100</f>
        <v>1.09</v>
      </c>
      <c r="X41" s="178">
        <f t="shared" si="33"/>
        <v>1.91</v>
      </c>
      <c r="Y41" s="178">
        <f t="shared" si="14"/>
        <v>1.92</v>
      </c>
      <c r="Z41" s="192">
        <f t="shared" si="15"/>
        <v>3.997248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18.0</v>
      </c>
      <c r="B42" s="193" t="s">
        <v>59</v>
      </c>
      <c r="C42" s="193">
        <v>106.0</v>
      </c>
      <c r="D42" s="193">
        <v>191.0</v>
      </c>
      <c r="E42" s="193">
        <v>2864.0</v>
      </c>
      <c r="F42" s="193">
        <f t="shared" si="5"/>
        <v>0</v>
      </c>
      <c r="G42" s="193">
        <f t="shared" si="6"/>
        <v>956.744976</v>
      </c>
      <c r="H42" s="194">
        <f t="shared" si="7"/>
        <v>956.744976</v>
      </c>
      <c r="I42" s="193">
        <v>1.0</v>
      </c>
      <c r="J42" s="195">
        <f t="shared" si="8"/>
        <v>956.744976</v>
      </c>
      <c r="K42" s="139"/>
      <c r="L42" s="178">
        <f t="shared" si="17"/>
        <v>4.8514</v>
      </c>
      <c r="M42" s="162">
        <f t="shared" si="18"/>
        <v>1</v>
      </c>
      <c r="N42" s="162">
        <f t="shared" si="19"/>
        <v>4.8514</v>
      </c>
      <c r="O42" s="139"/>
      <c r="P42" s="139"/>
      <c r="Q42" s="178">
        <v>940.0</v>
      </c>
      <c r="R42" s="190">
        <v>16.5</v>
      </c>
      <c r="S42" s="178">
        <f t="shared" si="9"/>
        <v>28.64</v>
      </c>
      <c r="T42" s="162">
        <f t="shared" si="10"/>
        <v>1</v>
      </c>
      <c r="U42" s="162">
        <f t="shared" si="11"/>
        <v>28.64</v>
      </c>
      <c r="V42" s="191">
        <f t="shared" si="12"/>
        <v>956.744976</v>
      </c>
      <c r="W42" s="178">
        <f t="shared" ref="W42:X42" si="34">C42/100</f>
        <v>1.06</v>
      </c>
      <c r="X42" s="178">
        <f t="shared" si="34"/>
        <v>1.91</v>
      </c>
      <c r="Y42" s="178">
        <f t="shared" si="14"/>
        <v>28.64</v>
      </c>
      <c r="Z42" s="192">
        <f t="shared" si="15"/>
        <v>57.984544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19.0</v>
      </c>
      <c r="B43" s="193" t="s">
        <v>59</v>
      </c>
      <c r="C43" s="193">
        <v>106.0</v>
      </c>
      <c r="D43" s="193">
        <v>191.0</v>
      </c>
      <c r="E43" s="193">
        <v>2866.0</v>
      </c>
      <c r="F43" s="193">
        <f t="shared" si="5"/>
        <v>0</v>
      </c>
      <c r="G43" s="193">
        <f t="shared" si="6"/>
        <v>957.413094</v>
      </c>
      <c r="H43" s="194">
        <f t="shared" si="7"/>
        <v>957.413094</v>
      </c>
      <c r="I43" s="193">
        <v>1.0</v>
      </c>
      <c r="J43" s="195">
        <f t="shared" si="8"/>
        <v>957.413094</v>
      </c>
      <c r="K43" s="139"/>
      <c r="L43" s="178">
        <f t="shared" si="17"/>
        <v>4.8514</v>
      </c>
      <c r="M43" s="162">
        <f t="shared" si="18"/>
        <v>1</v>
      </c>
      <c r="N43" s="162">
        <f t="shared" si="19"/>
        <v>4.8514</v>
      </c>
      <c r="O43" s="139"/>
      <c r="P43" s="139"/>
      <c r="Q43" s="178">
        <v>955.0</v>
      </c>
      <c r="R43" s="190">
        <v>16.5</v>
      </c>
      <c r="S43" s="178">
        <f t="shared" si="9"/>
        <v>28.66</v>
      </c>
      <c r="T43" s="162">
        <f t="shared" si="10"/>
        <v>1</v>
      </c>
      <c r="U43" s="162">
        <f t="shared" si="11"/>
        <v>28.66</v>
      </c>
      <c r="V43" s="191">
        <f t="shared" si="12"/>
        <v>957.413094</v>
      </c>
      <c r="W43" s="178">
        <f t="shared" ref="W43:X43" si="35">C43/100</f>
        <v>1.06</v>
      </c>
      <c r="X43" s="178">
        <f t="shared" si="35"/>
        <v>1.91</v>
      </c>
      <c r="Y43" s="178">
        <f t="shared" si="14"/>
        <v>28.66</v>
      </c>
      <c r="Z43" s="192">
        <f t="shared" si="15"/>
        <v>58.025036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20.0</v>
      </c>
      <c r="B44" s="193" t="s">
        <v>59</v>
      </c>
      <c r="C44" s="193">
        <v>109.0</v>
      </c>
      <c r="D44" s="193">
        <v>191.0</v>
      </c>
      <c r="E44" s="193">
        <v>2820.0</v>
      </c>
      <c r="F44" s="193">
        <f t="shared" si="5"/>
        <v>0</v>
      </c>
      <c r="G44" s="193">
        <f t="shared" si="6"/>
        <v>968.70807</v>
      </c>
      <c r="H44" s="194">
        <f t="shared" si="7"/>
        <v>968.70807</v>
      </c>
      <c r="I44" s="193">
        <v>1.0</v>
      </c>
      <c r="J44" s="195">
        <f t="shared" si="8"/>
        <v>968.70807</v>
      </c>
      <c r="K44" s="139"/>
      <c r="L44" s="178">
        <f t="shared" si="17"/>
        <v>4.8514</v>
      </c>
      <c r="M44" s="162">
        <f t="shared" si="18"/>
        <v>1</v>
      </c>
      <c r="N44" s="162">
        <f t="shared" si="19"/>
        <v>4.8514</v>
      </c>
      <c r="O44" s="139"/>
      <c r="P44" s="139"/>
      <c r="Q44" s="178">
        <v>920.0</v>
      </c>
      <c r="R44" s="190">
        <v>16.5</v>
      </c>
      <c r="S44" s="178">
        <f t="shared" si="9"/>
        <v>28.2</v>
      </c>
      <c r="T44" s="162">
        <f t="shared" si="10"/>
        <v>1</v>
      </c>
      <c r="U44" s="162">
        <f t="shared" si="11"/>
        <v>28.2</v>
      </c>
      <c r="V44" s="191">
        <f t="shared" si="12"/>
        <v>968.70807</v>
      </c>
      <c r="W44" s="178">
        <f t="shared" ref="W44:X44" si="36">C44/100</f>
        <v>1.09</v>
      </c>
      <c r="X44" s="178">
        <f t="shared" si="36"/>
        <v>1.91</v>
      </c>
      <c r="Y44" s="178">
        <f t="shared" si="14"/>
        <v>28.2</v>
      </c>
      <c r="Z44" s="192">
        <f t="shared" si="15"/>
        <v>58.70958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21.0</v>
      </c>
      <c r="B45" s="193" t="s">
        <v>59</v>
      </c>
      <c r="C45" s="193">
        <v>107.0</v>
      </c>
      <c r="D45" s="193">
        <v>191.0</v>
      </c>
      <c r="E45" s="193">
        <v>2861.0</v>
      </c>
      <c r="F45" s="193">
        <f t="shared" si="5"/>
        <v>0</v>
      </c>
      <c r="G45" s="193">
        <f t="shared" si="6"/>
        <v>964.7592405</v>
      </c>
      <c r="H45" s="194">
        <f t="shared" si="7"/>
        <v>964.7592405</v>
      </c>
      <c r="I45" s="193">
        <v>1.0</v>
      </c>
      <c r="J45" s="195">
        <f t="shared" si="8"/>
        <v>964.7592405</v>
      </c>
      <c r="K45" s="139"/>
      <c r="L45" s="178">
        <f t="shared" si="17"/>
        <v>4.8514</v>
      </c>
      <c r="M45" s="162">
        <f t="shared" si="18"/>
        <v>1</v>
      </c>
      <c r="N45" s="162">
        <f t="shared" si="19"/>
        <v>4.8514</v>
      </c>
      <c r="O45" s="139"/>
      <c r="P45" s="139"/>
      <c r="Q45" s="178">
        <v>935.0</v>
      </c>
      <c r="R45" s="190">
        <v>16.5</v>
      </c>
      <c r="S45" s="178">
        <f t="shared" si="9"/>
        <v>28.61</v>
      </c>
      <c r="T45" s="162">
        <f t="shared" si="10"/>
        <v>1</v>
      </c>
      <c r="U45" s="162">
        <f t="shared" si="11"/>
        <v>28.61</v>
      </c>
      <c r="V45" s="191">
        <f t="shared" si="12"/>
        <v>964.7592405</v>
      </c>
      <c r="W45" s="178">
        <f t="shared" ref="W45:X45" si="37">C45/100</f>
        <v>1.07</v>
      </c>
      <c r="X45" s="178">
        <f t="shared" si="37"/>
        <v>1.91</v>
      </c>
      <c r="Y45" s="178">
        <f t="shared" si="14"/>
        <v>28.61</v>
      </c>
      <c r="Z45" s="192">
        <f t="shared" si="15"/>
        <v>58.470257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22.0</v>
      </c>
      <c r="B46" s="183" t="s">
        <v>147</v>
      </c>
      <c r="C46" s="184">
        <v>92.0</v>
      </c>
      <c r="D46" s="184">
        <v>184.0</v>
      </c>
      <c r="E46" s="184">
        <v>183.0</v>
      </c>
      <c r="F46" s="184">
        <f t="shared" si="5"/>
        <v>0.8</v>
      </c>
      <c r="G46" s="184">
        <f t="shared" si="6"/>
        <v>92.93472</v>
      </c>
      <c r="H46" s="185">
        <f t="shared" si="7"/>
        <v>74.347776</v>
      </c>
      <c r="I46" s="184">
        <v>1.0</v>
      </c>
      <c r="J46" s="186">
        <f t="shared" si="8"/>
        <v>74.347776</v>
      </c>
      <c r="K46" s="187"/>
      <c r="L46" s="188">
        <f t="shared" si="17"/>
        <v>4.6736</v>
      </c>
      <c r="M46" s="189">
        <f t="shared" si="18"/>
        <v>1</v>
      </c>
      <c r="N46" s="189">
        <f t="shared" si="19"/>
        <v>4.6736</v>
      </c>
      <c r="O46" s="187"/>
      <c r="P46" s="187"/>
      <c r="Q46" s="188">
        <v>85.0</v>
      </c>
      <c r="R46" s="190">
        <v>30.0</v>
      </c>
      <c r="S46" s="178">
        <f t="shared" si="9"/>
        <v>1.83</v>
      </c>
      <c r="T46" s="162">
        <f t="shared" si="10"/>
        <v>1</v>
      </c>
      <c r="U46" s="162">
        <f t="shared" si="11"/>
        <v>1.83</v>
      </c>
      <c r="V46" s="191">
        <f t="shared" si="12"/>
        <v>92.93472</v>
      </c>
      <c r="W46" s="178">
        <f t="shared" ref="W46:X46" si="38">C46/100</f>
        <v>0.92</v>
      </c>
      <c r="X46" s="178">
        <f t="shared" si="38"/>
        <v>1.84</v>
      </c>
      <c r="Y46" s="178">
        <f t="shared" si="14"/>
        <v>1.83</v>
      </c>
      <c r="Z46" s="192">
        <f t="shared" si="15"/>
        <v>3.097824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23.0</v>
      </c>
      <c r="B47" s="193" t="s">
        <v>90</v>
      </c>
      <c r="C47" s="193">
        <v>104.0</v>
      </c>
      <c r="D47" s="193">
        <v>184.0</v>
      </c>
      <c r="E47" s="193">
        <v>185.0</v>
      </c>
      <c r="F47" s="193">
        <f t="shared" si="5"/>
        <v>0</v>
      </c>
      <c r="G47" s="193">
        <f t="shared" si="6"/>
        <v>106.2048</v>
      </c>
      <c r="H47" s="194">
        <f t="shared" si="7"/>
        <v>106.2048</v>
      </c>
      <c r="I47" s="193">
        <v>1.0</v>
      </c>
      <c r="J47" s="195">
        <f t="shared" si="8"/>
        <v>106.2048</v>
      </c>
      <c r="K47" s="139"/>
      <c r="L47" s="178">
        <f t="shared" si="17"/>
        <v>4.6736</v>
      </c>
      <c r="M47" s="162">
        <f t="shared" si="18"/>
        <v>1</v>
      </c>
      <c r="N47" s="162">
        <f t="shared" si="19"/>
        <v>4.6736</v>
      </c>
      <c r="O47" s="139"/>
      <c r="P47" s="139"/>
      <c r="Q47" s="178">
        <v>107.0</v>
      </c>
      <c r="R47" s="190">
        <v>30.0</v>
      </c>
      <c r="S47" s="178">
        <f t="shared" si="9"/>
        <v>1.85</v>
      </c>
      <c r="T47" s="162">
        <f t="shared" si="10"/>
        <v>1</v>
      </c>
      <c r="U47" s="162">
        <f t="shared" si="11"/>
        <v>1.85</v>
      </c>
      <c r="V47" s="191">
        <f t="shared" si="12"/>
        <v>106.2048</v>
      </c>
      <c r="W47" s="178">
        <f t="shared" ref="W47:X47" si="39">C47/100</f>
        <v>1.04</v>
      </c>
      <c r="X47" s="178">
        <f t="shared" si="39"/>
        <v>1.84</v>
      </c>
      <c r="Y47" s="178">
        <f t="shared" si="14"/>
        <v>1.85</v>
      </c>
      <c r="Z47" s="192">
        <f t="shared" si="15"/>
        <v>3.54016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24.0</v>
      </c>
      <c r="B48" s="193" t="s">
        <v>90</v>
      </c>
      <c r="C48" s="193">
        <v>103.0</v>
      </c>
      <c r="D48" s="193">
        <v>184.0</v>
      </c>
      <c r="E48" s="193">
        <v>2879.0</v>
      </c>
      <c r="F48" s="193">
        <f t="shared" si="5"/>
        <v>0</v>
      </c>
      <c r="G48" s="193">
        <f t="shared" si="6"/>
        <v>1636.88424</v>
      </c>
      <c r="H48" s="194">
        <f t="shared" si="7"/>
        <v>1636.88424</v>
      </c>
      <c r="I48" s="193">
        <v>1.0</v>
      </c>
      <c r="J48" s="195">
        <f t="shared" si="8"/>
        <v>1636.88424</v>
      </c>
      <c r="K48" s="139"/>
      <c r="L48" s="178">
        <f t="shared" si="17"/>
        <v>4.6736</v>
      </c>
      <c r="M48" s="162">
        <f t="shared" si="18"/>
        <v>1</v>
      </c>
      <c r="N48" s="162">
        <f t="shared" si="19"/>
        <v>4.6736</v>
      </c>
      <c r="O48" s="139"/>
      <c r="P48" s="139"/>
      <c r="Q48" s="178">
        <v>1640.0</v>
      </c>
      <c r="R48" s="190">
        <v>30.0</v>
      </c>
      <c r="S48" s="178">
        <f t="shared" si="9"/>
        <v>28.79</v>
      </c>
      <c r="T48" s="162">
        <f t="shared" si="10"/>
        <v>1</v>
      </c>
      <c r="U48" s="162">
        <f t="shared" si="11"/>
        <v>28.79</v>
      </c>
      <c r="V48" s="191">
        <f t="shared" si="12"/>
        <v>1636.88424</v>
      </c>
      <c r="W48" s="178">
        <f t="shared" ref="W48:X48" si="40">C48/100</f>
        <v>1.03</v>
      </c>
      <c r="X48" s="178">
        <f t="shared" si="40"/>
        <v>1.84</v>
      </c>
      <c r="Y48" s="178">
        <f t="shared" si="14"/>
        <v>28.79</v>
      </c>
      <c r="Z48" s="192">
        <f t="shared" si="15"/>
        <v>54.562808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25.0</v>
      </c>
      <c r="B49" s="193" t="s">
        <v>90</v>
      </c>
      <c r="C49" s="193">
        <v>102.0</v>
      </c>
      <c r="D49" s="193">
        <v>184.0</v>
      </c>
      <c r="E49" s="193">
        <v>2880.0</v>
      </c>
      <c r="F49" s="193">
        <f t="shared" si="5"/>
        <v>0</v>
      </c>
      <c r="G49" s="193">
        <f t="shared" si="6"/>
        <v>1621.5552</v>
      </c>
      <c r="H49" s="194">
        <f t="shared" si="7"/>
        <v>1621.5552</v>
      </c>
      <c r="I49" s="193">
        <v>1.0</v>
      </c>
      <c r="J49" s="195">
        <f t="shared" si="8"/>
        <v>1621.5552</v>
      </c>
      <c r="K49" s="139"/>
      <c r="L49" s="178">
        <f t="shared" si="17"/>
        <v>4.6736</v>
      </c>
      <c r="M49" s="162">
        <f t="shared" si="18"/>
        <v>1</v>
      </c>
      <c r="N49" s="162">
        <f t="shared" si="19"/>
        <v>4.6736</v>
      </c>
      <c r="O49" s="139"/>
      <c r="P49" s="139"/>
      <c r="Q49" s="178">
        <v>1640.0</v>
      </c>
      <c r="R49" s="190">
        <v>30.0</v>
      </c>
      <c r="S49" s="178">
        <f t="shared" si="9"/>
        <v>28.8</v>
      </c>
      <c r="T49" s="162">
        <f t="shared" si="10"/>
        <v>1</v>
      </c>
      <c r="U49" s="162">
        <f t="shared" si="11"/>
        <v>28.8</v>
      </c>
      <c r="V49" s="191">
        <f t="shared" si="12"/>
        <v>1621.5552</v>
      </c>
      <c r="W49" s="178">
        <f t="shared" ref="W49:X49" si="41">C49/100</f>
        <v>1.02</v>
      </c>
      <c r="X49" s="178">
        <f t="shared" si="41"/>
        <v>1.84</v>
      </c>
      <c r="Y49" s="178">
        <f t="shared" si="14"/>
        <v>28.8</v>
      </c>
      <c r="Z49" s="192">
        <f t="shared" si="15"/>
        <v>54.05184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26.0</v>
      </c>
      <c r="B50" s="193" t="s">
        <v>90</v>
      </c>
      <c r="C50" s="193">
        <v>102.0</v>
      </c>
      <c r="D50" s="193">
        <v>184.0</v>
      </c>
      <c r="E50" s="193">
        <v>2875.0</v>
      </c>
      <c r="F50" s="193">
        <f t="shared" si="5"/>
        <v>0</v>
      </c>
      <c r="G50" s="193">
        <f t="shared" si="6"/>
        <v>1618.74</v>
      </c>
      <c r="H50" s="194">
        <f t="shared" si="7"/>
        <v>1618.74</v>
      </c>
      <c r="I50" s="193">
        <v>1.0</v>
      </c>
      <c r="J50" s="195">
        <f t="shared" si="8"/>
        <v>1618.74</v>
      </c>
      <c r="K50" s="139"/>
      <c r="L50" s="197"/>
      <c r="M50" s="198">
        <f t="shared" si="18"/>
        <v>1</v>
      </c>
      <c r="N50" s="198"/>
      <c r="O50" s="139"/>
      <c r="P50" s="139"/>
      <c r="Q50" s="178">
        <v>1610.0</v>
      </c>
      <c r="R50" s="190">
        <v>30.0</v>
      </c>
      <c r="S50" s="178">
        <f t="shared" si="9"/>
        <v>28.75</v>
      </c>
      <c r="T50" s="162">
        <f t="shared" si="10"/>
        <v>1</v>
      </c>
      <c r="U50" s="162">
        <f t="shared" si="11"/>
        <v>28.75</v>
      </c>
      <c r="V50" s="191">
        <f t="shared" si="12"/>
        <v>1618.74</v>
      </c>
      <c r="W50" s="178">
        <f t="shared" ref="W50:X50" si="42">C50/100</f>
        <v>1.02</v>
      </c>
      <c r="X50" s="178">
        <f t="shared" si="42"/>
        <v>1.84</v>
      </c>
      <c r="Y50" s="178">
        <f t="shared" si="14"/>
        <v>28.75</v>
      </c>
      <c r="Z50" s="192">
        <f t="shared" si="15"/>
        <v>53.958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27.0</v>
      </c>
      <c r="B51" s="193" t="s">
        <v>90</v>
      </c>
      <c r="C51" s="193">
        <v>102.0</v>
      </c>
      <c r="D51" s="193">
        <v>184.0</v>
      </c>
      <c r="E51" s="193">
        <v>2875.0</v>
      </c>
      <c r="F51" s="193">
        <f t="shared" si="5"/>
        <v>0</v>
      </c>
      <c r="G51" s="193">
        <f t="shared" si="6"/>
        <v>1618.74</v>
      </c>
      <c r="H51" s="194">
        <f t="shared" si="7"/>
        <v>1618.74</v>
      </c>
      <c r="I51" s="193">
        <v>1.0</v>
      </c>
      <c r="J51" s="195">
        <f t="shared" si="8"/>
        <v>1618.74</v>
      </c>
      <c r="K51" s="139"/>
      <c r="L51" s="197"/>
      <c r="M51" s="198">
        <f t="shared" si="18"/>
        <v>1</v>
      </c>
      <c r="N51" s="198"/>
      <c r="O51" s="139"/>
      <c r="P51" s="139"/>
      <c r="Q51" s="178">
        <v>1645.0</v>
      </c>
      <c r="R51" s="190">
        <v>30.0</v>
      </c>
      <c r="S51" s="178">
        <f t="shared" si="9"/>
        <v>28.75</v>
      </c>
      <c r="T51" s="162">
        <f t="shared" si="10"/>
        <v>1</v>
      </c>
      <c r="U51" s="162">
        <f t="shared" si="11"/>
        <v>28.75</v>
      </c>
      <c r="V51" s="191">
        <f t="shared" si="12"/>
        <v>1618.74</v>
      </c>
      <c r="W51" s="178">
        <f t="shared" ref="W51:X51" si="43">C51/100</f>
        <v>1.02</v>
      </c>
      <c r="X51" s="178">
        <f t="shared" si="43"/>
        <v>1.84</v>
      </c>
      <c r="Y51" s="178">
        <f t="shared" si="14"/>
        <v>28.75</v>
      </c>
      <c r="Z51" s="192">
        <f t="shared" si="15"/>
        <v>53.958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28.0</v>
      </c>
      <c r="B52" s="193" t="s">
        <v>90</v>
      </c>
      <c r="C52" s="193">
        <v>102.0</v>
      </c>
      <c r="D52" s="193">
        <v>184.0</v>
      </c>
      <c r="E52" s="193">
        <v>2760.0</v>
      </c>
      <c r="F52" s="193">
        <f t="shared" si="5"/>
        <v>0</v>
      </c>
      <c r="G52" s="193">
        <f t="shared" si="6"/>
        <v>1553.9904</v>
      </c>
      <c r="H52" s="194">
        <f t="shared" si="7"/>
        <v>1553.9904</v>
      </c>
      <c r="I52" s="193">
        <v>1.0</v>
      </c>
      <c r="J52" s="195">
        <f t="shared" si="8"/>
        <v>1553.9904</v>
      </c>
      <c r="K52" s="139"/>
      <c r="L52" s="197"/>
      <c r="M52" s="198">
        <f t="shared" si="18"/>
        <v>1</v>
      </c>
      <c r="N52" s="198"/>
      <c r="O52" s="139"/>
      <c r="P52" s="139"/>
      <c r="Q52" s="178">
        <v>1555.0</v>
      </c>
      <c r="R52" s="190">
        <v>30.0</v>
      </c>
      <c r="S52" s="178">
        <f t="shared" si="9"/>
        <v>27.6</v>
      </c>
      <c r="T52" s="162">
        <f t="shared" si="10"/>
        <v>1</v>
      </c>
      <c r="U52" s="162">
        <f t="shared" si="11"/>
        <v>27.6</v>
      </c>
      <c r="V52" s="191">
        <f t="shared" si="12"/>
        <v>1553.9904</v>
      </c>
      <c r="W52" s="178">
        <f t="shared" ref="W52:X52" si="44">C52/100</f>
        <v>1.02</v>
      </c>
      <c r="X52" s="178">
        <f t="shared" si="44"/>
        <v>1.84</v>
      </c>
      <c r="Y52" s="178">
        <f t="shared" si="14"/>
        <v>27.6</v>
      </c>
      <c r="Z52" s="192">
        <f t="shared" si="15"/>
        <v>51.79968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2">
        <v>101.0</v>
      </c>
      <c r="B53" s="193"/>
      <c r="C53" s="193"/>
      <c r="D53" s="193"/>
      <c r="E53" s="193"/>
      <c r="F53" s="193">
        <f t="shared" si="5"/>
        <v>0</v>
      </c>
      <c r="G53" s="193">
        <f t="shared" si="6"/>
        <v>0</v>
      </c>
      <c r="H53" s="194">
        <f t="shared" si="7"/>
        <v>0</v>
      </c>
      <c r="I53" s="193"/>
      <c r="J53" s="195">
        <f t="shared" si="8"/>
        <v>0</v>
      </c>
      <c r="K53" s="139"/>
      <c r="L53" s="197"/>
      <c r="M53" s="198"/>
      <c r="N53" s="198"/>
      <c r="O53" s="139"/>
      <c r="P53" s="139"/>
      <c r="Q53" s="195"/>
      <c r="R53" s="141"/>
      <c r="S53" s="199">
        <f t="shared" si="9"/>
        <v>0</v>
      </c>
      <c r="T53" s="200" t="str">
        <f t="shared" si="10"/>
        <v/>
      </c>
      <c r="U53" s="200">
        <f t="shared" si="11"/>
        <v>0</v>
      </c>
      <c r="V53" s="203"/>
      <c r="W53" s="199">
        <f t="shared" ref="W53:X53" si="45">C53/100</f>
        <v>0</v>
      </c>
      <c r="X53" s="199">
        <f t="shared" si="45"/>
        <v>0</v>
      </c>
      <c r="Y53" s="199">
        <f t="shared" si="14"/>
        <v>0</v>
      </c>
      <c r="Z53" s="202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2">
        <v>102.0</v>
      </c>
      <c r="B54" s="193"/>
      <c r="C54" s="193"/>
      <c r="D54" s="193"/>
      <c r="E54" s="193"/>
      <c r="F54" s="193">
        <f t="shared" si="5"/>
        <v>0</v>
      </c>
      <c r="G54" s="193">
        <f t="shared" si="6"/>
        <v>0</v>
      </c>
      <c r="H54" s="194">
        <f t="shared" si="7"/>
        <v>0</v>
      </c>
      <c r="I54" s="193"/>
      <c r="J54" s="195">
        <f t="shared" si="8"/>
        <v>0</v>
      </c>
      <c r="K54" s="139"/>
      <c r="L54" s="197"/>
      <c r="M54" s="198"/>
      <c r="N54" s="198"/>
      <c r="O54" s="139"/>
      <c r="P54" s="139"/>
      <c r="Q54" s="195"/>
      <c r="R54" s="141"/>
      <c r="S54" s="199">
        <f t="shared" si="9"/>
        <v>0</v>
      </c>
      <c r="T54" s="200" t="str">
        <f t="shared" si="10"/>
        <v/>
      </c>
      <c r="U54" s="200">
        <f t="shared" si="11"/>
        <v>0</v>
      </c>
      <c r="V54" s="203"/>
      <c r="W54" s="199">
        <f t="shared" ref="W54:X54" si="46">C54/100</f>
        <v>0</v>
      </c>
      <c r="X54" s="199">
        <f t="shared" si="46"/>
        <v>0</v>
      </c>
      <c r="Y54" s="199">
        <f t="shared" si="14"/>
        <v>0</v>
      </c>
      <c r="Z54" s="202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2">
        <v>103.0</v>
      </c>
      <c r="B55" s="193"/>
      <c r="C55" s="193"/>
      <c r="D55" s="193"/>
      <c r="E55" s="193"/>
      <c r="F55" s="193">
        <f t="shared" si="5"/>
        <v>0</v>
      </c>
      <c r="G55" s="193">
        <f t="shared" si="6"/>
        <v>0</v>
      </c>
      <c r="H55" s="194">
        <f t="shared" si="7"/>
        <v>0</v>
      </c>
      <c r="I55" s="193"/>
      <c r="J55" s="195">
        <f t="shared" si="8"/>
        <v>0</v>
      </c>
      <c r="K55" s="139"/>
      <c r="L55" s="197"/>
      <c r="M55" s="198"/>
      <c r="N55" s="198"/>
      <c r="O55" s="139"/>
      <c r="P55" s="139"/>
      <c r="Q55" s="195"/>
      <c r="R55" s="141"/>
      <c r="S55" s="199">
        <f t="shared" si="9"/>
        <v>0</v>
      </c>
      <c r="T55" s="200" t="str">
        <f t="shared" si="10"/>
        <v/>
      </c>
      <c r="U55" s="200">
        <f t="shared" si="11"/>
        <v>0</v>
      </c>
      <c r="V55" s="203"/>
      <c r="W55" s="199">
        <f t="shared" ref="W55:X55" si="47">C55/100</f>
        <v>0</v>
      </c>
      <c r="X55" s="199">
        <f t="shared" si="47"/>
        <v>0</v>
      </c>
      <c r="Y55" s="199">
        <f t="shared" si="14"/>
        <v>0</v>
      </c>
      <c r="Z55" s="202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2">
        <v>104.0</v>
      </c>
      <c r="B56" s="193"/>
      <c r="C56" s="193"/>
      <c r="D56" s="193"/>
      <c r="E56" s="193"/>
      <c r="F56" s="193">
        <f t="shared" si="5"/>
        <v>0</v>
      </c>
      <c r="G56" s="193">
        <f t="shared" si="6"/>
        <v>0</v>
      </c>
      <c r="H56" s="194">
        <f t="shared" si="7"/>
        <v>0</v>
      </c>
      <c r="I56" s="193"/>
      <c r="J56" s="195">
        <f t="shared" si="8"/>
        <v>0</v>
      </c>
      <c r="K56" s="139"/>
      <c r="L56" s="197"/>
      <c r="M56" s="198"/>
      <c r="N56" s="198"/>
      <c r="O56" s="139"/>
      <c r="P56" s="139"/>
      <c r="Q56" s="195"/>
      <c r="R56" s="141"/>
      <c r="S56" s="199">
        <f t="shared" si="9"/>
        <v>0</v>
      </c>
      <c r="T56" s="200" t="str">
        <f t="shared" si="10"/>
        <v/>
      </c>
      <c r="U56" s="200">
        <f t="shared" si="11"/>
        <v>0</v>
      </c>
      <c r="V56" s="203"/>
      <c r="W56" s="199">
        <f t="shared" ref="W56:X56" si="48">C56/100</f>
        <v>0</v>
      </c>
      <c r="X56" s="199">
        <f t="shared" si="48"/>
        <v>0</v>
      </c>
      <c r="Y56" s="199">
        <f t="shared" si="14"/>
        <v>0</v>
      </c>
      <c r="Z56" s="202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2">
        <v>105.0</v>
      </c>
      <c r="B57" s="193"/>
      <c r="C57" s="193"/>
      <c r="D57" s="193"/>
      <c r="E57" s="193"/>
      <c r="F57" s="193">
        <f t="shared" si="5"/>
        <v>0</v>
      </c>
      <c r="G57" s="193">
        <f t="shared" si="6"/>
        <v>0</v>
      </c>
      <c r="H57" s="194">
        <f t="shared" si="7"/>
        <v>0</v>
      </c>
      <c r="I57" s="193"/>
      <c r="J57" s="195">
        <f t="shared" si="8"/>
        <v>0</v>
      </c>
      <c r="K57" s="139"/>
      <c r="L57" s="197"/>
      <c r="M57" s="198"/>
      <c r="N57" s="198"/>
      <c r="O57" s="139"/>
      <c r="P57" s="139"/>
      <c r="Q57" s="195"/>
      <c r="R57" s="141"/>
      <c r="S57" s="199">
        <f t="shared" si="9"/>
        <v>0</v>
      </c>
      <c r="T57" s="200" t="str">
        <f t="shared" si="10"/>
        <v/>
      </c>
      <c r="U57" s="200">
        <f t="shared" si="11"/>
        <v>0</v>
      </c>
      <c r="V57" s="203"/>
      <c r="W57" s="199">
        <f t="shared" ref="W57:X57" si="49">C57/100</f>
        <v>0</v>
      </c>
      <c r="X57" s="199">
        <f t="shared" si="49"/>
        <v>0</v>
      </c>
      <c r="Y57" s="199">
        <f t="shared" si="14"/>
        <v>0</v>
      </c>
      <c r="Z57" s="202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2">
        <v>106.0</v>
      </c>
      <c r="B58" s="193"/>
      <c r="C58" s="193"/>
      <c r="D58" s="193"/>
      <c r="E58" s="193"/>
      <c r="F58" s="193">
        <f t="shared" si="5"/>
        <v>0</v>
      </c>
      <c r="G58" s="193">
        <f t="shared" si="6"/>
        <v>0</v>
      </c>
      <c r="H58" s="194">
        <f t="shared" si="7"/>
        <v>0</v>
      </c>
      <c r="I58" s="193"/>
      <c r="J58" s="195">
        <f t="shared" si="8"/>
        <v>0</v>
      </c>
      <c r="K58" s="139"/>
      <c r="L58" s="197"/>
      <c r="M58" s="198"/>
      <c r="N58" s="198"/>
      <c r="O58" s="139"/>
      <c r="P58" s="139"/>
      <c r="Q58" s="195"/>
      <c r="R58" s="141"/>
      <c r="S58" s="199">
        <f t="shared" si="9"/>
        <v>0</v>
      </c>
      <c r="T58" s="200" t="str">
        <f t="shared" si="10"/>
        <v/>
      </c>
      <c r="U58" s="200">
        <f t="shared" si="11"/>
        <v>0</v>
      </c>
      <c r="V58" s="203"/>
      <c r="W58" s="199">
        <f t="shared" ref="W58:X58" si="50">C58/100</f>
        <v>0</v>
      </c>
      <c r="X58" s="199">
        <f t="shared" si="50"/>
        <v>0</v>
      </c>
      <c r="Y58" s="199">
        <f t="shared" si="14"/>
        <v>0</v>
      </c>
      <c r="Z58" s="202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2">
        <v>107.0</v>
      </c>
      <c r="B59" s="193"/>
      <c r="C59" s="193"/>
      <c r="D59" s="193"/>
      <c r="E59" s="193"/>
      <c r="F59" s="193">
        <f t="shared" si="5"/>
        <v>0</v>
      </c>
      <c r="G59" s="193">
        <f t="shared" si="6"/>
        <v>0</v>
      </c>
      <c r="H59" s="194">
        <f t="shared" si="7"/>
        <v>0</v>
      </c>
      <c r="I59" s="193"/>
      <c r="J59" s="195">
        <f t="shared" si="8"/>
        <v>0</v>
      </c>
      <c r="K59" s="139"/>
      <c r="L59" s="197"/>
      <c r="M59" s="198"/>
      <c r="N59" s="198"/>
      <c r="O59" s="139"/>
      <c r="P59" s="139"/>
      <c r="Q59" s="195"/>
      <c r="R59" s="141"/>
      <c r="S59" s="199">
        <f t="shared" si="9"/>
        <v>0</v>
      </c>
      <c r="T59" s="200" t="str">
        <f t="shared" si="10"/>
        <v/>
      </c>
      <c r="U59" s="200">
        <f t="shared" si="11"/>
        <v>0</v>
      </c>
      <c r="V59" s="203"/>
      <c r="W59" s="199">
        <f t="shared" ref="W59:X59" si="51">C59/100</f>
        <v>0</v>
      </c>
      <c r="X59" s="199">
        <f t="shared" si="51"/>
        <v>0</v>
      </c>
      <c r="Y59" s="199">
        <f t="shared" si="14"/>
        <v>0</v>
      </c>
      <c r="Z59" s="202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108.0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2">C60/100</f>
        <v>0</v>
      </c>
      <c r="X60" s="199">
        <f t="shared" si="52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109.0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3">C61/100</f>
        <v>0</v>
      </c>
      <c r="X61" s="199">
        <f t="shared" si="53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110.0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4">C62/100</f>
        <v>0</v>
      </c>
      <c r="X62" s="199">
        <f t="shared" si="54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111.0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5">C63/100</f>
        <v>0</v>
      </c>
      <c r="X63" s="199">
        <f t="shared" si="55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112.0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6">C64/100</f>
        <v>0</v>
      </c>
      <c r="X64" s="199">
        <f t="shared" si="56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113.0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7">C65/100</f>
        <v>0</v>
      </c>
      <c r="X65" s="199">
        <f t="shared" si="57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114.0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8">C66/100</f>
        <v>0</v>
      </c>
      <c r="X66" s="199">
        <f t="shared" si="58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115.0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9">C67/100</f>
        <v>0</v>
      </c>
      <c r="X67" s="199">
        <f t="shared" si="59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116.0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60">C68/100</f>
        <v>0</v>
      </c>
      <c r="X68" s="199">
        <f t="shared" si="60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117.0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61">C69/100</f>
        <v>0</v>
      </c>
      <c r="X69" s="199">
        <f t="shared" si="61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118.0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2">C70/100</f>
        <v>0</v>
      </c>
      <c r="X70" s="199">
        <f t="shared" si="62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119.0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3">C71/100</f>
        <v>0</v>
      </c>
      <c r="X71" s="199">
        <f t="shared" si="63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120.0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4">C72/100</f>
        <v>0</v>
      </c>
      <c r="X72" s="199">
        <f t="shared" si="64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121.0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5">C73/100</f>
        <v>0</v>
      </c>
      <c r="X73" s="199">
        <f t="shared" si="65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122.0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6">C74/100</f>
        <v>0</v>
      </c>
      <c r="X74" s="199">
        <f t="shared" si="66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123.0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7">C75/100</f>
        <v>0</v>
      </c>
      <c r="X75" s="199">
        <f t="shared" si="67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124.0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8">C76/100</f>
        <v>0</v>
      </c>
      <c r="X76" s="199">
        <f t="shared" si="68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125.0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9">C77/100</f>
        <v>0</v>
      </c>
      <c r="X77" s="199">
        <f t="shared" si="69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126.0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70">C78/100</f>
        <v>0</v>
      </c>
      <c r="X78" s="199">
        <f t="shared" si="70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127.0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71">C79/100</f>
        <v>0</v>
      </c>
      <c r="X79" s="199">
        <f t="shared" si="71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128.0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2">C80/100</f>
        <v>0</v>
      </c>
      <c r="X80" s="199">
        <f t="shared" si="72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129.0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3">C81/100</f>
        <v>0</v>
      </c>
      <c r="X81" s="199">
        <f t="shared" si="73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130.0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4">C82/100</f>
        <v>0</v>
      </c>
      <c r="X82" s="199">
        <f t="shared" si="74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131.0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5">C83/100</f>
        <v>0</v>
      </c>
      <c r="X83" s="199">
        <f t="shared" si="75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132.0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6">C84/100</f>
        <v>0</v>
      </c>
      <c r="X84" s="199">
        <f t="shared" si="76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133.0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7">C85/100</f>
        <v>0</v>
      </c>
      <c r="X85" s="199">
        <f t="shared" si="77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134.0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8">C86/100</f>
        <v>0</v>
      </c>
      <c r="X86" s="199">
        <f t="shared" si="78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135.0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9">C87/100</f>
        <v>0</v>
      </c>
      <c r="X87" s="199">
        <f t="shared" si="79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136.0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80">C88/100</f>
        <v>0</v>
      </c>
      <c r="X88" s="199">
        <f t="shared" si="80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137.0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81">C89/100</f>
        <v>0</v>
      </c>
      <c r="X89" s="199">
        <f t="shared" si="81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138.0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2">C90/100</f>
        <v>0</v>
      </c>
      <c r="X90" s="199">
        <f t="shared" si="82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139.0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3">C91/100</f>
        <v>0</v>
      </c>
      <c r="X91" s="199">
        <f t="shared" si="83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140.0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4">C92/100</f>
        <v>0</v>
      </c>
      <c r="X92" s="199">
        <f t="shared" si="84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141.0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5">C93/100</f>
        <v>0</v>
      </c>
      <c r="X93" s="199">
        <f t="shared" si="85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142.0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6">C94/100</f>
        <v>0</v>
      </c>
      <c r="X94" s="199">
        <f t="shared" si="86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143.0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7">C95/100</f>
        <v>0</v>
      </c>
      <c r="X95" s="199">
        <f t="shared" si="87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144.0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8">C96/100</f>
        <v>0</v>
      </c>
      <c r="X96" s="199">
        <f t="shared" si="88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145.0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9">C97/100</f>
        <v>0</v>
      </c>
      <c r="X97" s="199">
        <f t="shared" si="89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146.0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90">C98/100</f>
        <v>0</v>
      </c>
      <c r="X98" s="199">
        <f t="shared" si="90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147.0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91">C99/100</f>
        <v>0</v>
      </c>
      <c r="X99" s="199">
        <f t="shared" si="91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148.0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2">C100/100</f>
        <v>0</v>
      </c>
      <c r="X100" s="199">
        <f t="shared" si="92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149.0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3">C101/100</f>
        <v>0</v>
      </c>
      <c r="X101" s="199">
        <f t="shared" si="93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150.0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4">C102/100</f>
        <v>0</v>
      </c>
      <c r="X102" s="199">
        <f t="shared" si="94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151.0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5">C103/100</f>
        <v>0</v>
      </c>
      <c r="X103" s="199">
        <f t="shared" si="95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152.0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6">C104/100</f>
        <v>0</v>
      </c>
      <c r="X104" s="199">
        <f t="shared" si="96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153.0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7">C105/100</f>
        <v>0</v>
      </c>
      <c r="X105" s="199">
        <f t="shared" si="97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154.0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8">C106/100</f>
        <v>0</v>
      </c>
      <c r="X106" s="199">
        <f t="shared" si="98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155.0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9">C107/100</f>
        <v>0</v>
      </c>
      <c r="X107" s="199">
        <f t="shared" si="99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156.0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100">C108/100</f>
        <v>0</v>
      </c>
      <c r="X108" s="199">
        <f t="shared" si="100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157.0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101">C109/100</f>
        <v>0</v>
      </c>
      <c r="X109" s="199">
        <f t="shared" si="101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158.0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2">C110/100</f>
        <v>0</v>
      </c>
      <c r="X110" s="199">
        <f t="shared" si="102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159.0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3">C111/100</f>
        <v>0</v>
      </c>
      <c r="X111" s="199">
        <f t="shared" si="103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160.0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4">C112/100</f>
        <v>0</v>
      </c>
      <c r="X112" s="199">
        <f t="shared" si="104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161.0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5">C113/100</f>
        <v>0</v>
      </c>
      <c r="X113" s="199">
        <f t="shared" si="105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162.0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6">C114/100</f>
        <v>0</v>
      </c>
      <c r="X114" s="199">
        <f t="shared" si="106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163.0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7">C115/100</f>
        <v>0</v>
      </c>
      <c r="X115" s="199">
        <f t="shared" si="107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164.0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8">C116/100</f>
        <v>0</v>
      </c>
      <c r="X116" s="199">
        <f t="shared" si="108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165.0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9">C117/100</f>
        <v>0</v>
      </c>
      <c r="X117" s="199">
        <f t="shared" si="109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166.0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10">C118/100</f>
        <v>0</v>
      </c>
      <c r="X118" s="199">
        <f t="shared" si="110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167.0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11">C119/100</f>
        <v>0</v>
      </c>
      <c r="X119" s="199">
        <f t="shared" si="111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168.0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2">C120/100</f>
        <v>0</v>
      </c>
      <c r="X120" s="199">
        <f t="shared" si="112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169.0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3">C121/100</f>
        <v>0</v>
      </c>
      <c r="X121" s="199">
        <f t="shared" si="113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170.0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4">C122/100</f>
        <v>0</v>
      </c>
      <c r="X122" s="199">
        <f t="shared" si="114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171.0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5">C123/100</f>
        <v>0</v>
      </c>
      <c r="X123" s="199">
        <f t="shared" si="115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172.0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6">C124/100</f>
        <v>0</v>
      </c>
      <c r="X124" s="199">
        <f t="shared" si="116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173.0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7">C125/100</f>
        <v>0</v>
      </c>
      <c r="X125" s="199">
        <f t="shared" si="117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174.0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8">C126/100</f>
        <v>0</v>
      </c>
      <c r="X126" s="199">
        <f t="shared" si="118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175.0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9">C127/100</f>
        <v>0</v>
      </c>
      <c r="X127" s="199">
        <f t="shared" si="119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176.0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20">C128/100</f>
        <v>0</v>
      </c>
      <c r="X128" s="199">
        <f t="shared" si="120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177.0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21">C129/100</f>
        <v>0</v>
      </c>
      <c r="X129" s="199">
        <f t="shared" si="121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178.0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2">C130/100</f>
        <v>0</v>
      </c>
      <c r="X130" s="199">
        <f t="shared" si="122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179.0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3">C131/100</f>
        <v>0</v>
      </c>
      <c r="X131" s="199">
        <f t="shared" si="123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180.0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4">C132/100</f>
        <v>0</v>
      </c>
      <c r="X132" s="199">
        <f t="shared" si="124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181.0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5">C133/100</f>
        <v>0</v>
      </c>
      <c r="X133" s="199">
        <f t="shared" si="125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182.0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6">C134/100</f>
        <v>0</v>
      </c>
      <c r="X134" s="199">
        <f t="shared" si="126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183.0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7">C135/100</f>
        <v>0</v>
      </c>
      <c r="X135" s="199">
        <f t="shared" si="127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184.0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8">C136/100</f>
        <v>0</v>
      </c>
      <c r="X136" s="199">
        <f t="shared" si="128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185.0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9">C137/100</f>
        <v>0</v>
      </c>
      <c r="X137" s="199">
        <f t="shared" si="129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186.0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30">C138/100</f>
        <v>0</v>
      </c>
      <c r="X138" s="199">
        <f t="shared" si="130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187.0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31">C139/100</f>
        <v>0</v>
      </c>
      <c r="X139" s="199">
        <f t="shared" si="131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188.0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2">C140/100</f>
        <v>0</v>
      </c>
      <c r="X140" s="199">
        <f t="shared" si="132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189.0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3">C141/100</f>
        <v>0</v>
      </c>
      <c r="X141" s="199">
        <f t="shared" si="133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190.0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4">C142/100</f>
        <v>0</v>
      </c>
      <c r="X142" s="199">
        <f t="shared" si="134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191.0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5">C143/100</f>
        <v>0</v>
      </c>
      <c r="X143" s="199">
        <f t="shared" si="135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192.0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6">C144/100</f>
        <v>0</v>
      </c>
      <c r="X144" s="199">
        <f t="shared" si="136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193.0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7">C145/100</f>
        <v>0</v>
      </c>
      <c r="X145" s="199">
        <f t="shared" si="137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194.0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8">C146/100</f>
        <v>0</v>
      </c>
      <c r="X146" s="199">
        <f t="shared" si="138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195.0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9">C147/100</f>
        <v>0</v>
      </c>
      <c r="X147" s="199">
        <f t="shared" si="139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196.0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40">C148/100</f>
        <v>0</v>
      </c>
      <c r="X148" s="199">
        <f t="shared" si="140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197.0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41">C149/100</f>
        <v>0</v>
      </c>
      <c r="X149" s="199">
        <f t="shared" si="141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198.0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2">C150/100</f>
        <v>0</v>
      </c>
      <c r="X150" s="199">
        <f t="shared" si="142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199.0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3">C151/100</f>
        <v>0</v>
      </c>
      <c r="X151" s="199">
        <f t="shared" si="143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200.0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4">C152/100</f>
        <v>0</v>
      </c>
      <c r="X152" s="199">
        <f t="shared" si="144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201.0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5">C153/100</f>
        <v>0</v>
      </c>
      <c r="X153" s="199">
        <f t="shared" si="145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202.0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6">C154/100</f>
        <v>0</v>
      </c>
      <c r="X154" s="199">
        <f t="shared" si="146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203.0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7">C155/100</f>
        <v>0</v>
      </c>
      <c r="X155" s="199">
        <f t="shared" si="147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204.0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8">C156/100</f>
        <v>0</v>
      </c>
      <c r="X156" s="199">
        <f t="shared" si="148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205.0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9">C157/100</f>
        <v>0</v>
      </c>
      <c r="X157" s="199">
        <f t="shared" si="149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206.0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50">C158/100</f>
        <v>0</v>
      </c>
      <c r="X158" s="199">
        <f t="shared" si="150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207.0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51">C159/100</f>
        <v>0</v>
      </c>
      <c r="X159" s="199">
        <f t="shared" si="151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208.0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2">C160/100</f>
        <v>0</v>
      </c>
      <c r="X160" s="199">
        <f t="shared" si="152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209.0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3">C161/100</f>
        <v>0</v>
      </c>
      <c r="X161" s="199">
        <f t="shared" si="153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210.0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4">C162/100</f>
        <v>0</v>
      </c>
      <c r="X162" s="199">
        <f t="shared" si="154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211.0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5">C163/100</f>
        <v>0</v>
      </c>
      <c r="X163" s="199">
        <f t="shared" si="155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212.0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6">C164/100</f>
        <v>0</v>
      </c>
      <c r="X164" s="199">
        <f t="shared" si="156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213.0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7">C165/100</f>
        <v>0</v>
      </c>
      <c r="X165" s="199">
        <f t="shared" si="157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214.0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8">C166/100</f>
        <v>0</v>
      </c>
      <c r="X166" s="199">
        <f t="shared" si="158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215.0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9">C167/100</f>
        <v>0</v>
      </c>
      <c r="X167" s="199">
        <f t="shared" si="159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216.0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60">C168/100</f>
        <v>0</v>
      </c>
      <c r="X168" s="199">
        <f t="shared" si="160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217.0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61">C169/100</f>
        <v>0</v>
      </c>
      <c r="X169" s="199">
        <f t="shared" si="161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customHeight="1">
      <c r="A170" s="162"/>
      <c r="B170" s="178"/>
      <c r="C170" s="178"/>
      <c r="D170" s="178"/>
      <c r="E170" s="178"/>
      <c r="F170" s="178"/>
      <c r="G170" s="178"/>
      <c r="H170" s="181"/>
      <c r="I170" s="162"/>
      <c r="J170" s="204">
        <f>+Q219</f>
        <v>50</v>
      </c>
      <c r="K170" s="139"/>
      <c r="L170" s="139"/>
      <c r="M170" s="139"/>
      <c r="N170" s="139"/>
      <c r="O170" s="139"/>
      <c r="P170" s="139"/>
      <c r="Q170" s="139"/>
      <c r="R170" s="205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62">C170/100</f>
        <v>0</v>
      </c>
      <c r="X170" s="199">
        <f t="shared" si="162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customHeight="1">
      <c r="A171" s="162"/>
      <c r="B171" s="206"/>
      <c r="C171" s="206"/>
      <c r="D171" s="206"/>
      <c r="E171" s="206"/>
      <c r="F171" s="206"/>
      <c r="G171" s="206"/>
      <c r="H171" s="207"/>
      <c r="I171" s="208">
        <f>SUM(I25:I169)</f>
        <v>28</v>
      </c>
      <c r="J171" s="209">
        <f>SUM(J25:J170)</f>
        <v>27514.84631</v>
      </c>
      <c r="K171" s="210"/>
      <c r="L171" s="210"/>
      <c r="M171" s="210"/>
      <c r="N171" s="210"/>
      <c r="O171" s="210"/>
      <c r="P171" s="210"/>
      <c r="Q171" s="210"/>
      <c r="R171" s="141"/>
      <c r="S171" s="210">
        <f>SUMIFS($T$25:$T$169,$S$25:$S$169,"&gt;=3")</f>
        <v>21</v>
      </c>
      <c r="T171" s="210">
        <f t="shared" ref="T171:U171" si="163">SUM(T25:T169)</f>
        <v>28</v>
      </c>
      <c r="U171" s="210">
        <f t="shared" si="163"/>
        <v>612.54</v>
      </c>
      <c r="V171" s="210"/>
      <c r="W171" s="210"/>
      <c r="X171" s="210"/>
      <c r="Y171" s="210"/>
      <c r="Z171" s="211">
        <f>SUM(Z25:Z170)</f>
        <v>1194.847805</v>
      </c>
      <c r="AA171" s="210"/>
      <c r="AB171" s="210"/>
      <c r="AC171" s="210"/>
      <c r="AD171" s="210"/>
      <c r="AE171" s="210"/>
      <c r="AF171" s="210"/>
      <c r="AG171" s="210"/>
      <c r="AH171" s="210"/>
      <c r="AI171" s="210"/>
      <c r="AJ171" s="210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</row>
    <row r="172" ht="29.2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203"/>
      <c r="T172" s="139">
        <f>+T171-S171</f>
        <v>7</v>
      </c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9.2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05"/>
      <c r="S173" s="139"/>
      <c r="T173" s="139" t="s">
        <v>48</v>
      </c>
      <c r="U173" s="139" t="s">
        <v>68</v>
      </c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9.25" customHeight="1">
      <c r="A174" s="139"/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39"/>
      <c r="R174" s="141"/>
      <c r="S174" s="139" t="s">
        <v>31</v>
      </c>
      <c r="T174" s="212">
        <f>SUMIFS($J$25:$J$169,$S$25:$S$169,"&gt;=3")</f>
        <v>26957.62116</v>
      </c>
      <c r="U174" s="213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9.25" customHeight="1">
      <c r="A175" s="139" t="s">
        <v>32</v>
      </c>
      <c r="B175" s="139"/>
      <c r="C175" s="139"/>
      <c r="D175" s="139" t="s">
        <v>33</v>
      </c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39"/>
      <c r="R175" s="141"/>
      <c r="S175" s="139" t="s">
        <v>34</v>
      </c>
      <c r="T175" s="266">
        <f>J171-T174</f>
        <v>557.2251476</v>
      </c>
      <c r="U175" s="213">
        <f>+SUMIFS($U$25:$U$169,$S$25:$S$169,"&gt;=3")</f>
        <v>599.52</v>
      </c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9.25" customHeight="1">
      <c r="A176" s="139"/>
      <c r="B176" s="139"/>
      <c r="C176" s="139"/>
      <c r="D176" s="139"/>
      <c r="E176" s="139"/>
      <c r="F176" s="139"/>
      <c r="G176" s="139"/>
      <c r="H176" s="140"/>
      <c r="I176" s="139"/>
      <c r="J176" s="139"/>
      <c r="K176" s="139"/>
      <c r="L176" s="139"/>
      <c r="M176" s="139"/>
      <c r="N176" s="139"/>
      <c r="O176" s="139"/>
      <c r="P176" s="139"/>
      <c r="Q176" s="139"/>
      <c r="R176" s="205"/>
      <c r="S176" s="139"/>
      <c r="T176" s="214">
        <f>+I171</f>
        <v>28</v>
      </c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39.0" customHeight="1">
      <c r="A177" s="178"/>
      <c r="B177" s="162" t="s">
        <v>12</v>
      </c>
      <c r="C177" s="179" t="s">
        <v>69</v>
      </c>
      <c r="D177" s="52"/>
      <c r="E177" s="53"/>
      <c r="F177" s="180"/>
      <c r="G177" s="180"/>
      <c r="H177" s="181" t="s">
        <v>14</v>
      </c>
      <c r="I177" s="162" t="s">
        <v>15</v>
      </c>
      <c r="J177" s="162" t="s">
        <v>16</v>
      </c>
      <c r="K177" s="139"/>
      <c r="L177" s="139"/>
      <c r="M177" s="139"/>
      <c r="N177" s="139"/>
      <c r="O177" s="139"/>
      <c r="P177" s="139"/>
      <c r="Q177" s="139"/>
      <c r="R177" s="141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55">
        <v>1.0</v>
      </c>
      <c r="B178" s="215" t="s">
        <v>146</v>
      </c>
      <c r="C178" s="215">
        <v>91.0</v>
      </c>
      <c r="D178" s="215">
        <v>191.0</v>
      </c>
      <c r="E178" s="215">
        <v>171.0</v>
      </c>
      <c r="F178" s="215">
        <f t="shared" ref="F178:F189" si="164">1-VALUE(IF(RIGHT(B178, 1)="%", RIGHT(B178, 3), 0))</f>
        <v>0.2</v>
      </c>
      <c r="G178" s="215">
        <f t="shared" ref="G178:G189" si="165">+Q178*C178/100*D178/100*E178/100</f>
        <v>0</v>
      </c>
      <c r="H178" s="216">
        <f t="shared" ref="H178:H189" si="166">IF(F178=0, G178, F178*G178)</f>
        <v>0</v>
      </c>
      <c r="I178" s="215">
        <v>1.0</v>
      </c>
      <c r="J178" s="217">
        <v>66.8733975</v>
      </c>
      <c r="K178" s="139"/>
      <c r="L178" s="178">
        <f t="shared" ref="L178:L184" si="167">D178*25.4/1000</f>
        <v>4.8514</v>
      </c>
      <c r="M178" s="162">
        <f t="shared" ref="M178:M180" si="168">+I178</f>
        <v>1</v>
      </c>
      <c r="N178" s="162">
        <f t="shared" ref="N178:N180" si="169">M178*L178</f>
        <v>4.8514</v>
      </c>
      <c r="O178" s="139"/>
      <c r="P178" s="139"/>
      <c r="Q178" s="139"/>
      <c r="R178" s="141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55">
        <v>2.0</v>
      </c>
      <c r="B179" s="215" t="s">
        <v>67</v>
      </c>
      <c r="C179" s="215">
        <v>84.0</v>
      </c>
      <c r="D179" s="215">
        <v>191.0</v>
      </c>
      <c r="E179" s="215">
        <v>177.0</v>
      </c>
      <c r="F179" s="215">
        <f t="shared" si="164"/>
        <v>0.2</v>
      </c>
      <c r="G179" s="215">
        <f t="shared" si="165"/>
        <v>0</v>
      </c>
      <c r="H179" s="216">
        <f t="shared" si="166"/>
        <v>0</v>
      </c>
      <c r="I179" s="215">
        <v>1.0</v>
      </c>
      <c r="J179" s="217">
        <v>46.85650199999999</v>
      </c>
      <c r="K179" s="139"/>
      <c r="L179" s="178">
        <f t="shared" si="167"/>
        <v>4.8514</v>
      </c>
      <c r="M179" s="162">
        <f t="shared" si="168"/>
        <v>1</v>
      </c>
      <c r="N179" s="162">
        <f t="shared" si="169"/>
        <v>4.8514</v>
      </c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55">
        <v>3.0</v>
      </c>
      <c r="B180" s="218" t="s">
        <v>147</v>
      </c>
      <c r="C180" s="218">
        <v>92.0</v>
      </c>
      <c r="D180" s="218">
        <v>184.0</v>
      </c>
      <c r="E180" s="218">
        <v>183.0</v>
      </c>
      <c r="F180" s="218">
        <f t="shared" si="164"/>
        <v>0.2</v>
      </c>
      <c r="G180" s="218">
        <f t="shared" si="165"/>
        <v>0</v>
      </c>
      <c r="H180" s="219">
        <f t="shared" si="166"/>
        <v>0</v>
      </c>
      <c r="I180" s="218">
        <v>1.0</v>
      </c>
      <c r="J180" s="195">
        <v>92.93472000000001</v>
      </c>
      <c r="K180" s="139"/>
      <c r="L180" s="178">
        <f t="shared" si="167"/>
        <v>4.6736</v>
      </c>
      <c r="M180" s="162">
        <f t="shared" si="168"/>
        <v>1</v>
      </c>
      <c r="N180" s="162">
        <f t="shared" si="169"/>
        <v>4.6736</v>
      </c>
      <c r="O180" s="139"/>
      <c r="P180" s="139"/>
      <c r="Q180" s="139"/>
      <c r="R180" s="139"/>
      <c r="S180" s="220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5">
        <v>6.0</v>
      </c>
      <c r="B181" s="218"/>
      <c r="C181" s="218"/>
      <c r="D181" s="218"/>
      <c r="E181" s="218"/>
      <c r="F181" s="218">
        <f t="shared" si="164"/>
        <v>1</v>
      </c>
      <c r="G181" s="218">
        <f t="shared" si="165"/>
        <v>0</v>
      </c>
      <c r="H181" s="219">
        <f t="shared" si="166"/>
        <v>0</v>
      </c>
      <c r="I181" s="218"/>
      <c r="J181" s="195">
        <f t="shared" ref="J181:J189" si="170">+I181*H181</f>
        <v>0</v>
      </c>
      <c r="K181" s="139"/>
      <c r="L181" s="139">
        <f t="shared" si="167"/>
        <v>0</v>
      </c>
      <c r="M181" s="221"/>
      <c r="N181" s="221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55">
        <v>7.0</v>
      </c>
      <c r="B182" s="218"/>
      <c r="C182" s="218"/>
      <c r="D182" s="218"/>
      <c r="E182" s="218"/>
      <c r="F182" s="218">
        <f t="shared" si="164"/>
        <v>1</v>
      </c>
      <c r="G182" s="218">
        <f t="shared" si="165"/>
        <v>0</v>
      </c>
      <c r="H182" s="219">
        <f t="shared" si="166"/>
        <v>0</v>
      </c>
      <c r="I182" s="218"/>
      <c r="J182" s="195">
        <f t="shared" si="170"/>
        <v>0</v>
      </c>
      <c r="K182" s="139"/>
      <c r="L182" s="139">
        <f t="shared" si="167"/>
        <v>0</v>
      </c>
      <c r="M182" s="221"/>
      <c r="N182" s="221"/>
      <c r="O182" s="139"/>
      <c r="P182" s="139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55">
        <v>8.0</v>
      </c>
      <c r="B183" s="218"/>
      <c r="C183" s="218"/>
      <c r="D183" s="218"/>
      <c r="E183" s="218"/>
      <c r="F183" s="218">
        <f t="shared" si="164"/>
        <v>1</v>
      </c>
      <c r="G183" s="218">
        <f t="shared" si="165"/>
        <v>0</v>
      </c>
      <c r="H183" s="219">
        <f t="shared" si="166"/>
        <v>0</v>
      </c>
      <c r="I183" s="218"/>
      <c r="J183" s="195">
        <f t="shared" si="170"/>
        <v>0</v>
      </c>
      <c r="K183" s="139"/>
      <c r="L183" s="139">
        <f t="shared" si="167"/>
        <v>0</v>
      </c>
      <c r="M183" s="221"/>
      <c r="N183" s="221"/>
      <c r="O183" s="139"/>
      <c r="P183" s="139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55">
        <v>9.0</v>
      </c>
      <c r="B184" s="218"/>
      <c r="C184" s="218"/>
      <c r="D184" s="218"/>
      <c r="E184" s="218"/>
      <c r="F184" s="218">
        <f t="shared" si="164"/>
        <v>1</v>
      </c>
      <c r="G184" s="218">
        <f t="shared" si="165"/>
        <v>0</v>
      </c>
      <c r="H184" s="219">
        <f t="shared" si="166"/>
        <v>0</v>
      </c>
      <c r="I184" s="218"/>
      <c r="J184" s="195">
        <f t="shared" si="170"/>
        <v>0</v>
      </c>
      <c r="K184" s="139"/>
      <c r="L184" s="139">
        <f t="shared" si="167"/>
        <v>0</v>
      </c>
      <c r="M184" s="221"/>
      <c r="N184" s="221"/>
      <c r="O184" s="139"/>
      <c r="P184" s="139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55">
        <v>10.0</v>
      </c>
      <c r="B185" s="193"/>
      <c r="C185" s="193"/>
      <c r="D185" s="193"/>
      <c r="E185" s="193"/>
      <c r="F185" s="193">
        <f t="shared" si="164"/>
        <v>1</v>
      </c>
      <c r="G185" s="193">
        <f t="shared" si="165"/>
        <v>0</v>
      </c>
      <c r="H185" s="194">
        <f t="shared" si="166"/>
        <v>0</v>
      </c>
      <c r="I185" s="193"/>
      <c r="J185" s="195">
        <f t="shared" si="170"/>
        <v>0</v>
      </c>
      <c r="K185" s="139"/>
      <c r="L185" s="139"/>
      <c r="M185" s="221"/>
      <c r="N185" s="221"/>
      <c r="O185" s="139"/>
      <c r="P185" s="139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55">
        <v>11.0</v>
      </c>
      <c r="B186" s="193"/>
      <c r="C186" s="193"/>
      <c r="D186" s="193"/>
      <c r="E186" s="193"/>
      <c r="F186" s="193">
        <f t="shared" si="164"/>
        <v>1</v>
      </c>
      <c r="G186" s="193">
        <f t="shared" si="165"/>
        <v>0</v>
      </c>
      <c r="H186" s="194">
        <f t="shared" si="166"/>
        <v>0</v>
      </c>
      <c r="I186" s="193"/>
      <c r="J186" s="195">
        <f t="shared" si="170"/>
        <v>0</v>
      </c>
      <c r="K186" s="139"/>
      <c r="L186" s="139"/>
      <c r="M186" s="221"/>
      <c r="N186" s="221"/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55">
        <v>12.0</v>
      </c>
      <c r="B187" s="193"/>
      <c r="C187" s="193"/>
      <c r="D187" s="193"/>
      <c r="E187" s="193"/>
      <c r="F187" s="193">
        <f t="shared" si="164"/>
        <v>1</v>
      </c>
      <c r="G187" s="193">
        <f t="shared" si="165"/>
        <v>0</v>
      </c>
      <c r="H187" s="194">
        <f t="shared" si="166"/>
        <v>0</v>
      </c>
      <c r="I187" s="193"/>
      <c r="J187" s="195">
        <f t="shared" si="170"/>
        <v>0</v>
      </c>
      <c r="K187" s="139"/>
      <c r="L187" s="139"/>
      <c r="M187" s="221"/>
      <c r="N187" s="221"/>
      <c r="O187" s="139"/>
      <c r="P187" s="139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55">
        <v>13.0</v>
      </c>
      <c r="B188" s="193"/>
      <c r="C188" s="193"/>
      <c r="D188" s="193"/>
      <c r="E188" s="193"/>
      <c r="F188" s="193">
        <f t="shared" si="164"/>
        <v>1</v>
      </c>
      <c r="G188" s="193">
        <f t="shared" si="165"/>
        <v>0</v>
      </c>
      <c r="H188" s="194">
        <f t="shared" si="166"/>
        <v>0</v>
      </c>
      <c r="I188" s="193"/>
      <c r="J188" s="195">
        <f t="shared" si="170"/>
        <v>0</v>
      </c>
      <c r="K188" s="139"/>
      <c r="L188" s="139"/>
      <c r="M188" s="221"/>
      <c r="N188" s="221"/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55">
        <v>14.0</v>
      </c>
      <c r="B189" s="193"/>
      <c r="C189" s="193"/>
      <c r="D189" s="193"/>
      <c r="E189" s="193"/>
      <c r="F189" s="193">
        <f t="shared" si="164"/>
        <v>1</v>
      </c>
      <c r="G189" s="193">
        <f t="shared" si="165"/>
        <v>0</v>
      </c>
      <c r="H189" s="194">
        <f t="shared" si="166"/>
        <v>0</v>
      </c>
      <c r="I189" s="193"/>
      <c r="J189" s="195">
        <f t="shared" si="170"/>
        <v>0</v>
      </c>
      <c r="K189" s="139"/>
      <c r="L189" s="139"/>
      <c r="M189" s="221"/>
      <c r="N189" s="221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customHeight="1">
      <c r="A190" s="162"/>
      <c r="B190" s="197"/>
      <c r="C190" s="197"/>
      <c r="D190" s="197"/>
      <c r="E190" s="197"/>
      <c r="F190" s="197"/>
      <c r="G190" s="197"/>
      <c r="H190" s="222" t="s">
        <v>38</v>
      </c>
      <c r="I190" s="197"/>
      <c r="J190" s="223">
        <f>SUM(J178:J189)</f>
        <v>206.6646195</v>
      </c>
      <c r="K190" s="139"/>
      <c r="L190" s="139"/>
      <c r="M190" s="139"/>
      <c r="N190" s="139"/>
      <c r="O190" s="139"/>
      <c r="P190" s="139"/>
      <c r="Q190" s="139"/>
      <c r="R190" s="141"/>
      <c r="S190" s="224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18.75" customHeight="1">
      <c r="A191" s="176"/>
      <c r="B191" s="144"/>
      <c r="C191" s="144"/>
      <c r="D191" s="144"/>
      <c r="E191" s="144"/>
      <c r="F191" s="144"/>
      <c r="G191" s="144"/>
      <c r="H191" s="145"/>
      <c r="I191" s="144"/>
      <c r="J191" s="177"/>
      <c r="K191" s="139"/>
      <c r="L191" s="139"/>
      <c r="M191" s="139"/>
      <c r="N191" s="139"/>
      <c r="O191" s="139"/>
      <c r="P191" s="139"/>
      <c r="Q191" s="139"/>
      <c r="R191" s="141"/>
      <c r="S191" s="224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18.7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224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18.75" customHeight="1">
      <c r="A193" s="139"/>
      <c r="B193" s="139"/>
      <c r="C193" s="139"/>
      <c r="D193" s="139"/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224"/>
      <c r="S193" s="224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18.75" customHeight="1">
      <c r="A194" s="139" t="s">
        <v>39</v>
      </c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24"/>
      <c r="S194" s="224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18.7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224"/>
      <c r="S195" s="224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42.0" customHeight="1">
      <c r="A196" s="178"/>
      <c r="B196" s="162" t="s">
        <v>12</v>
      </c>
      <c r="C196" s="179" t="s">
        <v>75</v>
      </c>
      <c r="D196" s="52"/>
      <c r="E196" s="53"/>
      <c r="F196" s="225"/>
      <c r="G196" s="225"/>
      <c r="H196" s="181" t="s">
        <v>14</v>
      </c>
      <c r="I196" s="226" t="s">
        <v>15</v>
      </c>
      <c r="J196" s="162" t="s">
        <v>16</v>
      </c>
      <c r="K196" s="139"/>
      <c r="L196" s="139"/>
      <c r="M196" s="139"/>
      <c r="N196" s="139"/>
      <c r="O196" s="139"/>
      <c r="P196" s="139"/>
      <c r="Q196" s="139"/>
      <c r="R196" s="224"/>
      <c r="S196" s="224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customHeight="1">
      <c r="A197" s="162">
        <v>1.0</v>
      </c>
      <c r="B197" s="183" t="s">
        <v>144</v>
      </c>
      <c r="C197" s="200"/>
      <c r="D197" s="200"/>
      <c r="E197" s="200"/>
      <c r="F197" s="200"/>
      <c r="G197" s="200"/>
      <c r="H197" s="227">
        <v>23.0</v>
      </c>
      <c r="I197" s="200">
        <v>1.0</v>
      </c>
      <c r="J197" s="195">
        <f t="shared" ref="J197:J217" si="171">+I197*H197</f>
        <v>23</v>
      </c>
      <c r="K197" s="178"/>
      <c r="L197" s="178"/>
      <c r="M197" s="178"/>
      <c r="N197" s="178"/>
      <c r="O197" s="178"/>
      <c r="P197" s="178"/>
      <c r="Q197" s="228"/>
      <c r="R197" s="224"/>
      <c r="S197" s="224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customHeight="1">
      <c r="A198" s="162">
        <v>2.0</v>
      </c>
      <c r="B198" s="193" t="s">
        <v>144</v>
      </c>
      <c r="C198" s="200"/>
      <c r="D198" s="200"/>
      <c r="E198" s="200"/>
      <c r="F198" s="200"/>
      <c r="G198" s="200"/>
      <c r="H198" s="227">
        <v>18.0</v>
      </c>
      <c r="I198" s="200">
        <v>1.0</v>
      </c>
      <c r="J198" s="195">
        <f t="shared" si="171"/>
        <v>18</v>
      </c>
      <c r="K198" s="178"/>
      <c r="L198" s="178"/>
      <c r="M198" s="178"/>
      <c r="N198" s="178"/>
      <c r="O198" s="178"/>
      <c r="P198" s="178"/>
      <c r="Q198" s="228"/>
      <c r="R198" s="224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2">
        <v>3.0</v>
      </c>
      <c r="B199" s="183" t="s">
        <v>59</v>
      </c>
      <c r="C199" s="200"/>
      <c r="D199" s="200"/>
      <c r="E199" s="200"/>
      <c r="F199" s="200"/>
      <c r="G199" s="200"/>
      <c r="H199" s="227">
        <v>17.0</v>
      </c>
      <c r="I199" s="200">
        <v>1.0</v>
      </c>
      <c r="J199" s="195">
        <f t="shared" si="171"/>
        <v>17</v>
      </c>
      <c r="K199" s="178"/>
      <c r="L199" s="178"/>
      <c r="M199" s="178"/>
      <c r="N199" s="178"/>
      <c r="O199" s="178"/>
      <c r="P199" s="178"/>
      <c r="Q199" s="228"/>
      <c r="R199" s="224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2">
        <v>4.0</v>
      </c>
      <c r="B200" s="193" t="s">
        <v>59</v>
      </c>
      <c r="C200" s="200"/>
      <c r="D200" s="200"/>
      <c r="E200" s="200"/>
      <c r="F200" s="200"/>
      <c r="G200" s="200"/>
      <c r="H200" s="227">
        <v>16.0</v>
      </c>
      <c r="I200" s="200">
        <v>1.0</v>
      </c>
      <c r="J200" s="195">
        <f t="shared" si="171"/>
        <v>16</v>
      </c>
      <c r="K200" s="178"/>
      <c r="L200" s="178"/>
      <c r="M200" s="178"/>
      <c r="N200" s="178"/>
      <c r="O200" s="178"/>
      <c r="P200" s="178"/>
      <c r="Q200" s="228"/>
      <c r="R200" s="224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2">
        <v>5.0</v>
      </c>
      <c r="B201" s="183" t="s">
        <v>90</v>
      </c>
      <c r="C201" s="200"/>
      <c r="D201" s="200"/>
      <c r="E201" s="200"/>
      <c r="F201" s="200"/>
      <c r="G201" s="200"/>
      <c r="H201" s="227">
        <v>28.0</v>
      </c>
      <c r="I201" s="200">
        <v>1.0</v>
      </c>
      <c r="J201" s="195">
        <f t="shared" si="171"/>
        <v>28</v>
      </c>
      <c r="K201" s="178"/>
      <c r="L201" s="178"/>
      <c r="M201" s="178"/>
      <c r="N201" s="178"/>
      <c r="O201" s="178"/>
      <c r="P201" s="178"/>
      <c r="Q201" s="228"/>
      <c r="R201" s="224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customHeight="1">
      <c r="A202" s="162">
        <v>6.0</v>
      </c>
      <c r="B202" s="193" t="s">
        <v>90</v>
      </c>
      <c r="C202" s="200"/>
      <c r="D202" s="200"/>
      <c r="E202" s="200"/>
      <c r="F202" s="200"/>
      <c r="G202" s="200"/>
      <c r="H202" s="227">
        <v>23.0</v>
      </c>
      <c r="I202" s="200">
        <v>1.0</v>
      </c>
      <c r="J202" s="195">
        <f t="shared" si="171"/>
        <v>23</v>
      </c>
      <c r="K202" s="178"/>
      <c r="L202" s="178"/>
      <c r="M202" s="178"/>
      <c r="N202" s="178"/>
      <c r="O202" s="178"/>
      <c r="P202" s="178"/>
      <c r="Q202" s="228"/>
      <c r="R202" s="224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2">
        <v>21.0</v>
      </c>
      <c r="B203" s="229"/>
      <c r="C203" s="200"/>
      <c r="D203" s="200"/>
      <c r="E203" s="200"/>
      <c r="F203" s="200"/>
      <c r="G203" s="200"/>
      <c r="H203" s="227"/>
      <c r="I203" s="200"/>
      <c r="J203" s="195">
        <f t="shared" si="171"/>
        <v>0</v>
      </c>
      <c r="K203" s="178"/>
      <c r="L203" s="178"/>
      <c r="M203" s="178"/>
      <c r="N203" s="178"/>
      <c r="O203" s="178"/>
      <c r="P203" s="178"/>
      <c r="Q203" s="228"/>
      <c r="R203" s="224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hidden="1" customHeight="1">
      <c r="A204" s="162">
        <v>22.0</v>
      </c>
      <c r="B204" s="229"/>
      <c r="C204" s="200"/>
      <c r="D204" s="200"/>
      <c r="E204" s="200"/>
      <c r="F204" s="200"/>
      <c r="G204" s="200"/>
      <c r="H204" s="227"/>
      <c r="I204" s="200"/>
      <c r="J204" s="195">
        <f t="shared" si="171"/>
        <v>0</v>
      </c>
      <c r="K204" s="178"/>
      <c r="L204" s="178"/>
      <c r="M204" s="178"/>
      <c r="N204" s="178"/>
      <c r="O204" s="178"/>
      <c r="P204" s="178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hidden="1" customHeight="1">
      <c r="A205" s="162">
        <v>23.0</v>
      </c>
      <c r="B205" s="229"/>
      <c r="C205" s="200"/>
      <c r="D205" s="200"/>
      <c r="E205" s="200"/>
      <c r="F205" s="200"/>
      <c r="G205" s="200"/>
      <c r="H205" s="227"/>
      <c r="I205" s="200"/>
      <c r="J205" s="195">
        <f t="shared" si="171"/>
        <v>0</v>
      </c>
      <c r="K205" s="178"/>
      <c r="L205" s="178"/>
      <c r="M205" s="178"/>
      <c r="N205" s="178"/>
      <c r="O205" s="178"/>
      <c r="P205" s="178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hidden="1" customHeight="1">
      <c r="A206" s="162">
        <v>24.0</v>
      </c>
      <c r="B206" s="229"/>
      <c r="C206" s="200"/>
      <c r="D206" s="200"/>
      <c r="E206" s="200"/>
      <c r="F206" s="200"/>
      <c r="G206" s="200"/>
      <c r="H206" s="227"/>
      <c r="I206" s="200"/>
      <c r="J206" s="195">
        <f t="shared" si="171"/>
        <v>0</v>
      </c>
      <c r="K206" s="178"/>
      <c r="L206" s="178"/>
      <c r="M206" s="178"/>
      <c r="N206" s="178"/>
      <c r="O206" s="178"/>
      <c r="P206" s="178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2">
        <v>25.0</v>
      </c>
      <c r="B207" s="229"/>
      <c r="C207" s="200"/>
      <c r="D207" s="200"/>
      <c r="E207" s="200"/>
      <c r="F207" s="200"/>
      <c r="G207" s="200"/>
      <c r="H207" s="227"/>
      <c r="I207" s="200"/>
      <c r="J207" s="195">
        <f t="shared" si="171"/>
        <v>0</v>
      </c>
      <c r="K207" s="178"/>
      <c r="L207" s="178"/>
      <c r="M207" s="178"/>
      <c r="N207" s="178"/>
      <c r="O207" s="178"/>
      <c r="P207" s="178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2">
        <v>26.0</v>
      </c>
      <c r="B208" s="229"/>
      <c r="C208" s="200"/>
      <c r="D208" s="200"/>
      <c r="E208" s="200"/>
      <c r="F208" s="200"/>
      <c r="G208" s="200"/>
      <c r="H208" s="227"/>
      <c r="I208" s="200"/>
      <c r="J208" s="195">
        <f t="shared" si="171"/>
        <v>0</v>
      </c>
      <c r="K208" s="178"/>
      <c r="L208" s="178"/>
      <c r="M208" s="178"/>
      <c r="N208" s="178"/>
      <c r="O208" s="178"/>
      <c r="P208" s="178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2">
        <v>27.0</v>
      </c>
      <c r="B209" s="229"/>
      <c r="C209" s="200"/>
      <c r="D209" s="200"/>
      <c r="E209" s="200"/>
      <c r="F209" s="200"/>
      <c r="G209" s="200"/>
      <c r="H209" s="200"/>
      <c r="I209" s="200"/>
      <c r="J209" s="195">
        <f t="shared" si="171"/>
        <v>0</v>
      </c>
      <c r="K209" s="178"/>
      <c r="L209" s="178"/>
      <c r="M209" s="178"/>
      <c r="N209" s="178"/>
      <c r="O209" s="178"/>
      <c r="P209" s="178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2">
        <v>28.0</v>
      </c>
      <c r="B210" s="229"/>
      <c r="C210" s="200"/>
      <c r="D210" s="200"/>
      <c r="E210" s="200"/>
      <c r="F210" s="200"/>
      <c r="G210" s="200"/>
      <c r="H210" s="200"/>
      <c r="I210" s="200"/>
      <c r="J210" s="195">
        <f t="shared" si="171"/>
        <v>0</v>
      </c>
      <c r="K210" s="178"/>
      <c r="L210" s="178"/>
      <c r="M210" s="178"/>
      <c r="N210" s="178"/>
      <c r="O210" s="178"/>
      <c r="P210" s="178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2">
        <v>29.0</v>
      </c>
      <c r="B211" s="230"/>
      <c r="C211" s="200"/>
      <c r="D211" s="200"/>
      <c r="E211" s="200"/>
      <c r="F211" s="200"/>
      <c r="G211" s="200"/>
      <c r="H211" s="200"/>
      <c r="I211" s="200"/>
      <c r="J211" s="195">
        <f t="shared" si="171"/>
        <v>0</v>
      </c>
      <c r="K211" s="178"/>
      <c r="L211" s="178"/>
      <c r="M211" s="178"/>
      <c r="N211" s="178"/>
      <c r="O211" s="178"/>
      <c r="P211" s="178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hidden="1" customHeight="1">
      <c r="A212" s="162">
        <v>30.0</v>
      </c>
      <c r="B212" s="230"/>
      <c r="C212" s="200"/>
      <c r="D212" s="200"/>
      <c r="E212" s="200"/>
      <c r="F212" s="200"/>
      <c r="G212" s="200"/>
      <c r="H212" s="227"/>
      <c r="I212" s="200"/>
      <c r="J212" s="195">
        <f t="shared" si="171"/>
        <v>0</v>
      </c>
      <c r="K212" s="178"/>
      <c r="L212" s="178"/>
      <c r="M212" s="178"/>
      <c r="N212" s="178"/>
      <c r="O212" s="178"/>
      <c r="P212" s="178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hidden="1" customHeight="1">
      <c r="A213" s="162">
        <v>31.0</v>
      </c>
      <c r="B213" s="218"/>
      <c r="C213" s="200"/>
      <c r="D213" s="200"/>
      <c r="E213" s="200"/>
      <c r="F213" s="200"/>
      <c r="G213" s="200"/>
      <c r="H213" s="227"/>
      <c r="I213" s="200"/>
      <c r="J213" s="195">
        <f t="shared" si="171"/>
        <v>0</v>
      </c>
      <c r="K213" s="178"/>
      <c r="L213" s="178"/>
      <c r="M213" s="178"/>
      <c r="N213" s="178"/>
      <c r="O213" s="178"/>
      <c r="P213" s="178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hidden="1" customHeight="1">
      <c r="A214" s="162">
        <v>32.0</v>
      </c>
      <c r="B214" s="218"/>
      <c r="C214" s="162"/>
      <c r="D214" s="162"/>
      <c r="E214" s="162"/>
      <c r="F214" s="162"/>
      <c r="G214" s="162"/>
      <c r="H214" s="162"/>
      <c r="I214" s="162"/>
      <c r="J214" s="195">
        <f t="shared" si="171"/>
        <v>0</v>
      </c>
      <c r="K214" s="178"/>
      <c r="L214" s="178"/>
      <c r="M214" s="178"/>
      <c r="N214" s="178"/>
      <c r="O214" s="178"/>
      <c r="P214" s="178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hidden="1" customHeight="1">
      <c r="A215" s="162">
        <v>33.0</v>
      </c>
      <c r="B215" s="230"/>
      <c r="C215" s="162"/>
      <c r="D215" s="162"/>
      <c r="E215" s="162"/>
      <c r="F215" s="162"/>
      <c r="G215" s="162"/>
      <c r="H215" s="162"/>
      <c r="I215" s="162"/>
      <c r="J215" s="195">
        <f t="shared" si="171"/>
        <v>0</v>
      </c>
      <c r="K215" s="178"/>
      <c r="L215" s="178"/>
      <c r="M215" s="178"/>
      <c r="N215" s="178"/>
      <c r="O215" s="178"/>
      <c r="P215" s="178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2">
        <v>34.0</v>
      </c>
      <c r="B216" s="231"/>
      <c r="C216" s="162"/>
      <c r="D216" s="162"/>
      <c r="E216" s="162"/>
      <c r="F216" s="162"/>
      <c r="G216" s="162"/>
      <c r="H216" s="162"/>
      <c r="I216" s="162"/>
      <c r="J216" s="195">
        <f t="shared" si="171"/>
        <v>0</v>
      </c>
      <c r="K216" s="178"/>
      <c r="L216" s="178"/>
      <c r="M216" s="178"/>
      <c r="N216" s="178"/>
      <c r="O216" s="178"/>
      <c r="P216" s="178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35.0</v>
      </c>
      <c r="B217" s="232"/>
      <c r="C217" s="162"/>
      <c r="D217" s="162"/>
      <c r="E217" s="162"/>
      <c r="F217" s="162"/>
      <c r="G217" s="162"/>
      <c r="H217" s="162"/>
      <c r="I217" s="162"/>
      <c r="J217" s="195">
        <f t="shared" si="171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 t="s">
        <v>38</v>
      </c>
      <c r="I218" s="139"/>
      <c r="J218" s="233">
        <f>SUM(J197:J217)</f>
        <v>125</v>
      </c>
      <c r="K218" s="234"/>
      <c r="L218" s="234"/>
      <c r="M218" s="234"/>
      <c r="N218" s="234"/>
      <c r="O218" s="234"/>
      <c r="P218" s="234"/>
      <c r="Q218" s="234"/>
      <c r="R218" s="139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44"/>
      <c r="B219" s="144"/>
      <c r="C219" s="144"/>
      <c r="D219" s="144"/>
      <c r="E219" s="144"/>
      <c r="F219" s="144"/>
      <c r="G219" s="144"/>
      <c r="H219" s="145"/>
      <c r="I219" s="175"/>
      <c r="J219" s="206">
        <f>+J218*60%</f>
        <v>75</v>
      </c>
      <c r="K219" s="206"/>
      <c r="L219" s="206"/>
      <c r="M219" s="206"/>
      <c r="N219" s="206"/>
      <c r="O219" s="206"/>
      <c r="P219" s="206"/>
      <c r="Q219" s="206">
        <f>+J218*40%</f>
        <v>50</v>
      </c>
      <c r="R219" s="139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8.7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39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139"/>
      <c r="S221" s="224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9.5" customHeight="1">
      <c r="A222" s="235" t="s">
        <v>41</v>
      </c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139"/>
      <c r="S222" s="224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57.0" customHeight="1">
      <c r="A223" s="236"/>
      <c r="B223" s="237" t="s">
        <v>42</v>
      </c>
      <c r="C223" s="237" t="s">
        <v>43</v>
      </c>
      <c r="D223" s="237" t="s">
        <v>44</v>
      </c>
      <c r="E223" s="237" t="s">
        <v>45</v>
      </c>
      <c r="F223" s="237"/>
      <c r="G223" s="237"/>
      <c r="H223" s="238" t="s">
        <v>46</v>
      </c>
      <c r="I223" s="239" t="s">
        <v>47</v>
      </c>
      <c r="J223" s="139"/>
      <c r="K223" s="139"/>
      <c r="L223" s="139"/>
      <c r="M223" s="139"/>
      <c r="N223" s="139"/>
      <c r="O223" s="139"/>
      <c r="P223" s="139"/>
      <c r="Q223" s="139"/>
      <c r="R223" s="141"/>
      <c r="S223" s="224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240" t="s">
        <v>48</v>
      </c>
      <c r="B224" s="241">
        <f>+E18</f>
        <v>30281.139</v>
      </c>
      <c r="C224" s="242">
        <f>+J171</f>
        <v>27514.84631</v>
      </c>
      <c r="D224" s="242">
        <f>+J190</f>
        <v>206.6646195</v>
      </c>
      <c r="E224" s="243">
        <f>J219</f>
        <v>75</v>
      </c>
      <c r="F224" s="243"/>
      <c r="G224" s="243"/>
      <c r="H224" s="244">
        <f>+I18</f>
        <v>1987.77499</v>
      </c>
      <c r="I224" s="245">
        <f>+B224-C224-D224-E224-H224</f>
        <v>496.8530801</v>
      </c>
      <c r="J224" s="139"/>
      <c r="K224" s="139"/>
      <c r="L224" s="139"/>
      <c r="M224" s="139"/>
      <c r="N224" s="139"/>
      <c r="O224" s="139"/>
      <c r="P224" s="139"/>
      <c r="Q224" s="139"/>
      <c r="R224" s="141"/>
      <c r="S224" s="224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9.5" customHeight="1">
      <c r="A225" s="246" t="s">
        <v>49</v>
      </c>
      <c r="B225" s="247"/>
      <c r="C225" s="248">
        <f>+C224/B224</f>
        <v>0.9086463462</v>
      </c>
      <c r="D225" s="248">
        <f>+D224/B224</f>
        <v>0.006824862813</v>
      </c>
      <c r="E225" s="248">
        <f>+E224/B224</f>
        <v>0.002476789265</v>
      </c>
      <c r="F225" s="248"/>
      <c r="G225" s="248"/>
      <c r="H225" s="249">
        <f>+H224/B224</f>
        <v>0.06564399674</v>
      </c>
      <c r="I225" s="250">
        <f>+I224/B224</f>
        <v>0.016408005</v>
      </c>
      <c r="J225" s="139"/>
      <c r="K225" s="139"/>
      <c r="L225" s="139"/>
      <c r="M225" s="139"/>
      <c r="N225" s="139"/>
      <c r="O225" s="139"/>
      <c r="P225" s="139"/>
      <c r="Q225" s="139"/>
      <c r="R225" s="141"/>
      <c r="S225" s="22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9.5" customHeight="1">
      <c r="A226" s="165"/>
      <c r="B226" s="221"/>
      <c r="C226" s="251"/>
      <c r="D226" s="251"/>
      <c r="E226" s="251"/>
      <c r="F226" s="251"/>
      <c r="G226" s="251"/>
      <c r="H226" s="252"/>
      <c r="I226" s="253"/>
      <c r="J226" s="139"/>
      <c r="K226" s="139"/>
      <c r="L226" s="139"/>
      <c r="M226" s="139"/>
      <c r="N226" s="139"/>
      <c r="O226" s="139"/>
      <c r="P226" s="139"/>
      <c r="Q226" s="139"/>
      <c r="R226" s="141"/>
      <c r="S226" s="224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254"/>
      <c r="B227" s="255"/>
      <c r="C227" s="255"/>
      <c r="D227" s="255" t="s">
        <v>50</v>
      </c>
      <c r="E227" s="255" t="s">
        <v>48</v>
      </c>
      <c r="F227" s="255"/>
      <c r="G227" s="255"/>
      <c r="H227" s="256">
        <f>+D224+E224+H224+I224</f>
        <v>2766.292689</v>
      </c>
      <c r="I227" s="257"/>
      <c r="J227" s="139"/>
      <c r="K227" s="139"/>
      <c r="L227" s="139"/>
      <c r="M227" s="139"/>
      <c r="N227" s="139"/>
      <c r="O227" s="139"/>
      <c r="P227" s="139"/>
      <c r="Q227" s="139"/>
      <c r="R227" s="141"/>
      <c r="S227" s="140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258"/>
      <c r="B228" s="139"/>
      <c r="C228" s="139"/>
      <c r="D228" s="139"/>
      <c r="E228" s="139" t="s">
        <v>49</v>
      </c>
      <c r="F228" s="139"/>
      <c r="G228" s="139"/>
      <c r="H228" s="252">
        <f>+H227/B224</f>
        <v>0.09135365382</v>
      </c>
      <c r="I228" s="259"/>
      <c r="J228" s="139"/>
      <c r="K228" s="139"/>
      <c r="L228" s="139"/>
      <c r="M228" s="139"/>
      <c r="N228" s="139"/>
      <c r="O228" s="139"/>
      <c r="P228" s="139"/>
      <c r="Q228" s="139"/>
      <c r="R228" s="141"/>
      <c r="S228" s="140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75" customHeight="1">
      <c r="A229" s="258"/>
      <c r="B229" s="139"/>
      <c r="C229" s="139" t="s">
        <v>51</v>
      </c>
      <c r="D229" s="139"/>
      <c r="E229" s="139"/>
      <c r="F229" s="139"/>
      <c r="G229" s="139"/>
      <c r="H229" s="140"/>
      <c r="I229" s="259"/>
      <c r="J229" s="139"/>
      <c r="K229" s="139"/>
      <c r="L229" s="139"/>
      <c r="M229" s="139"/>
      <c r="N229" s="139"/>
      <c r="O229" s="139"/>
      <c r="P229" s="139"/>
      <c r="Q229" s="139"/>
      <c r="R229" s="141"/>
      <c r="S229" s="140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18.75" customHeight="1">
      <c r="A230" s="258"/>
      <c r="B230" s="139"/>
      <c r="C230" s="139"/>
      <c r="D230" s="139" t="s">
        <v>52</v>
      </c>
      <c r="E230" s="139"/>
      <c r="F230" s="139"/>
      <c r="G230" s="139"/>
      <c r="H230" s="140">
        <f>+H229*(H227-H224)</f>
        <v>0</v>
      </c>
      <c r="I230" s="259"/>
      <c r="J230" s="139"/>
      <c r="K230" s="139"/>
      <c r="L230" s="139"/>
      <c r="M230" s="139"/>
      <c r="N230" s="139"/>
      <c r="O230" s="139"/>
      <c r="P230" s="139"/>
      <c r="Q230" s="139"/>
      <c r="R230" s="141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9.5" customHeight="1">
      <c r="A231" s="260"/>
      <c r="B231" s="261"/>
      <c r="C231" s="261"/>
      <c r="D231" s="261"/>
      <c r="E231" s="261"/>
      <c r="F231" s="261"/>
      <c r="G231" s="261"/>
      <c r="H231" s="262"/>
      <c r="I231" s="263"/>
      <c r="J231" s="139"/>
      <c r="K231" s="139"/>
      <c r="L231" s="139"/>
      <c r="M231" s="139"/>
      <c r="N231" s="139"/>
      <c r="O231" s="139"/>
      <c r="P231" s="139"/>
      <c r="Q231" s="139"/>
      <c r="R231" s="141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/>
      <c r="I232" s="139"/>
      <c r="J232" s="139"/>
      <c r="K232" s="139"/>
      <c r="L232" s="139"/>
      <c r="M232" s="139"/>
      <c r="N232" s="139"/>
      <c r="O232" s="139"/>
      <c r="P232" s="139"/>
      <c r="Q232" s="139"/>
      <c r="R232" s="141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41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41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7"/>
      <c r="R235" s="265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7"/>
      <c r="R236" s="265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7"/>
      <c r="R237" s="265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7"/>
      <c r="R238" s="265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7"/>
      <c r="R239" s="265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7"/>
      <c r="R240" s="265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7"/>
      <c r="R241" s="265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7"/>
      <c r="R242" s="26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7"/>
      <c r="R243" s="26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7"/>
      <c r="R244" s="26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7"/>
      <c r="R245" s="26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177:E177"/>
    <mergeCell ref="C196:E19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44545.0</v>
      </c>
      <c r="J4" s="139" t="str">
        <f>+B8&amp;"/"&amp;B9&amp;"/"&amp;B10&amp;"/"&amp;B11&amp;"/"&amp;B12&amp;"/"&amp;B13&amp;"/"&amp;B14&amp;"/"&amp;B15&amp;"/"&amp;B16</f>
        <v>D2550GT/HRD2940/HRD2940/HRD2940/HRD2930/D2050CC/A270/D3070CC//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148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+I244</f>
        <v>0.0256205953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78</v>
      </c>
      <c r="C8" s="155">
        <v>25.5</v>
      </c>
      <c r="D8" s="156">
        <v>0.0577</v>
      </c>
      <c r="E8" s="157">
        <f>262.54*19.5</f>
        <v>5119.53</v>
      </c>
      <c r="F8" s="157"/>
      <c r="G8" s="157"/>
      <c r="H8" s="158">
        <v>19.5</v>
      </c>
      <c r="I8" s="159">
        <f t="shared" ref="I8:I21" si="1">+D8*E8</f>
        <v>295.396881</v>
      </c>
      <c r="J8" s="160">
        <f t="shared" ref="J8:J21" si="2">E8-I8</f>
        <v>4824.133119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252.8*31.6</f>
        <v>7988.48</v>
      </c>
      <c r="F9" s="157"/>
      <c r="G9" s="157"/>
      <c r="H9" s="158">
        <v>31.6</v>
      </c>
      <c r="I9" s="159">
        <f t="shared" si="1"/>
        <v>116.631808</v>
      </c>
      <c r="J9" s="160">
        <f t="shared" si="2"/>
        <v>7871.848192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252.8*10.6</f>
        <v>2679.68</v>
      </c>
      <c r="F10" s="157"/>
      <c r="G10" s="157"/>
      <c r="H10" s="158">
        <v>10.6</v>
      </c>
      <c r="I10" s="159">
        <f t="shared" si="1"/>
        <v>39.123328</v>
      </c>
      <c r="J10" s="160">
        <f t="shared" si="2"/>
        <v>2640.556672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55</v>
      </c>
      <c r="C11" s="155">
        <v>29.5</v>
      </c>
      <c r="D11" s="156">
        <v>0.0146</v>
      </c>
      <c r="E11" s="164">
        <f>252.8*36.6</f>
        <v>9252.48</v>
      </c>
      <c r="F11" s="164"/>
      <c r="G11" s="164"/>
      <c r="H11" s="158">
        <v>36.6</v>
      </c>
      <c r="I11" s="159">
        <f t="shared" si="1"/>
        <v>135.086208</v>
      </c>
      <c r="J11" s="160">
        <f t="shared" si="2"/>
        <v>9117.393792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57</v>
      </c>
      <c r="C12" s="162">
        <v>29.5</v>
      </c>
      <c r="D12" s="163">
        <v>0.0155</v>
      </c>
      <c r="E12" s="164">
        <f>253.14*41.8</f>
        <v>10581.252</v>
      </c>
      <c r="F12" s="164"/>
      <c r="G12" s="164"/>
      <c r="H12" s="158">
        <v>41.8</v>
      </c>
      <c r="I12" s="159">
        <f t="shared" si="1"/>
        <v>164.009406</v>
      </c>
      <c r="J12" s="160">
        <f t="shared" si="2"/>
        <v>10417.24259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91</v>
      </c>
      <c r="C13" s="162">
        <v>20.5</v>
      </c>
      <c r="D13" s="163">
        <v>0.0845</v>
      </c>
      <c r="E13" s="164">
        <f>222.631*19.7</f>
        <v>4385.8307</v>
      </c>
      <c r="F13" s="164"/>
      <c r="G13" s="164"/>
      <c r="H13" s="158">
        <v>19.7</v>
      </c>
      <c r="I13" s="159">
        <f t="shared" si="1"/>
        <v>370.6026942</v>
      </c>
      <c r="J13" s="160">
        <f t="shared" si="2"/>
        <v>4015.228006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149</v>
      </c>
      <c r="C14" s="162">
        <v>30.5</v>
      </c>
      <c r="D14" s="163">
        <v>0.0491</v>
      </c>
      <c r="E14" s="164">
        <f>284.78*13.6</f>
        <v>3873.008</v>
      </c>
      <c r="F14" s="164"/>
      <c r="G14" s="164"/>
      <c r="H14" s="158">
        <v>13.6</v>
      </c>
      <c r="I14" s="159">
        <f t="shared" si="1"/>
        <v>190.1646928</v>
      </c>
      <c r="J14" s="160">
        <f t="shared" si="2"/>
        <v>3682.843307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5"/>
      <c r="B22" s="166"/>
      <c r="C22" s="167"/>
      <c r="D22" s="168"/>
      <c r="E22" s="169">
        <f>SUM(E8:E21)</f>
        <v>43880.2607</v>
      </c>
      <c r="F22" s="170"/>
      <c r="G22" s="170"/>
      <c r="H22" s="171"/>
      <c r="I22" s="172">
        <f t="shared" ref="I22:J22" si="3">SUM(I8:I21)</f>
        <v>1311.015018</v>
      </c>
      <c r="J22" s="173">
        <f t="shared" si="3"/>
        <v>42569.24568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4"/>
      <c r="B23" s="144"/>
      <c r="C23" s="144"/>
      <c r="D23" s="175"/>
      <c r="E23" s="176"/>
      <c r="F23" s="151"/>
      <c r="G23" s="151"/>
      <c r="H23" s="147"/>
      <c r="I23" s="177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8"/>
      <c r="B28" s="162" t="s">
        <v>12</v>
      </c>
      <c r="C28" s="179" t="s">
        <v>60</v>
      </c>
      <c r="D28" s="52"/>
      <c r="E28" s="53"/>
      <c r="F28" s="180"/>
      <c r="G28" s="180"/>
      <c r="H28" s="181" t="s">
        <v>14</v>
      </c>
      <c r="I28" s="162" t="s">
        <v>15</v>
      </c>
      <c r="J28" s="162" t="s">
        <v>16</v>
      </c>
      <c r="K28" s="139"/>
      <c r="L28" s="162" t="s">
        <v>17</v>
      </c>
      <c r="M28" s="162" t="s">
        <v>15</v>
      </c>
      <c r="N28" s="178" t="s">
        <v>18</v>
      </c>
      <c r="O28" s="139"/>
      <c r="P28" s="139"/>
      <c r="Q28" s="178" t="s">
        <v>61</v>
      </c>
      <c r="R28" s="182"/>
      <c r="S28" s="162" t="s">
        <v>17</v>
      </c>
      <c r="T28" s="162" t="s">
        <v>15</v>
      </c>
      <c r="U28" s="178" t="s">
        <v>18</v>
      </c>
      <c r="V28" s="139"/>
      <c r="W28" s="178" t="s">
        <v>19</v>
      </c>
      <c r="X28" s="178" t="s">
        <v>20</v>
      </c>
      <c r="Y28" s="178" t="s">
        <v>21</v>
      </c>
      <c r="Z28" s="178" t="s">
        <v>150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2">
        <v>1.0</v>
      </c>
      <c r="B29" s="183" t="s">
        <v>85</v>
      </c>
      <c r="C29" s="184">
        <v>88.0</v>
      </c>
      <c r="D29" s="184">
        <v>205.0</v>
      </c>
      <c r="E29" s="184">
        <v>210.0</v>
      </c>
      <c r="F29" s="184">
        <f t="shared" ref="F29:F187" si="5">VALUE(IF(RIGHT(B29, 1)="%", RIGHT(B29, 3), 0))</f>
        <v>0.8</v>
      </c>
      <c r="G29" s="184">
        <f t="shared" ref="G29:G187" si="6">+R29*C29/100*D29/100*E29/100</f>
        <v>94.71</v>
      </c>
      <c r="H29" s="185">
        <f t="shared" ref="H29:H187" si="7">IF(F29=0, G29, F29*G29)</f>
        <v>75.768</v>
      </c>
      <c r="I29" s="184">
        <v>1.0</v>
      </c>
      <c r="J29" s="186">
        <f t="shared" ref="J29:J187" si="8">+I29*H29</f>
        <v>75.768</v>
      </c>
      <c r="K29" s="187"/>
      <c r="L29" s="188">
        <f>D29*25.4/1000</f>
        <v>5.207</v>
      </c>
      <c r="M29" s="189">
        <f>+I29</f>
        <v>1</v>
      </c>
      <c r="N29" s="189">
        <f>M29*L29</f>
        <v>5.207</v>
      </c>
      <c r="O29" s="187"/>
      <c r="P29" s="187"/>
      <c r="Q29" s="188">
        <v>102.0</v>
      </c>
      <c r="R29" s="190">
        <v>25.0</v>
      </c>
      <c r="S29" s="178">
        <f t="shared" ref="S29:S188" si="9">E29/100</f>
        <v>2.1</v>
      </c>
      <c r="T29" s="162">
        <f t="shared" ref="T29:T188" si="10">I29</f>
        <v>1</v>
      </c>
      <c r="U29" s="162">
        <f t="shared" ref="U29:U188" si="11">T29*S29</f>
        <v>2.1</v>
      </c>
      <c r="V29" s="191">
        <f t="shared" ref="V29:V70" si="12">R29*C29/100*D29/100*E29/100</f>
        <v>94.71</v>
      </c>
      <c r="W29" s="178">
        <f t="shared" ref="W29:X29" si="4">C29/100</f>
        <v>0.88</v>
      </c>
      <c r="X29" s="178">
        <f t="shared" si="4"/>
        <v>2.05</v>
      </c>
      <c r="Y29" s="178">
        <f t="shared" ref="Y29:Y188" si="14">U29</f>
        <v>2.1</v>
      </c>
      <c r="Z29" s="192">
        <f t="shared" ref="Z29:Z188" si="15">W29*X29*Y29</f>
        <v>3.7884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2.0</v>
      </c>
      <c r="B30" s="193" t="s">
        <v>78</v>
      </c>
      <c r="C30" s="193">
        <v>103.0</v>
      </c>
      <c r="D30" s="193">
        <v>205.0</v>
      </c>
      <c r="E30" s="193">
        <v>201.0</v>
      </c>
      <c r="F30" s="193">
        <f t="shared" si="5"/>
        <v>0</v>
      </c>
      <c r="G30" s="193">
        <f t="shared" si="6"/>
        <v>106.102875</v>
      </c>
      <c r="H30" s="194">
        <f t="shared" si="7"/>
        <v>106.102875</v>
      </c>
      <c r="I30" s="193">
        <v>1.0</v>
      </c>
      <c r="J30" s="195">
        <f t="shared" si="8"/>
        <v>106.102875</v>
      </c>
      <c r="K30" s="139"/>
      <c r="L30" s="178"/>
      <c r="M30" s="162"/>
      <c r="N30" s="162"/>
      <c r="O30" s="139"/>
      <c r="P30" s="139"/>
      <c r="Q30" s="178">
        <v>105.0</v>
      </c>
      <c r="R30" s="190">
        <v>25.0</v>
      </c>
      <c r="S30" s="178">
        <f t="shared" si="9"/>
        <v>2.01</v>
      </c>
      <c r="T30" s="162">
        <f t="shared" si="10"/>
        <v>1</v>
      </c>
      <c r="U30" s="162">
        <f t="shared" si="11"/>
        <v>2.01</v>
      </c>
      <c r="V30" s="191">
        <f t="shared" si="12"/>
        <v>106.102875</v>
      </c>
      <c r="W30" s="178">
        <f t="shared" ref="W30:X30" si="13">C30/100</f>
        <v>1.03</v>
      </c>
      <c r="X30" s="178">
        <f t="shared" si="13"/>
        <v>2.05</v>
      </c>
      <c r="Y30" s="178">
        <f t="shared" si="14"/>
        <v>2.01</v>
      </c>
      <c r="Z30" s="192">
        <f t="shared" si="15"/>
        <v>4.244115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3.0</v>
      </c>
      <c r="B31" s="193" t="s">
        <v>78</v>
      </c>
      <c r="C31" s="193">
        <v>103.0</v>
      </c>
      <c r="D31" s="193">
        <v>205.0</v>
      </c>
      <c r="E31" s="193">
        <v>2882.0</v>
      </c>
      <c r="F31" s="193">
        <f t="shared" si="5"/>
        <v>0</v>
      </c>
      <c r="G31" s="193">
        <f t="shared" si="6"/>
        <v>1521.33575</v>
      </c>
      <c r="H31" s="194">
        <f t="shared" si="7"/>
        <v>1521.33575</v>
      </c>
      <c r="I31" s="193">
        <v>1.0</v>
      </c>
      <c r="J31" s="195">
        <f t="shared" si="8"/>
        <v>1521.33575</v>
      </c>
      <c r="K31" s="139"/>
      <c r="L31" s="178">
        <f t="shared" ref="L31:L53" si="17">D31*25.4/1000</f>
        <v>5.207</v>
      </c>
      <c r="M31" s="162">
        <f t="shared" ref="M31:M66" si="18">+I31</f>
        <v>1</v>
      </c>
      <c r="N31" s="162">
        <f t="shared" ref="N31:N53" si="19">M31*L31</f>
        <v>5.207</v>
      </c>
      <c r="O31" s="139"/>
      <c r="P31" s="139"/>
      <c r="Q31" s="178">
        <v>1510.0</v>
      </c>
      <c r="R31" s="190">
        <v>25.0</v>
      </c>
      <c r="S31" s="178">
        <f t="shared" si="9"/>
        <v>28.82</v>
      </c>
      <c r="T31" s="162">
        <f t="shared" si="10"/>
        <v>1</v>
      </c>
      <c r="U31" s="162">
        <f t="shared" si="11"/>
        <v>28.82</v>
      </c>
      <c r="V31" s="191">
        <f t="shared" si="12"/>
        <v>1521.33575</v>
      </c>
      <c r="W31" s="178">
        <f t="shared" ref="W31:X31" si="16">C31/100</f>
        <v>1.03</v>
      </c>
      <c r="X31" s="178">
        <f t="shared" si="16"/>
        <v>2.05</v>
      </c>
      <c r="Y31" s="178">
        <f t="shared" si="14"/>
        <v>28.82</v>
      </c>
      <c r="Z31" s="192">
        <f t="shared" si="15"/>
        <v>60.85343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4.0</v>
      </c>
      <c r="B32" s="193" t="s">
        <v>78</v>
      </c>
      <c r="C32" s="193">
        <v>103.0</v>
      </c>
      <c r="D32" s="193">
        <v>205.0</v>
      </c>
      <c r="E32" s="193">
        <v>2880.0</v>
      </c>
      <c r="F32" s="193">
        <f t="shared" si="5"/>
        <v>0</v>
      </c>
      <c r="G32" s="193">
        <f t="shared" si="6"/>
        <v>1520.28</v>
      </c>
      <c r="H32" s="194">
        <f t="shared" si="7"/>
        <v>1520.28</v>
      </c>
      <c r="I32" s="193">
        <v>1.0</v>
      </c>
      <c r="J32" s="195">
        <f t="shared" si="8"/>
        <v>1520.28</v>
      </c>
      <c r="K32" s="139"/>
      <c r="L32" s="178">
        <f t="shared" si="17"/>
        <v>5.207</v>
      </c>
      <c r="M32" s="162">
        <f t="shared" si="18"/>
        <v>1</v>
      </c>
      <c r="N32" s="162">
        <f t="shared" si="19"/>
        <v>5.207</v>
      </c>
      <c r="O32" s="139"/>
      <c r="P32" s="139"/>
      <c r="Q32" s="178">
        <v>1490.0</v>
      </c>
      <c r="R32" s="190">
        <v>25.0</v>
      </c>
      <c r="S32" s="178">
        <f t="shared" si="9"/>
        <v>28.8</v>
      </c>
      <c r="T32" s="162">
        <f t="shared" si="10"/>
        <v>1</v>
      </c>
      <c r="U32" s="162">
        <f t="shared" si="11"/>
        <v>28.8</v>
      </c>
      <c r="V32" s="191">
        <f t="shared" si="12"/>
        <v>1520.28</v>
      </c>
      <c r="W32" s="178">
        <f t="shared" ref="W32:X32" si="20">C32/100</f>
        <v>1.03</v>
      </c>
      <c r="X32" s="178">
        <f t="shared" si="20"/>
        <v>2.05</v>
      </c>
      <c r="Y32" s="178">
        <f t="shared" si="14"/>
        <v>28.8</v>
      </c>
      <c r="Z32" s="192">
        <f t="shared" si="15"/>
        <v>60.8112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5.0</v>
      </c>
      <c r="B33" s="193" t="s">
        <v>78</v>
      </c>
      <c r="C33" s="193">
        <v>103.0</v>
      </c>
      <c r="D33" s="193">
        <v>205.0</v>
      </c>
      <c r="E33" s="193">
        <v>2726.0</v>
      </c>
      <c r="F33" s="193">
        <f t="shared" si="5"/>
        <v>0</v>
      </c>
      <c r="G33" s="193">
        <f t="shared" si="6"/>
        <v>1438.98725</v>
      </c>
      <c r="H33" s="194">
        <f t="shared" si="7"/>
        <v>1438.98725</v>
      </c>
      <c r="I33" s="193">
        <v>1.0</v>
      </c>
      <c r="J33" s="195">
        <f t="shared" si="8"/>
        <v>1438.98725</v>
      </c>
      <c r="K33" s="139"/>
      <c r="L33" s="178">
        <f t="shared" si="17"/>
        <v>5.207</v>
      </c>
      <c r="M33" s="162">
        <f t="shared" si="18"/>
        <v>1</v>
      </c>
      <c r="N33" s="162">
        <f t="shared" si="19"/>
        <v>5.207</v>
      </c>
      <c r="O33" s="139"/>
      <c r="P33" s="139"/>
      <c r="Q33" s="178">
        <v>1420.0</v>
      </c>
      <c r="R33" s="190">
        <v>25.0</v>
      </c>
      <c r="S33" s="178">
        <f t="shared" si="9"/>
        <v>27.26</v>
      </c>
      <c r="T33" s="162">
        <f t="shared" si="10"/>
        <v>1</v>
      </c>
      <c r="U33" s="162">
        <f t="shared" si="11"/>
        <v>27.26</v>
      </c>
      <c r="V33" s="191">
        <f t="shared" si="12"/>
        <v>1438.98725</v>
      </c>
      <c r="W33" s="178">
        <f t="shared" ref="W33:X33" si="21">C33/100</f>
        <v>1.03</v>
      </c>
      <c r="X33" s="178">
        <f t="shared" si="21"/>
        <v>2.05</v>
      </c>
      <c r="Y33" s="178">
        <f t="shared" si="14"/>
        <v>27.26</v>
      </c>
      <c r="Z33" s="192">
        <f t="shared" si="15"/>
        <v>57.55949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6.0</v>
      </c>
      <c r="B34" s="183" t="s">
        <v>63</v>
      </c>
      <c r="C34" s="184">
        <v>86.0</v>
      </c>
      <c r="D34" s="184">
        <v>203.0</v>
      </c>
      <c r="E34" s="184">
        <v>193.0</v>
      </c>
      <c r="F34" s="184">
        <f t="shared" si="5"/>
        <v>0.8</v>
      </c>
      <c r="G34" s="184">
        <f t="shared" si="6"/>
        <v>101.08182</v>
      </c>
      <c r="H34" s="185">
        <f t="shared" si="7"/>
        <v>80.865456</v>
      </c>
      <c r="I34" s="184">
        <v>1.0</v>
      </c>
      <c r="J34" s="186">
        <f t="shared" si="8"/>
        <v>80.865456</v>
      </c>
      <c r="K34" s="187"/>
      <c r="L34" s="188">
        <f t="shared" si="17"/>
        <v>5.1562</v>
      </c>
      <c r="M34" s="189">
        <f t="shared" si="18"/>
        <v>1</v>
      </c>
      <c r="N34" s="189">
        <f t="shared" si="19"/>
        <v>5.1562</v>
      </c>
      <c r="O34" s="187"/>
      <c r="P34" s="187"/>
      <c r="Q34" s="188">
        <v>105.0</v>
      </c>
      <c r="R34" s="190">
        <v>30.0</v>
      </c>
      <c r="S34" s="178">
        <f t="shared" si="9"/>
        <v>1.93</v>
      </c>
      <c r="T34" s="162">
        <f t="shared" si="10"/>
        <v>1</v>
      </c>
      <c r="U34" s="162">
        <f t="shared" si="11"/>
        <v>1.93</v>
      </c>
      <c r="V34" s="191">
        <f t="shared" si="12"/>
        <v>101.08182</v>
      </c>
      <c r="W34" s="178">
        <f t="shared" ref="W34:X34" si="22">C34/100</f>
        <v>0.86</v>
      </c>
      <c r="X34" s="178">
        <f t="shared" si="22"/>
        <v>2.03</v>
      </c>
      <c r="Y34" s="178">
        <f t="shared" si="14"/>
        <v>1.93</v>
      </c>
      <c r="Z34" s="192">
        <f t="shared" si="15"/>
        <v>3.369394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7.0</v>
      </c>
      <c r="B35" s="183" t="s">
        <v>63</v>
      </c>
      <c r="C35" s="184">
        <v>88.0</v>
      </c>
      <c r="D35" s="184">
        <v>203.0</v>
      </c>
      <c r="E35" s="184">
        <v>181.0</v>
      </c>
      <c r="F35" s="184">
        <f t="shared" si="5"/>
        <v>0.8</v>
      </c>
      <c r="G35" s="184">
        <f t="shared" si="6"/>
        <v>97.00152</v>
      </c>
      <c r="H35" s="185">
        <f t="shared" si="7"/>
        <v>77.601216</v>
      </c>
      <c r="I35" s="184">
        <v>1.0</v>
      </c>
      <c r="J35" s="186">
        <f t="shared" si="8"/>
        <v>77.601216</v>
      </c>
      <c r="K35" s="187"/>
      <c r="L35" s="188">
        <f t="shared" si="17"/>
        <v>5.1562</v>
      </c>
      <c r="M35" s="189">
        <f t="shared" si="18"/>
        <v>1</v>
      </c>
      <c r="N35" s="189">
        <f t="shared" si="19"/>
        <v>5.1562</v>
      </c>
      <c r="O35" s="187"/>
      <c r="P35" s="187"/>
      <c r="Q35" s="188">
        <v>99.0</v>
      </c>
      <c r="R35" s="190">
        <v>30.0</v>
      </c>
      <c r="S35" s="178">
        <f t="shared" si="9"/>
        <v>1.81</v>
      </c>
      <c r="T35" s="162">
        <f t="shared" si="10"/>
        <v>1</v>
      </c>
      <c r="U35" s="162">
        <f t="shared" si="11"/>
        <v>1.81</v>
      </c>
      <c r="V35" s="191">
        <f t="shared" si="12"/>
        <v>97.00152</v>
      </c>
      <c r="W35" s="178">
        <f t="shared" ref="W35:X35" si="23">C35/100</f>
        <v>0.88</v>
      </c>
      <c r="X35" s="178">
        <f t="shared" si="23"/>
        <v>2.03</v>
      </c>
      <c r="Y35" s="178">
        <f t="shared" si="14"/>
        <v>1.81</v>
      </c>
      <c r="Z35" s="192">
        <f t="shared" si="15"/>
        <v>3.233384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8.0</v>
      </c>
      <c r="B36" s="193" t="s">
        <v>55</v>
      </c>
      <c r="C36" s="193">
        <v>105.0</v>
      </c>
      <c r="D36" s="193">
        <v>203.0</v>
      </c>
      <c r="E36" s="193">
        <v>100.0</v>
      </c>
      <c r="F36" s="193">
        <f t="shared" si="5"/>
        <v>0</v>
      </c>
      <c r="G36" s="193">
        <f t="shared" si="6"/>
        <v>63.945</v>
      </c>
      <c r="H36" s="194">
        <f t="shared" si="7"/>
        <v>63.945</v>
      </c>
      <c r="I36" s="193">
        <v>1.0</v>
      </c>
      <c r="J36" s="195">
        <f t="shared" si="8"/>
        <v>63.945</v>
      </c>
      <c r="K36" s="139"/>
      <c r="L36" s="178">
        <f t="shared" si="17"/>
        <v>5.1562</v>
      </c>
      <c r="M36" s="162">
        <f t="shared" si="18"/>
        <v>1</v>
      </c>
      <c r="N36" s="162">
        <f t="shared" si="19"/>
        <v>5.1562</v>
      </c>
      <c r="O36" s="139"/>
      <c r="P36" s="139"/>
      <c r="Q36" s="178">
        <v>76.0</v>
      </c>
      <c r="R36" s="190">
        <v>30.0</v>
      </c>
      <c r="S36" s="178">
        <f t="shared" si="9"/>
        <v>1</v>
      </c>
      <c r="T36" s="162">
        <f t="shared" si="10"/>
        <v>1</v>
      </c>
      <c r="U36" s="162">
        <f t="shared" si="11"/>
        <v>1</v>
      </c>
      <c r="V36" s="191">
        <f t="shared" si="12"/>
        <v>63.945</v>
      </c>
      <c r="W36" s="178">
        <f t="shared" ref="W36:X36" si="24">C36/100</f>
        <v>1.05</v>
      </c>
      <c r="X36" s="178">
        <f t="shared" si="24"/>
        <v>2.03</v>
      </c>
      <c r="Y36" s="178">
        <f t="shared" si="14"/>
        <v>1</v>
      </c>
      <c r="Z36" s="192">
        <f t="shared" si="15"/>
        <v>2.1315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9.0</v>
      </c>
      <c r="B37" s="193" t="s">
        <v>55</v>
      </c>
      <c r="C37" s="193">
        <v>104.0</v>
      </c>
      <c r="D37" s="193">
        <v>203.0</v>
      </c>
      <c r="E37" s="193">
        <v>201.0</v>
      </c>
      <c r="F37" s="193">
        <f t="shared" si="5"/>
        <v>0</v>
      </c>
      <c r="G37" s="193">
        <f t="shared" si="6"/>
        <v>127.30536</v>
      </c>
      <c r="H37" s="194">
        <f t="shared" si="7"/>
        <v>127.30536</v>
      </c>
      <c r="I37" s="193">
        <v>1.0</v>
      </c>
      <c r="J37" s="195">
        <f t="shared" si="8"/>
        <v>127.30536</v>
      </c>
      <c r="K37" s="139"/>
      <c r="L37" s="178">
        <f t="shared" si="17"/>
        <v>5.1562</v>
      </c>
      <c r="M37" s="162">
        <f t="shared" si="18"/>
        <v>1</v>
      </c>
      <c r="N37" s="162">
        <f t="shared" si="19"/>
        <v>5.1562</v>
      </c>
      <c r="O37" s="139"/>
      <c r="P37" s="139"/>
      <c r="Q37" s="178">
        <v>130.0</v>
      </c>
      <c r="R37" s="190">
        <v>30.0</v>
      </c>
      <c r="S37" s="178">
        <f t="shared" si="9"/>
        <v>2.01</v>
      </c>
      <c r="T37" s="162">
        <f t="shared" si="10"/>
        <v>1</v>
      </c>
      <c r="U37" s="162">
        <f t="shared" si="11"/>
        <v>2.01</v>
      </c>
      <c r="V37" s="191">
        <f t="shared" si="12"/>
        <v>127.30536</v>
      </c>
      <c r="W37" s="178">
        <f t="shared" ref="W37:X37" si="25">C37/100</f>
        <v>1.04</v>
      </c>
      <c r="X37" s="178">
        <f t="shared" si="25"/>
        <v>2.03</v>
      </c>
      <c r="Y37" s="178">
        <f t="shared" si="14"/>
        <v>2.01</v>
      </c>
      <c r="Z37" s="192">
        <f t="shared" si="15"/>
        <v>4.243512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10.0</v>
      </c>
      <c r="B38" s="193" t="s">
        <v>55</v>
      </c>
      <c r="C38" s="193">
        <v>102.0</v>
      </c>
      <c r="D38" s="193">
        <v>203.0</v>
      </c>
      <c r="E38" s="193">
        <v>210.0</v>
      </c>
      <c r="F38" s="193">
        <f t="shared" si="5"/>
        <v>0</v>
      </c>
      <c r="G38" s="193">
        <f t="shared" si="6"/>
        <v>130.4478</v>
      </c>
      <c r="H38" s="194">
        <f t="shared" si="7"/>
        <v>130.4478</v>
      </c>
      <c r="I38" s="193">
        <v>1.0</v>
      </c>
      <c r="J38" s="195">
        <f t="shared" si="8"/>
        <v>130.4478</v>
      </c>
      <c r="K38" s="139"/>
      <c r="L38" s="178">
        <f t="shared" si="17"/>
        <v>5.1562</v>
      </c>
      <c r="M38" s="162">
        <f t="shared" si="18"/>
        <v>1</v>
      </c>
      <c r="N38" s="162">
        <f t="shared" si="19"/>
        <v>5.1562</v>
      </c>
      <c r="O38" s="139"/>
      <c r="P38" s="139"/>
      <c r="Q38" s="178">
        <v>130.0</v>
      </c>
      <c r="R38" s="190">
        <v>30.0</v>
      </c>
      <c r="S38" s="178">
        <f t="shared" si="9"/>
        <v>2.1</v>
      </c>
      <c r="T38" s="162">
        <f t="shared" si="10"/>
        <v>1</v>
      </c>
      <c r="U38" s="162">
        <f t="shared" si="11"/>
        <v>2.1</v>
      </c>
      <c r="V38" s="191">
        <f t="shared" si="12"/>
        <v>130.4478</v>
      </c>
      <c r="W38" s="178">
        <f t="shared" ref="W38:X38" si="26">C38/100</f>
        <v>1.02</v>
      </c>
      <c r="X38" s="178">
        <f t="shared" si="26"/>
        <v>2.03</v>
      </c>
      <c r="Y38" s="178">
        <f t="shared" si="14"/>
        <v>2.1</v>
      </c>
      <c r="Z38" s="192">
        <f t="shared" si="15"/>
        <v>4.34826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11.0</v>
      </c>
      <c r="B39" s="193" t="s">
        <v>55</v>
      </c>
      <c r="C39" s="193">
        <v>103.0</v>
      </c>
      <c r="D39" s="193">
        <v>203.0</v>
      </c>
      <c r="E39" s="193">
        <v>200.0</v>
      </c>
      <c r="F39" s="193">
        <f t="shared" si="5"/>
        <v>0</v>
      </c>
      <c r="G39" s="193">
        <f t="shared" si="6"/>
        <v>125.454</v>
      </c>
      <c r="H39" s="194">
        <f t="shared" si="7"/>
        <v>125.454</v>
      </c>
      <c r="I39" s="193">
        <v>1.0</v>
      </c>
      <c r="J39" s="195">
        <f t="shared" si="8"/>
        <v>125.454</v>
      </c>
      <c r="K39" s="139"/>
      <c r="L39" s="178">
        <f t="shared" si="17"/>
        <v>5.1562</v>
      </c>
      <c r="M39" s="162">
        <f t="shared" si="18"/>
        <v>1</v>
      </c>
      <c r="N39" s="162">
        <f t="shared" si="19"/>
        <v>5.1562</v>
      </c>
      <c r="O39" s="139"/>
      <c r="P39" s="139"/>
      <c r="Q39" s="178">
        <v>129.0</v>
      </c>
      <c r="R39" s="190">
        <v>30.0</v>
      </c>
      <c r="S39" s="178">
        <f t="shared" si="9"/>
        <v>2</v>
      </c>
      <c r="T39" s="162">
        <f t="shared" si="10"/>
        <v>1</v>
      </c>
      <c r="U39" s="162">
        <f t="shared" si="11"/>
        <v>2</v>
      </c>
      <c r="V39" s="191">
        <f t="shared" si="12"/>
        <v>125.454</v>
      </c>
      <c r="W39" s="178">
        <f t="shared" ref="W39:X39" si="27">C39/100</f>
        <v>1.03</v>
      </c>
      <c r="X39" s="178">
        <f t="shared" si="27"/>
        <v>2.03</v>
      </c>
      <c r="Y39" s="178">
        <f t="shared" si="14"/>
        <v>2</v>
      </c>
      <c r="Z39" s="192">
        <f t="shared" si="15"/>
        <v>4.1818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12.0</v>
      </c>
      <c r="B40" s="193" t="s">
        <v>55</v>
      </c>
      <c r="C40" s="193">
        <v>102.0</v>
      </c>
      <c r="D40" s="193">
        <v>203.0</v>
      </c>
      <c r="E40" s="193">
        <v>203.0</v>
      </c>
      <c r="F40" s="193">
        <f t="shared" si="5"/>
        <v>0</v>
      </c>
      <c r="G40" s="193">
        <f t="shared" si="6"/>
        <v>126.09954</v>
      </c>
      <c r="H40" s="194">
        <f t="shared" si="7"/>
        <v>126.09954</v>
      </c>
      <c r="I40" s="193">
        <v>1.0</v>
      </c>
      <c r="J40" s="195">
        <f t="shared" si="8"/>
        <v>126.09954</v>
      </c>
      <c r="K40" s="139"/>
      <c r="L40" s="178">
        <f t="shared" si="17"/>
        <v>5.1562</v>
      </c>
      <c r="M40" s="162">
        <f t="shared" si="18"/>
        <v>1</v>
      </c>
      <c r="N40" s="162">
        <f t="shared" si="19"/>
        <v>5.1562</v>
      </c>
      <c r="O40" s="139"/>
      <c r="P40" s="139"/>
      <c r="Q40" s="178">
        <v>128.0</v>
      </c>
      <c r="R40" s="190">
        <v>30.0</v>
      </c>
      <c r="S40" s="178">
        <f t="shared" si="9"/>
        <v>2.03</v>
      </c>
      <c r="T40" s="162">
        <f t="shared" si="10"/>
        <v>1</v>
      </c>
      <c r="U40" s="162">
        <f t="shared" si="11"/>
        <v>2.03</v>
      </c>
      <c r="V40" s="191">
        <f t="shared" si="12"/>
        <v>126.09954</v>
      </c>
      <c r="W40" s="178">
        <f t="shared" ref="W40:X40" si="28">C40/100</f>
        <v>1.02</v>
      </c>
      <c r="X40" s="178">
        <f t="shared" si="28"/>
        <v>2.03</v>
      </c>
      <c r="Y40" s="178">
        <f t="shared" si="14"/>
        <v>2.03</v>
      </c>
      <c r="Z40" s="192">
        <f t="shared" si="15"/>
        <v>4.203318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13.0</v>
      </c>
      <c r="B41" s="193" t="s">
        <v>55</v>
      </c>
      <c r="C41" s="193">
        <v>102.0</v>
      </c>
      <c r="D41" s="193">
        <v>203.0</v>
      </c>
      <c r="E41" s="193">
        <v>2993.0</v>
      </c>
      <c r="F41" s="193">
        <f t="shared" si="5"/>
        <v>0</v>
      </c>
      <c r="G41" s="193">
        <f t="shared" si="6"/>
        <v>1859.19174</v>
      </c>
      <c r="H41" s="194">
        <f t="shared" si="7"/>
        <v>1859.19174</v>
      </c>
      <c r="I41" s="193">
        <v>1.0</v>
      </c>
      <c r="J41" s="195">
        <f t="shared" si="8"/>
        <v>1859.19174</v>
      </c>
      <c r="K41" s="139"/>
      <c r="L41" s="178">
        <f t="shared" si="17"/>
        <v>5.1562</v>
      </c>
      <c r="M41" s="162">
        <f t="shared" si="18"/>
        <v>1</v>
      </c>
      <c r="N41" s="162">
        <f t="shared" si="19"/>
        <v>5.1562</v>
      </c>
      <c r="O41" s="139"/>
      <c r="P41" s="139"/>
      <c r="Q41" s="178">
        <v>1915.0</v>
      </c>
      <c r="R41" s="190">
        <v>30.0</v>
      </c>
      <c r="S41" s="178">
        <f t="shared" si="9"/>
        <v>29.93</v>
      </c>
      <c r="T41" s="162">
        <f t="shared" si="10"/>
        <v>1</v>
      </c>
      <c r="U41" s="162">
        <f t="shared" si="11"/>
        <v>29.93</v>
      </c>
      <c r="V41" s="191">
        <f t="shared" si="12"/>
        <v>1859.19174</v>
      </c>
      <c r="W41" s="178">
        <f t="shared" ref="W41:X41" si="29">C41/100</f>
        <v>1.02</v>
      </c>
      <c r="X41" s="178">
        <f t="shared" si="29"/>
        <v>2.03</v>
      </c>
      <c r="Y41" s="178">
        <f t="shared" si="14"/>
        <v>29.93</v>
      </c>
      <c r="Z41" s="192">
        <f t="shared" si="15"/>
        <v>61.973058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14.0</v>
      </c>
      <c r="B42" s="193" t="s">
        <v>55</v>
      </c>
      <c r="C42" s="193">
        <v>103.0</v>
      </c>
      <c r="D42" s="193">
        <v>203.0</v>
      </c>
      <c r="E42" s="193">
        <v>2885.0</v>
      </c>
      <c r="F42" s="193">
        <f t="shared" si="5"/>
        <v>0</v>
      </c>
      <c r="G42" s="193">
        <f t="shared" si="6"/>
        <v>1809.67395</v>
      </c>
      <c r="H42" s="194">
        <f t="shared" si="7"/>
        <v>1809.67395</v>
      </c>
      <c r="I42" s="193">
        <v>1.0</v>
      </c>
      <c r="J42" s="195">
        <f t="shared" si="8"/>
        <v>1809.67395</v>
      </c>
      <c r="K42" s="139"/>
      <c r="L42" s="178">
        <f t="shared" si="17"/>
        <v>5.1562</v>
      </c>
      <c r="M42" s="162">
        <f t="shared" si="18"/>
        <v>1</v>
      </c>
      <c r="N42" s="162">
        <f t="shared" si="19"/>
        <v>5.1562</v>
      </c>
      <c r="O42" s="139"/>
      <c r="P42" s="139"/>
      <c r="Q42" s="178">
        <v>1815.0</v>
      </c>
      <c r="R42" s="190">
        <v>30.0</v>
      </c>
      <c r="S42" s="178">
        <f t="shared" si="9"/>
        <v>28.85</v>
      </c>
      <c r="T42" s="162">
        <f t="shared" si="10"/>
        <v>1</v>
      </c>
      <c r="U42" s="162">
        <f t="shared" si="11"/>
        <v>28.85</v>
      </c>
      <c r="V42" s="191">
        <f t="shared" si="12"/>
        <v>1809.67395</v>
      </c>
      <c r="W42" s="178">
        <f t="shared" ref="W42:X42" si="30">C42/100</f>
        <v>1.03</v>
      </c>
      <c r="X42" s="178">
        <f t="shared" si="30"/>
        <v>2.03</v>
      </c>
      <c r="Y42" s="178">
        <f t="shared" si="14"/>
        <v>28.85</v>
      </c>
      <c r="Z42" s="192">
        <f t="shared" si="15"/>
        <v>60.322465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15.0</v>
      </c>
      <c r="B43" s="193" t="s">
        <v>55</v>
      </c>
      <c r="C43" s="193">
        <v>104.0</v>
      </c>
      <c r="D43" s="193">
        <v>203.0</v>
      </c>
      <c r="E43" s="193">
        <v>2886.0</v>
      </c>
      <c r="F43" s="193">
        <f t="shared" si="5"/>
        <v>0</v>
      </c>
      <c r="G43" s="193">
        <f t="shared" si="6"/>
        <v>1827.87696</v>
      </c>
      <c r="H43" s="194">
        <f t="shared" si="7"/>
        <v>1827.87696</v>
      </c>
      <c r="I43" s="193">
        <v>1.0</v>
      </c>
      <c r="J43" s="195">
        <f t="shared" si="8"/>
        <v>1827.87696</v>
      </c>
      <c r="K43" s="139"/>
      <c r="L43" s="178">
        <f t="shared" si="17"/>
        <v>5.1562</v>
      </c>
      <c r="M43" s="162">
        <f t="shared" si="18"/>
        <v>1</v>
      </c>
      <c r="N43" s="162">
        <f t="shared" si="19"/>
        <v>5.1562</v>
      </c>
      <c r="O43" s="139"/>
      <c r="P43" s="139"/>
      <c r="Q43" s="178">
        <v>1885.0</v>
      </c>
      <c r="R43" s="190">
        <v>30.0</v>
      </c>
      <c r="S43" s="178">
        <f t="shared" si="9"/>
        <v>28.86</v>
      </c>
      <c r="T43" s="162">
        <f t="shared" si="10"/>
        <v>1</v>
      </c>
      <c r="U43" s="162">
        <f t="shared" si="11"/>
        <v>28.86</v>
      </c>
      <c r="V43" s="191">
        <f t="shared" si="12"/>
        <v>1827.87696</v>
      </c>
      <c r="W43" s="178">
        <f t="shared" ref="W43:X43" si="31">C43/100</f>
        <v>1.04</v>
      </c>
      <c r="X43" s="178">
        <f t="shared" si="31"/>
        <v>2.03</v>
      </c>
      <c r="Y43" s="178">
        <f t="shared" si="14"/>
        <v>28.86</v>
      </c>
      <c r="Z43" s="192">
        <f t="shared" si="15"/>
        <v>60.929232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16.0</v>
      </c>
      <c r="B44" s="193" t="s">
        <v>55</v>
      </c>
      <c r="C44" s="193">
        <v>103.0</v>
      </c>
      <c r="D44" s="193">
        <v>203.0</v>
      </c>
      <c r="E44" s="193">
        <v>2755.0</v>
      </c>
      <c r="F44" s="193">
        <f t="shared" si="5"/>
        <v>0</v>
      </c>
      <c r="G44" s="193">
        <f t="shared" si="6"/>
        <v>1728.12885</v>
      </c>
      <c r="H44" s="194">
        <f t="shared" si="7"/>
        <v>1728.12885</v>
      </c>
      <c r="I44" s="193">
        <v>1.0</v>
      </c>
      <c r="J44" s="195">
        <f t="shared" si="8"/>
        <v>1728.12885</v>
      </c>
      <c r="K44" s="139"/>
      <c r="L44" s="178">
        <f t="shared" si="17"/>
        <v>5.1562</v>
      </c>
      <c r="M44" s="162">
        <f t="shared" si="18"/>
        <v>1</v>
      </c>
      <c r="N44" s="162">
        <f t="shared" si="19"/>
        <v>5.1562</v>
      </c>
      <c r="O44" s="139"/>
      <c r="P44" s="139"/>
      <c r="Q44" s="178">
        <v>1740.0</v>
      </c>
      <c r="R44" s="190">
        <v>30.0</v>
      </c>
      <c r="S44" s="178">
        <f t="shared" si="9"/>
        <v>27.55</v>
      </c>
      <c r="T44" s="162">
        <f t="shared" si="10"/>
        <v>1</v>
      </c>
      <c r="U44" s="162">
        <f t="shared" si="11"/>
        <v>27.55</v>
      </c>
      <c r="V44" s="191">
        <f t="shared" si="12"/>
        <v>1728.12885</v>
      </c>
      <c r="W44" s="178">
        <f t="shared" ref="W44:X44" si="32">C44/100</f>
        <v>1.03</v>
      </c>
      <c r="X44" s="178">
        <f t="shared" si="32"/>
        <v>2.03</v>
      </c>
      <c r="Y44" s="178">
        <f t="shared" si="14"/>
        <v>27.55</v>
      </c>
      <c r="Z44" s="192">
        <f t="shared" si="15"/>
        <v>57.604295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17.0</v>
      </c>
      <c r="B45" s="193" t="s">
        <v>55</v>
      </c>
      <c r="C45" s="193">
        <v>102.0</v>
      </c>
      <c r="D45" s="193">
        <v>203.0</v>
      </c>
      <c r="E45" s="193">
        <v>2743.0</v>
      </c>
      <c r="F45" s="193">
        <f t="shared" si="5"/>
        <v>0</v>
      </c>
      <c r="G45" s="193">
        <f t="shared" si="6"/>
        <v>1703.89674</v>
      </c>
      <c r="H45" s="194">
        <f t="shared" si="7"/>
        <v>1703.89674</v>
      </c>
      <c r="I45" s="193">
        <v>1.0</v>
      </c>
      <c r="J45" s="195">
        <f t="shared" si="8"/>
        <v>1703.89674</v>
      </c>
      <c r="K45" s="139"/>
      <c r="L45" s="178">
        <f t="shared" si="17"/>
        <v>5.1562</v>
      </c>
      <c r="M45" s="162">
        <f t="shared" si="18"/>
        <v>1</v>
      </c>
      <c r="N45" s="162">
        <f t="shared" si="19"/>
        <v>5.1562</v>
      </c>
      <c r="O45" s="139"/>
      <c r="P45" s="139"/>
      <c r="Q45" s="178">
        <v>1745.0</v>
      </c>
      <c r="R45" s="190">
        <v>30.0</v>
      </c>
      <c r="S45" s="178">
        <f t="shared" si="9"/>
        <v>27.43</v>
      </c>
      <c r="T45" s="162">
        <f t="shared" si="10"/>
        <v>1</v>
      </c>
      <c r="U45" s="162">
        <f t="shared" si="11"/>
        <v>27.43</v>
      </c>
      <c r="V45" s="191">
        <f t="shared" si="12"/>
        <v>1703.89674</v>
      </c>
      <c r="W45" s="178">
        <f t="shared" ref="W45:X45" si="33">C45/100</f>
        <v>1.02</v>
      </c>
      <c r="X45" s="178">
        <f t="shared" si="33"/>
        <v>2.03</v>
      </c>
      <c r="Y45" s="178">
        <f t="shared" si="14"/>
        <v>27.43</v>
      </c>
      <c r="Z45" s="192">
        <f t="shared" si="15"/>
        <v>56.796558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18.0</v>
      </c>
      <c r="B46" s="183" t="s">
        <v>63</v>
      </c>
      <c r="C46" s="184">
        <v>73.0</v>
      </c>
      <c r="D46" s="184">
        <v>203.0</v>
      </c>
      <c r="E46" s="184">
        <v>181.0</v>
      </c>
      <c r="F46" s="184">
        <f t="shared" si="5"/>
        <v>0.8</v>
      </c>
      <c r="G46" s="184">
        <f t="shared" si="6"/>
        <v>80.46717</v>
      </c>
      <c r="H46" s="185">
        <f t="shared" si="7"/>
        <v>64.373736</v>
      </c>
      <c r="I46" s="184">
        <v>1.0</v>
      </c>
      <c r="J46" s="186">
        <f t="shared" si="8"/>
        <v>64.373736</v>
      </c>
      <c r="K46" s="187"/>
      <c r="L46" s="188">
        <f t="shared" si="17"/>
        <v>5.1562</v>
      </c>
      <c r="M46" s="189">
        <f t="shared" si="18"/>
        <v>1</v>
      </c>
      <c r="N46" s="189">
        <f t="shared" si="19"/>
        <v>5.1562</v>
      </c>
      <c r="O46" s="187"/>
      <c r="P46" s="187"/>
      <c r="Q46" s="188">
        <v>101.0</v>
      </c>
      <c r="R46" s="190">
        <v>30.0</v>
      </c>
      <c r="S46" s="178">
        <f t="shared" si="9"/>
        <v>1.81</v>
      </c>
      <c r="T46" s="162">
        <f t="shared" si="10"/>
        <v>1</v>
      </c>
      <c r="U46" s="162">
        <f t="shared" si="11"/>
        <v>1.81</v>
      </c>
      <c r="V46" s="191">
        <f t="shared" si="12"/>
        <v>80.46717</v>
      </c>
      <c r="W46" s="178">
        <f t="shared" ref="W46:X46" si="34">C46/100</f>
        <v>0.73</v>
      </c>
      <c r="X46" s="178">
        <f t="shared" si="34"/>
        <v>2.03</v>
      </c>
      <c r="Y46" s="178">
        <f t="shared" si="14"/>
        <v>1.81</v>
      </c>
      <c r="Z46" s="192">
        <f t="shared" si="15"/>
        <v>2.682239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19.0</v>
      </c>
      <c r="B47" s="193" t="s">
        <v>55</v>
      </c>
      <c r="C47" s="193">
        <v>83.0</v>
      </c>
      <c r="D47" s="193">
        <v>203.0</v>
      </c>
      <c r="E47" s="193">
        <v>160.0</v>
      </c>
      <c r="F47" s="193">
        <f t="shared" si="5"/>
        <v>0</v>
      </c>
      <c r="G47" s="193">
        <f t="shared" si="6"/>
        <v>80.8752</v>
      </c>
      <c r="H47" s="194">
        <f t="shared" si="7"/>
        <v>80.8752</v>
      </c>
      <c r="I47" s="193">
        <v>1.0</v>
      </c>
      <c r="J47" s="195">
        <f t="shared" si="8"/>
        <v>80.8752</v>
      </c>
      <c r="K47" s="139"/>
      <c r="L47" s="178">
        <f t="shared" si="17"/>
        <v>5.1562</v>
      </c>
      <c r="M47" s="162">
        <f t="shared" si="18"/>
        <v>1</v>
      </c>
      <c r="N47" s="162">
        <f t="shared" si="19"/>
        <v>5.1562</v>
      </c>
      <c r="O47" s="139"/>
      <c r="P47" s="139"/>
      <c r="Q47" s="178">
        <v>82.0</v>
      </c>
      <c r="R47" s="190">
        <v>30.0</v>
      </c>
      <c r="S47" s="178">
        <f t="shared" si="9"/>
        <v>1.6</v>
      </c>
      <c r="T47" s="162">
        <f t="shared" si="10"/>
        <v>1</v>
      </c>
      <c r="U47" s="162">
        <f t="shared" si="11"/>
        <v>1.6</v>
      </c>
      <c r="V47" s="191">
        <f t="shared" si="12"/>
        <v>80.8752</v>
      </c>
      <c r="W47" s="178">
        <f t="shared" ref="W47:X47" si="35">C47/100</f>
        <v>0.83</v>
      </c>
      <c r="X47" s="178">
        <f t="shared" si="35"/>
        <v>2.03</v>
      </c>
      <c r="Y47" s="178">
        <f t="shared" si="14"/>
        <v>1.6</v>
      </c>
      <c r="Z47" s="192">
        <f t="shared" si="15"/>
        <v>2.69584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20.0</v>
      </c>
      <c r="B48" s="193" t="s">
        <v>55</v>
      </c>
      <c r="C48" s="193">
        <v>85.0</v>
      </c>
      <c r="D48" s="193">
        <v>203.0</v>
      </c>
      <c r="E48" s="193">
        <v>224.0</v>
      </c>
      <c r="F48" s="193">
        <f t="shared" si="5"/>
        <v>0</v>
      </c>
      <c r="G48" s="193">
        <f t="shared" si="6"/>
        <v>115.9536</v>
      </c>
      <c r="H48" s="194">
        <f t="shared" si="7"/>
        <v>115.9536</v>
      </c>
      <c r="I48" s="193">
        <v>1.0</v>
      </c>
      <c r="J48" s="195">
        <f t="shared" si="8"/>
        <v>115.9536</v>
      </c>
      <c r="K48" s="139"/>
      <c r="L48" s="178">
        <f t="shared" si="17"/>
        <v>5.1562</v>
      </c>
      <c r="M48" s="162">
        <f t="shared" si="18"/>
        <v>1</v>
      </c>
      <c r="N48" s="162">
        <f t="shared" si="19"/>
        <v>5.1562</v>
      </c>
      <c r="O48" s="139"/>
      <c r="P48" s="139"/>
      <c r="Q48" s="178">
        <v>131.0</v>
      </c>
      <c r="R48" s="190">
        <v>30.0</v>
      </c>
      <c r="S48" s="178">
        <f t="shared" si="9"/>
        <v>2.24</v>
      </c>
      <c r="T48" s="162">
        <f t="shared" si="10"/>
        <v>1</v>
      </c>
      <c r="U48" s="162">
        <f t="shared" si="11"/>
        <v>2.24</v>
      </c>
      <c r="V48" s="191">
        <f t="shared" si="12"/>
        <v>115.9536</v>
      </c>
      <c r="W48" s="178">
        <f t="shared" ref="W48:X48" si="36">C48/100</f>
        <v>0.85</v>
      </c>
      <c r="X48" s="178">
        <f t="shared" si="36"/>
        <v>2.03</v>
      </c>
      <c r="Y48" s="178">
        <f t="shared" si="14"/>
        <v>2.24</v>
      </c>
      <c r="Z48" s="192">
        <f t="shared" si="15"/>
        <v>3.86512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21.0</v>
      </c>
      <c r="B49" s="193" t="s">
        <v>55</v>
      </c>
      <c r="C49" s="193">
        <v>99.0</v>
      </c>
      <c r="D49" s="193">
        <v>203.0</v>
      </c>
      <c r="E49" s="193">
        <v>199.0</v>
      </c>
      <c r="F49" s="193">
        <f t="shared" si="5"/>
        <v>0</v>
      </c>
      <c r="G49" s="193">
        <f t="shared" si="6"/>
        <v>119.97909</v>
      </c>
      <c r="H49" s="194">
        <f t="shared" si="7"/>
        <v>119.97909</v>
      </c>
      <c r="I49" s="193">
        <v>1.0</v>
      </c>
      <c r="J49" s="195">
        <f t="shared" si="8"/>
        <v>119.97909</v>
      </c>
      <c r="K49" s="139"/>
      <c r="L49" s="178">
        <f t="shared" si="17"/>
        <v>5.1562</v>
      </c>
      <c r="M49" s="162">
        <f t="shared" si="18"/>
        <v>1</v>
      </c>
      <c r="N49" s="162">
        <f t="shared" si="19"/>
        <v>5.1562</v>
      </c>
      <c r="O49" s="139"/>
      <c r="P49" s="139"/>
      <c r="Q49" s="178">
        <v>117.0</v>
      </c>
      <c r="R49" s="190">
        <v>30.0</v>
      </c>
      <c r="S49" s="178">
        <f t="shared" si="9"/>
        <v>1.99</v>
      </c>
      <c r="T49" s="162">
        <f t="shared" si="10"/>
        <v>1</v>
      </c>
      <c r="U49" s="162">
        <f t="shared" si="11"/>
        <v>1.99</v>
      </c>
      <c r="V49" s="191">
        <f t="shared" si="12"/>
        <v>119.97909</v>
      </c>
      <c r="W49" s="178">
        <f t="shared" ref="W49:X49" si="37">C49/100</f>
        <v>0.99</v>
      </c>
      <c r="X49" s="178">
        <f t="shared" si="37"/>
        <v>2.03</v>
      </c>
      <c r="Y49" s="178">
        <f t="shared" si="14"/>
        <v>1.99</v>
      </c>
      <c r="Z49" s="192">
        <f t="shared" si="15"/>
        <v>3.999303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22.0</v>
      </c>
      <c r="B50" s="193" t="s">
        <v>55</v>
      </c>
      <c r="C50" s="193">
        <v>100.0</v>
      </c>
      <c r="D50" s="193">
        <v>203.0</v>
      </c>
      <c r="E50" s="193">
        <v>2880.0</v>
      </c>
      <c r="F50" s="193">
        <f t="shared" si="5"/>
        <v>0</v>
      </c>
      <c r="G50" s="193">
        <f t="shared" si="6"/>
        <v>1753.92</v>
      </c>
      <c r="H50" s="194">
        <f t="shared" si="7"/>
        <v>1753.92</v>
      </c>
      <c r="I50" s="193">
        <v>1.0</v>
      </c>
      <c r="J50" s="195">
        <f t="shared" si="8"/>
        <v>1753.92</v>
      </c>
      <c r="K50" s="139"/>
      <c r="L50" s="178">
        <f t="shared" si="17"/>
        <v>5.1562</v>
      </c>
      <c r="M50" s="162">
        <f t="shared" si="18"/>
        <v>1</v>
      </c>
      <c r="N50" s="162">
        <f t="shared" si="19"/>
        <v>5.1562</v>
      </c>
      <c r="O50" s="139"/>
      <c r="P50" s="139"/>
      <c r="Q50" s="178">
        <v>1720.0</v>
      </c>
      <c r="R50" s="190">
        <v>30.0</v>
      </c>
      <c r="S50" s="178">
        <f t="shared" si="9"/>
        <v>28.8</v>
      </c>
      <c r="T50" s="162">
        <f t="shared" si="10"/>
        <v>1</v>
      </c>
      <c r="U50" s="162">
        <f t="shared" si="11"/>
        <v>28.8</v>
      </c>
      <c r="V50" s="191">
        <f t="shared" si="12"/>
        <v>1753.92</v>
      </c>
      <c r="W50" s="178">
        <f t="shared" ref="W50:X50" si="38">C50/100</f>
        <v>1</v>
      </c>
      <c r="X50" s="178">
        <f t="shared" si="38"/>
        <v>2.03</v>
      </c>
      <c r="Y50" s="178">
        <f t="shared" si="14"/>
        <v>28.8</v>
      </c>
      <c r="Z50" s="192">
        <f t="shared" si="15"/>
        <v>58.464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23.0</v>
      </c>
      <c r="B51" s="193" t="s">
        <v>55</v>
      </c>
      <c r="C51" s="193">
        <v>99.0</v>
      </c>
      <c r="D51" s="193">
        <v>203.0</v>
      </c>
      <c r="E51" s="193">
        <v>2885.0</v>
      </c>
      <c r="F51" s="193">
        <f t="shared" si="5"/>
        <v>0</v>
      </c>
      <c r="G51" s="193">
        <f t="shared" si="6"/>
        <v>1739.39535</v>
      </c>
      <c r="H51" s="194">
        <f t="shared" si="7"/>
        <v>1739.39535</v>
      </c>
      <c r="I51" s="193">
        <v>1.0</v>
      </c>
      <c r="J51" s="195">
        <f t="shared" si="8"/>
        <v>1739.39535</v>
      </c>
      <c r="K51" s="139"/>
      <c r="L51" s="178">
        <f t="shared" si="17"/>
        <v>5.1562</v>
      </c>
      <c r="M51" s="162">
        <f t="shared" si="18"/>
        <v>1</v>
      </c>
      <c r="N51" s="162">
        <f t="shared" si="19"/>
        <v>5.1562</v>
      </c>
      <c r="O51" s="139"/>
      <c r="P51" s="139"/>
      <c r="Q51" s="178">
        <v>1750.0</v>
      </c>
      <c r="R51" s="190">
        <v>30.0</v>
      </c>
      <c r="S51" s="178">
        <f t="shared" si="9"/>
        <v>28.85</v>
      </c>
      <c r="T51" s="162">
        <f t="shared" si="10"/>
        <v>1</v>
      </c>
      <c r="U51" s="162">
        <f t="shared" si="11"/>
        <v>28.85</v>
      </c>
      <c r="V51" s="191">
        <f t="shared" si="12"/>
        <v>1739.39535</v>
      </c>
      <c r="W51" s="178">
        <f t="shared" ref="W51:X51" si="39">C51/100</f>
        <v>0.99</v>
      </c>
      <c r="X51" s="178">
        <f t="shared" si="39"/>
        <v>2.03</v>
      </c>
      <c r="Y51" s="178">
        <f t="shared" si="14"/>
        <v>28.85</v>
      </c>
      <c r="Z51" s="192">
        <f t="shared" si="15"/>
        <v>57.979845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24.0</v>
      </c>
      <c r="B52" s="193" t="s">
        <v>55</v>
      </c>
      <c r="C52" s="193">
        <v>97.0</v>
      </c>
      <c r="D52" s="193">
        <v>203.0</v>
      </c>
      <c r="E52" s="193">
        <v>2880.0</v>
      </c>
      <c r="F52" s="193">
        <f t="shared" si="5"/>
        <v>0</v>
      </c>
      <c r="G52" s="193">
        <f t="shared" si="6"/>
        <v>1701.3024</v>
      </c>
      <c r="H52" s="194">
        <f t="shared" si="7"/>
        <v>1701.3024</v>
      </c>
      <c r="I52" s="193">
        <v>1.0</v>
      </c>
      <c r="J52" s="195">
        <f t="shared" si="8"/>
        <v>1701.3024</v>
      </c>
      <c r="K52" s="139"/>
      <c r="L52" s="178">
        <f t="shared" si="17"/>
        <v>5.1562</v>
      </c>
      <c r="M52" s="162">
        <f t="shared" si="18"/>
        <v>1</v>
      </c>
      <c r="N52" s="162">
        <f t="shared" si="19"/>
        <v>5.1562</v>
      </c>
      <c r="O52" s="139"/>
      <c r="P52" s="139"/>
      <c r="Q52" s="178">
        <v>1705.0</v>
      </c>
      <c r="R52" s="190">
        <v>30.0</v>
      </c>
      <c r="S52" s="178">
        <f t="shared" si="9"/>
        <v>28.8</v>
      </c>
      <c r="T52" s="162">
        <f t="shared" si="10"/>
        <v>1</v>
      </c>
      <c r="U52" s="162">
        <f t="shared" si="11"/>
        <v>28.8</v>
      </c>
      <c r="V52" s="191">
        <f t="shared" si="12"/>
        <v>1701.3024</v>
      </c>
      <c r="W52" s="178">
        <f t="shared" ref="W52:X52" si="40">C52/100</f>
        <v>0.97</v>
      </c>
      <c r="X52" s="178">
        <f t="shared" si="40"/>
        <v>2.03</v>
      </c>
      <c r="Y52" s="178">
        <f t="shared" si="14"/>
        <v>28.8</v>
      </c>
      <c r="Z52" s="192">
        <f t="shared" si="15"/>
        <v>56.71008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25.0</v>
      </c>
      <c r="B53" s="193" t="s">
        <v>55</v>
      </c>
      <c r="C53" s="193">
        <v>98.0</v>
      </c>
      <c r="D53" s="193">
        <v>203.0</v>
      </c>
      <c r="E53" s="193">
        <v>2881.0</v>
      </c>
      <c r="F53" s="193">
        <f t="shared" si="5"/>
        <v>0</v>
      </c>
      <c r="G53" s="193">
        <f t="shared" si="6"/>
        <v>1719.43842</v>
      </c>
      <c r="H53" s="194">
        <f t="shared" si="7"/>
        <v>1719.43842</v>
      </c>
      <c r="I53" s="193">
        <v>1.0</v>
      </c>
      <c r="J53" s="195">
        <f t="shared" si="8"/>
        <v>1719.43842</v>
      </c>
      <c r="K53" s="139"/>
      <c r="L53" s="178">
        <f t="shared" si="17"/>
        <v>5.1562</v>
      </c>
      <c r="M53" s="162">
        <f t="shared" si="18"/>
        <v>1</v>
      </c>
      <c r="N53" s="162">
        <f t="shared" si="19"/>
        <v>5.1562</v>
      </c>
      <c r="O53" s="139"/>
      <c r="P53" s="139"/>
      <c r="Q53" s="178">
        <v>1720.0</v>
      </c>
      <c r="R53" s="190">
        <v>30.0</v>
      </c>
      <c r="S53" s="178">
        <f t="shared" si="9"/>
        <v>28.81</v>
      </c>
      <c r="T53" s="162">
        <f t="shared" si="10"/>
        <v>1</v>
      </c>
      <c r="U53" s="162">
        <f t="shared" si="11"/>
        <v>28.81</v>
      </c>
      <c r="V53" s="191">
        <f t="shared" si="12"/>
        <v>1719.43842</v>
      </c>
      <c r="W53" s="178">
        <f t="shared" ref="W53:X53" si="41">C53/100</f>
        <v>0.98</v>
      </c>
      <c r="X53" s="178">
        <f t="shared" si="41"/>
        <v>2.03</v>
      </c>
      <c r="Y53" s="178">
        <f t="shared" si="14"/>
        <v>28.81</v>
      </c>
      <c r="Z53" s="192">
        <f t="shared" si="15"/>
        <v>57.314614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26.0</v>
      </c>
      <c r="B54" s="193" t="s">
        <v>55</v>
      </c>
      <c r="C54" s="193">
        <v>98.0</v>
      </c>
      <c r="D54" s="193">
        <v>203.0</v>
      </c>
      <c r="E54" s="193">
        <v>2880.0</v>
      </c>
      <c r="F54" s="193">
        <f t="shared" si="5"/>
        <v>0</v>
      </c>
      <c r="G54" s="193">
        <f t="shared" si="6"/>
        <v>1718.8416</v>
      </c>
      <c r="H54" s="194">
        <f t="shared" si="7"/>
        <v>1718.8416</v>
      </c>
      <c r="I54" s="193">
        <v>1.0</v>
      </c>
      <c r="J54" s="195">
        <f t="shared" si="8"/>
        <v>1718.8416</v>
      </c>
      <c r="K54" s="139"/>
      <c r="L54" s="197"/>
      <c r="M54" s="198">
        <f t="shared" si="18"/>
        <v>1</v>
      </c>
      <c r="N54" s="198"/>
      <c r="O54" s="139"/>
      <c r="P54" s="139"/>
      <c r="Q54" s="178">
        <v>1710.0</v>
      </c>
      <c r="R54" s="190">
        <v>30.0</v>
      </c>
      <c r="S54" s="178">
        <f t="shared" si="9"/>
        <v>28.8</v>
      </c>
      <c r="T54" s="162">
        <f t="shared" si="10"/>
        <v>1</v>
      </c>
      <c r="U54" s="162">
        <f t="shared" si="11"/>
        <v>28.8</v>
      </c>
      <c r="V54" s="191">
        <f t="shared" si="12"/>
        <v>1718.8416</v>
      </c>
      <c r="W54" s="178">
        <f t="shared" ref="W54:X54" si="42">C54/100</f>
        <v>0.98</v>
      </c>
      <c r="X54" s="178">
        <f t="shared" si="42"/>
        <v>2.03</v>
      </c>
      <c r="Y54" s="178">
        <f t="shared" si="14"/>
        <v>28.8</v>
      </c>
      <c r="Z54" s="192">
        <f t="shared" si="15"/>
        <v>57.29472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27.0</v>
      </c>
      <c r="B55" s="183" t="s">
        <v>94</v>
      </c>
      <c r="C55" s="184">
        <v>99.0</v>
      </c>
      <c r="D55" s="184">
        <v>203.0</v>
      </c>
      <c r="E55" s="184">
        <v>200.0</v>
      </c>
      <c r="F55" s="184">
        <f t="shared" si="5"/>
        <v>0.8</v>
      </c>
      <c r="G55" s="184">
        <f t="shared" si="6"/>
        <v>118.5723</v>
      </c>
      <c r="H55" s="185">
        <f t="shared" si="7"/>
        <v>94.85784</v>
      </c>
      <c r="I55" s="184">
        <v>1.0</v>
      </c>
      <c r="J55" s="186">
        <f t="shared" si="8"/>
        <v>94.85784</v>
      </c>
      <c r="K55" s="187"/>
      <c r="L55" s="188"/>
      <c r="M55" s="189">
        <f t="shared" si="18"/>
        <v>1</v>
      </c>
      <c r="N55" s="189"/>
      <c r="O55" s="187"/>
      <c r="P55" s="187"/>
      <c r="Q55" s="188">
        <v>118.0</v>
      </c>
      <c r="R55" s="190">
        <v>29.5</v>
      </c>
      <c r="S55" s="178">
        <f t="shared" si="9"/>
        <v>2</v>
      </c>
      <c r="T55" s="162">
        <f t="shared" si="10"/>
        <v>1</v>
      </c>
      <c r="U55" s="162">
        <f t="shared" si="11"/>
        <v>2</v>
      </c>
      <c r="V55" s="191">
        <f t="shared" si="12"/>
        <v>118.5723</v>
      </c>
      <c r="W55" s="178">
        <f t="shared" ref="W55:X55" si="43">C55/100</f>
        <v>0.99</v>
      </c>
      <c r="X55" s="178">
        <f t="shared" si="43"/>
        <v>2.03</v>
      </c>
      <c r="Y55" s="178">
        <f t="shared" si="14"/>
        <v>2</v>
      </c>
      <c r="Z55" s="192">
        <f t="shared" si="15"/>
        <v>4.0194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28.0</v>
      </c>
      <c r="B56" s="193" t="s">
        <v>57</v>
      </c>
      <c r="C56" s="193">
        <v>97.0</v>
      </c>
      <c r="D56" s="193">
        <v>203.0</v>
      </c>
      <c r="E56" s="193">
        <v>2395.0</v>
      </c>
      <c r="F56" s="193">
        <f t="shared" si="5"/>
        <v>0</v>
      </c>
      <c r="G56" s="193">
        <f t="shared" si="6"/>
        <v>1391.218378</v>
      </c>
      <c r="H56" s="194">
        <f t="shared" si="7"/>
        <v>1391.218378</v>
      </c>
      <c r="I56" s="193">
        <v>1.0</v>
      </c>
      <c r="J56" s="195">
        <f t="shared" si="8"/>
        <v>1391.218378</v>
      </c>
      <c r="K56" s="139"/>
      <c r="L56" s="197"/>
      <c r="M56" s="198">
        <f t="shared" si="18"/>
        <v>1</v>
      </c>
      <c r="N56" s="198"/>
      <c r="O56" s="139"/>
      <c r="P56" s="139"/>
      <c r="Q56" s="178">
        <v>1390.0</v>
      </c>
      <c r="R56" s="190">
        <v>29.5</v>
      </c>
      <c r="S56" s="178">
        <f t="shared" si="9"/>
        <v>23.95</v>
      </c>
      <c r="T56" s="162">
        <f t="shared" si="10"/>
        <v>1</v>
      </c>
      <c r="U56" s="162">
        <f t="shared" si="11"/>
        <v>23.95</v>
      </c>
      <c r="V56" s="191">
        <f t="shared" si="12"/>
        <v>1391.218378</v>
      </c>
      <c r="W56" s="178">
        <f t="shared" ref="W56:X56" si="44">C56/100</f>
        <v>0.97</v>
      </c>
      <c r="X56" s="178">
        <f t="shared" si="44"/>
        <v>2.03</v>
      </c>
      <c r="Y56" s="178">
        <f t="shared" si="14"/>
        <v>23.95</v>
      </c>
      <c r="Z56" s="192">
        <f t="shared" si="15"/>
        <v>47.159945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29.0</v>
      </c>
      <c r="B57" s="193" t="s">
        <v>57</v>
      </c>
      <c r="C57" s="193">
        <v>99.0</v>
      </c>
      <c r="D57" s="193">
        <v>203.0</v>
      </c>
      <c r="E57" s="193">
        <v>2877.0</v>
      </c>
      <c r="F57" s="193">
        <f t="shared" si="5"/>
        <v>0</v>
      </c>
      <c r="G57" s="193">
        <f t="shared" si="6"/>
        <v>1705.662536</v>
      </c>
      <c r="H57" s="194">
        <f t="shared" si="7"/>
        <v>1705.662536</v>
      </c>
      <c r="I57" s="193">
        <v>1.0</v>
      </c>
      <c r="J57" s="195">
        <f t="shared" si="8"/>
        <v>1705.662536</v>
      </c>
      <c r="K57" s="139"/>
      <c r="L57" s="197"/>
      <c r="M57" s="198">
        <f t="shared" si="18"/>
        <v>1</v>
      </c>
      <c r="N57" s="198"/>
      <c r="O57" s="139"/>
      <c r="P57" s="139"/>
      <c r="Q57" s="178">
        <v>1675.0</v>
      </c>
      <c r="R57" s="190">
        <v>29.5</v>
      </c>
      <c r="S57" s="178">
        <f t="shared" si="9"/>
        <v>28.77</v>
      </c>
      <c r="T57" s="162">
        <f t="shared" si="10"/>
        <v>1</v>
      </c>
      <c r="U57" s="162">
        <f t="shared" si="11"/>
        <v>28.77</v>
      </c>
      <c r="V57" s="191">
        <f t="shared" si="12"/>
        <v>1705.662536</v>
      </c>
      <c r="W57" s="178">
        <f t="shared" ref="W57:X57" si="45">C57/100</f>
        <v>0.99</v>
      </c>
      <c r="X57" s="178">
        <f t="shared" si="45"/>
        <v>2.03</v>
      </c>
      <c r="Y57" s="178">
        <f t="shared" si="14"/>
        <v>28.77</v>
      </c>
      <c r="Z57" s="192">
        <f t="shared" si="15"/>
        <v>57.819069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30.0</v>
      </c>
      <c r="B58" s="193" t="s">
        <v>57</v>
      </c>
      <c r="C58" s="193">
        <v>100.0</v>
      </c>
      <c r="D58" s="193">
        <v>203.0</v>
      </c>
      <c r="E58" s="193">
        <v>2879.0</v>
      </c>
      <c r="F58" s="193">
        <f t="shared" si="5"/>
        <v>0</v>
      </c>
      <c r="G58" s="193">
        <f t="shared" si="6"/>
        <v>1724.08915</v>
      </c>
      <c r="H58" s="194">
        <f t="shared" si="7"/>
        <v>1724.08915</v>
      </c>
      <c r="I58" s="193">
        <v>1.0</v>
      </c>
      <c r="J58" s="195">
        <f t="shared" si="8"/>
        <v>1724.08915</v>
      </c>
      <c r="K58" s="139"/>
      <c r="L58" s="197"/>
      <c r="M58" s="198">
        <f t="shared" si="18"/>
        <v>1</v>
      </c>
      <c r="N58" s="198"/>
      <c r="O58" s="139"/>
      <c r="P58" s="139"/>
      <c r="Q58" s="178">
        <v>1685.0</v>
      </c>
      <c r="R58" s="190">
        <v>29.5</v>
      </c>
      <c r="S58" s="178">
        <f t="shared" si="9"/>
        <v>28.79</v>
      </c>
      <c r="T58" s="162">
        <f t="shared" si="10"/>
        <v>1</v>
      </c>
      <c r="U58" s="162">
        <f t="shared" si="11"/>
        <v>28.79</v>
      </c>
      <c r="V58" s="191">
        <f t="shared" si="12"/>
        <v>1724.08915</v>
      </c>
      <c r="W58" s="178">
        <f t="shared" ref="W58:X58" si="46">C58/100</f>
        <v>1</v>
      </c>
      <c r="X58" s="178">
        <f t="shared" si="46"/>
        <v>2.03</v>
      </c>
      <c r="Y58" s="178">
        <f t="shared" si="14"/>
        <v>28.79</v>
      </c>
      <c r="Z58" s="192">
        <f t="shared" si="15"/>
        <v>58.4437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31.0</v>
      </c>
      <c r="B59" s="193" t="s">
        <v>57</v>
      </c>
      <c r="C59" s="193">
        <v>97.0</v>
      </c>
      <c r="D59" s="193">
        <v>203.0</v>
      </c>
      <c r="E59" s="193">
        <v>2875.0</v>
      </c>
      <c r="F59" s="193">
        <f t="shared" si="5"/>
        <v>0</v>
      </c>
      <c r="G59" s="193">
        <f t="shared" si="6"/>
        <v>1670.042938</v>
      </c>
      <c r="H59" s="194">
        <f t="shared" si="7"/>
        <v>1670.042938</v>
      </c>
      <c r="I59" s="193">
        <v>1.0</v>
      </c>
      <c r="J59" s="195">
        <f t="shared" si="8"/>
        <v>1670.042938</v>
      </c>
      <c r="K59" s="139"/>
      <c r="L59" s="197"/>
      <c r="M59" s="198">
        <f t="shared" si="18"/>
        <v>1</v>
      </c>
      <c r="N59" s="198"/>
      <c r="O59" s="139"/>
      <c r="P59" s="139"/>
      <c r="Q59" s="178">
        <v>1665.0</v>
      </c>
      <c r="R59" s="190">
        <v>29.5</v>
      </c>
      <c r="S59" s="178">
        <f t="shared" si="9"/>
        <v>28.75</v>
      </c>
      <c r="T59" s="162">
        <f t="shared" si="10"/>
        <v>1</v>
      </c>
      <c r="U59" s="162">
        <f t="shared" si="11"/>
        <v>28.75</v>
      </c>
      <c r="V59" s="191">
        <f t="shared" si="12"/>
        <v>1670.042938</v>
      </c>
      <c r="W59" s="178">
        <f t="shared" ref="W59:X59" si="47">C59/100</f>
        <v>0.97</v>
      </c>
      <c r="X59" s="178">
        <f t="shared" si="47"/>
        <v>2.03</v>
      </c>
      <c r="Y59" s="178">
        <f t="shared" si="14"/>
        <v>28.75</v>
      </c>
      <c r="Z59" s="192">
        <f t="shared" si="15"/>
        <v>56.611625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32.0</v>
      </c>
      <c r="B60" s="193" t="s">
        <v>57</v>
      </c>
      <c r="C60" s="193">
        <v>98.0</v>
      </c>
      <c r="D60" s="193">
        <v>203.0</v>
      </c>
      <c r="E60" s="193">
        <v>2878.0</v>
      </c>
      <c r="F60" s="193">
        <f t="shared" si="5"/>
        <v>0</v>
      </c>
      <c r="G60" s="193">
        <f t="shared" si="6"/>
        <v>1689.020494</v>
      </c>
      <c r="H60" s="194">
        <f t="shared" si="7"/>
        <v>1689.020494</v>
      </c>
      <c r="I60" s="193">
        <v>1.0</v>
      </c>
      <c r="J60" s="195">
        <f t="shared" si="8"/>
        <v>1689.020494</v>
      </c>
      <c r="K60" s="139"/>
      <c r="L60" s="197"/>
      <c r="M60" s="198">
        <f t="shared" si="18"/>
        <v>1</v>
      </c>
      <c r="N60" s="198"/>
      <c r="O60" s="139"/>
      <c r="P60" s="139"/>
      <c r="Q60" s="178">
        <v>1670.0</v>
      </c>
      <c r="R60" s="190">
        <v>29.5</v>
      </c>
      <c r="S60" s="178">
        <f t="shared" si="9"/>
        <v>28.78</v>
      </c>
      <c r="T60" s="162">
        <f t="shared" si="10"/>
        <v>1</v>
      </c>
      <c r="U60" s="162">
        <f t="shared" si="11"/>
        <v>28.78</v>
      </c>
      <c r="V60" s="191">
        <f t="shared" si="12"/>
        <v>1689.020494</v>
      </c>
      <c r="W60" s="178">
        <f t="shared" ref="W60:X60" si="48">C60/100</f>
        <v>0.98</v>
      </c>
      <c r="X60" s="178">
        <f t="shared" si="48"/>
        <v>2.03</v>
      </c>
      <c r="Y60" s="178">
        <f t="shared" si="14"/>
        <v>28.78</v>
      </c>
      <c r="Z60" s="192">
        <f t="shared" si="15"/>
        <v>57.254932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33.0</v>
      </c>
      <c r="B61" s="193" t="s">
        <v>57</v>
      </c>
      <c r="C61" s="193">
        <v>97.0</v>
      </c>
      <c r="D61" s="193">
        <v>203.0</v>
      </c>
      <c r="E61" s="193">
        <v>2825.0</v>
      </c>
      <c r="F61" s="193">
        <f t="shared" si="5"/>
        <v>0</v>
      </c>
      <c r="G61" s="193">
        <f t="shared" si="6"/>
        <v>1640.998713</v>
      </c>
      <c r="H61" s="194">
        <f t="shared" si="7"/>
        <v>1640.998713</v>
      </c>
      <c r="I61" s="193">
        <v>1.0</v>
      </c>
      <c r="J61" s="195">
        <f t="shared" si="8"/>
        <v>1640.998713</v>
      </c>
      <c r="K61" s="139"/>
      <c r="L61" s="197"/>
      <c r="M61" s="198">
        <f t="shared" si="18"/>
        <v>1</v>
      </c>
      <c r="N61" s="198"/>
      <c r="O61" s="139"/>
      <c r="P61" s="139"/>
      <c r="Q61" s="178">
        <v>1655.0</v>
      </c>
      <c r="R61" s="190">
        <v>29.5</v>
      </c>
      <c r="S61" s="178">
        <f t="shared" si="9"/>
        <v>28.25</v>
      </c>
      <c r="T61" s="162">
        <f t="shared" si="10"/>
        <v>1</v>
      </c>
      <c r="U61" s="162">
        <f t="shared" si="11"/>
        <v>28.25</v>
      </c>
      <c r="V61" s="191">
        <f t="shared" si="12"/>
        <v>1640.998713</v>
      </c>
      <c r="W61" s="178">
        <f t="shared" ref="W61:X61" si="49">C61/100</f>
        <v>0.97</v>
      </c>
      <c r="X61" s="178">
        <f t="shared" si="49"/>
        <v>2.03</v>
      </c>
      <c r="Y61" s="178">
        <f t="shared" si="14"/>
        <v>28.25</v>
      </c>
      <c r="Z61" s="192">
        <f t="shared" si="15"/>
        <v>55.627075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34.0</v>
      </c>
      <c r="B62" s="183" t="s">
        <v>97</v>
      </c>
      <c r="C62" s="184">
        <v>79.0</v>
      </c>
      <c r="D62" s="184">
        <v>205.0</v>
      </c>
      <c r="E62" s="184">
        <v>183.0</v>
      </c>
      <c r="F62" s="184">
        <f t="shared" si="5"/>
        <v>0.8</v>
      </c>
      <c r="G62" s="184">
        <f t="shared" si="6"/>
        <v>65.20107</v>
      </c>
      <c r="H62" s="185">
        <f t="shared" si="7"/>
        <v>52.160856</v>
      </c>
      <c r="I62" s="184">
        <v>1.0</v>
      </c>
      <c r="J62" s="186">
        <f t="shared" si="8"/>
        <v>52.160856</v>
      </c>
      <c r="K62" s="187"/>
      <c r="L62" s="188"/>
      <c r="M62" s="189">
        <f t="shared" si="18"/>
        <v>1</v>
      </c>
      <c r="N62" s="189"/>
      <c r="O62" s="187"/>
      <c r="P62" s="187"/>
      <c r="Q62" s="188">
        <v>69.0</v>
      </c>
      <c r="R62" s="190">
        <v>22.0</v>
      </c>
      <c r="S62" s="178">
        <f t="shared" si="9"/>
        <v>1.83</v>
      </c>
      <c r="T62" s="162">
        <f t="shared" si="10"/>
        <v>1</v>
      </c>
      <c r="U62" s="162">
        <f t="shared" si="11"/>
        <v>1.83</v>
      </c>
      <c r="V62" s="191">
        <f t="shared" si="12"/>
        <v>65.20107</v>
      </c>
      <c r="W62" s="178">
        <f t="shared" ref="W62:X62" si="50">C62/100</f>
        <v>0.79</v>
      </c>
      <c r="X62" s="178">
        <f t="shared" si="50"/>
        <v>2.05</v>
      </c>
      <c r="Y62" s="178">
        <f t="shared" si="14"/>
        <v>1.83</v>
      </c>
      <c r="Z62" s="192">
        <f t="shared" si="15"/>
        <v>2.963685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2">
        <v>35.0</v>
      </c>
      <c r="B63" s="193" t="s">
        <v>91</v>
      </c>
      <c r="C63" s="193">
        <v>97.0</v>
      </c>
      <c r="D63" s="193">
        <v>205.0</v>
      </c>
      <c r="E63" s="193">
        <v>194.0</v>
      </c>
      <c r="F63" s="193">
        <f t="shared" si="5"/>
        <v>0</v>
      </c>
      <c r="G63" s="193">
        <f t="shared" si="6"/>
        <v>84.86918</v>
      </c>
      <c r="H63" s="194">
        <f t="shared" si="7"/>
        <v>84.86918</v>
      </c>
      <c r="I63" s="193">
        <v>1.0</v>
      </c>
      <c r="J63" s="195">
        <f t="shared" si="8"/>
        <v>84.86918</v>
      </c>
      <c r="K63" s="139"/>
      <c r="L63" s="197"/>
      <c r="M63" s="198">
        <f t="shared" si="18"/>
        <v>1</v>
      </c>
      <c r="N63" s="198"/>
      <c r="O63" s="139"/>
      <c r="P63" s="139"/>
      <c r="Q63" s="178">
        <v>82.0</v>
      </c>
      <c r="R63" s="190">
        <v>22.0</v>
      </c>
      <c r="S63" s="178">
        <f t="shared" si="9"/>
        <v>1.94</v>
      </c>
      <c r="T63" s="162">
        <f t="shared" si="10"/>
        <v>1</v>
      </c>
      <c r="U63" s="162">
        <f t="shared" si="11"/>
        <v>1.94</v>
      </c>
      <c r="V63" s="191">
        <f t="shared" si="12"/>
        <v>84.86918</v>
      </c>
      <c r="W63" s="178">
        <f t="shared" ref="W63:X63" si="51">C63/100</f>
        <v>0.97</v>
      </c>
      <c r="X63" s="178">
        <f t="shared" si="51"/>
        <v>2.05</v>
      </c>
      <c r="Y63" s="178">
        <f t="shared" si="14"/>
        <v>1.94</v>
      </c>
      <c r="Z63" s="192">
        <f t="shared" si="15"/>
        <v>3.85769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2">
        <v>36.0</v>
      </c>
      <c r="B64" s="193" t="s">
        <v>91</v>
      </c>
      <c r="C64" s="193">
        <v>99.0</v>
      </c>
      <c r="D64" s="193">
        <v>205.0</v>
      </c>
      <c r="E64" s="193">
        <v>2871.0</v>
      </c>
      <c r="F64" s="193">
        <f t="shared" si="5"/>
        <v>0</v>
      </c>
      <c r="G64" s="193">
        <f t="shared" si="6"/>
        <v>1281.87279</v>
      </c>
      <c r="H64" s="194">
        <f t="shared" si="7"/>
        <v>1281.87279</v>
      </c>
      <c r="I64" s="193">
        <v>1.0</v>
      </c>
      <c r="J64" s="195">
        <f t="shared" si="8"/>
        <v>1281.87279</v>
      </c>
      <c r="K64" s="139"/>
      <c r="L64" s="197"/>
      <c r="M64" s="198">
        <f t="shared" si="18"/>
        <v>1</v>
      </c>
      <c r="N64" s="198"/>
      <c r="O64" s="139"/>
      <c r="P64" s="139"/>
      <c r="Q64" s="178">
        <v>1270.0</v>
      </c>
      <c r="R64" s="190">
        <v>22.0</v>
      </c>
      <c r="S64" s="178">
        <f t="shared" si="9"/>
        <v>28.71</v>
      </c>
      <c r="T64" s="162">
        <f t="shared" si="10"/>
        <v>1</v>
      </c>
      <c r="U64" s="162">
        <f t="shared" si="11"/>
        <v>28.71</v>
      </c>
      <c r="V64" s="191">
        <f t="shared" si="12"/>
        <v>1281.87279</v>
      </c>
      <c r="W64" s="178">
        <f t="shared" ref="W64:X64" si="52">C64/100</f>
        <v>0.99</v>
      </c>
      <c r="X64" s="178">
        <f t="shared" si="52"/>
        <v>2.05</v>
      </c>
      <c r="Y64" s="178">
        <f t="shared" si="14"/>
        <v>28.71</v>
      </c>
      <c r="Z64" s="192">
        <f t="shared" si="15"/>
        <v>58.266945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2">
        <v>37.0</v>
      </c>
      <c r="B65" s="193" t="s">
        <v>91</v>
      </c>
      <c r="C65" s="193">
        <v>95.0</v>
      </c>
      <c r="D65" s="193">
        <v>205.0</v>
      </c>
      <c r="E65" s="193">
        <v>2871.0</v>
      </c>
      <c r="F65" s="193">
        <f t="shared" si="5"/>
        <v>0</v>
      </c>
      <c r="G65" s="193">
        <f t="shared" si="6"/>
        <v>1230.07995</v>
      </c>
      <c r="H65" s="194">
        <f t="shared" si="7"/>
        <v>1230.07995</v>
      </c>
      <c r="I65" s="193">
        <v>1.0</v>
      </c>
      <c r="J65" s="195">
        <f t="shared" si="8"/>
        <v>1230.07995</v>
      </c>
      <c r="K65" s="139"/>
      <c r="L65" s="197"/>
      <c r="M65" s="198">
        <f t="shared" si="18"/>
        <v>1</v>
      </c>
      <c r="N65" s="198"/>
      <c r="O65" s="139"/>
      <c r="P65" s="139"/>
      <c r="Q65" s="178">
        <v>1280.0</v>
      </c>
      <c r="R65" s="190">
        <v>22.0</v>
      </c>
      <c r="S65" s="178">
        <f t="shared" si="9"/>
        <v>28.71</v>
      </c>
      <c r="T65" s="162">
        <f t="shared" si="10"/>
        <v>1</v>
      </c>
      <c r="U65" s="162">
        <f t="shared" si="11"/>
        <v>28.71</v>
      </c>
      <c r="V65" s="191">
        <f t="shared" si="12"/>
        <v>1230.07995</v>
      </c>
      <c r="W65" s="178">
        <f t="shared" ref="W65:X65" si="53">C65/100</f>
        <v>0.95</v>
      </c>
      <c r="X65" s="178">
        <f t="shared" si="53"/>
        <v>2.05</v>
      </c>
      <c r="Y65" s="178">
        <f t="shared" si="14"/>
        <v>28.71</v>
      </c>
      <c r="Z65" s="192">
        <f t="shared" si="15"/>
        <v>55.912725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2">
        <v>38.0</v>
      </c>
      <c r="B66" s="193" t="s">
        <v>91</v>
      </c>
      <c r="C66" s="193">
        <v>100.0</v>
      </c>
      <c r="D66" s="193">
        <v>205.0</v>
      </c>
      <c r="E66" s="193">
        <v>2710.0</v>
      </c>
      <c r="F66" s="193">
        <f t="shared" si="5"/>
        <v>0</v>
      </c>
      <c r="G66" s="193">
        <f t="shared" si="6"/>
        <v>1222.21</v>
      </c>
      <c r="H66" s="194">
        <f t="shared" si="7"/>
        <v>1222.21</v>
      </c>
      <c r="I66" s="193">
        <v>1.0</v>
      </c>
      <c r="J66" s="195">
        <f t="shared" si="8"/>
        <v>1222.21</v>
      </c>
      <c r="K66" s="139"/>
      <c r="L66" s="197"/>
      <c r="M66" s="198">
        <f t="shared" si="18"/>
        <v>1</v>
      </c>
      <c r="N66" s="198"/>
      <c r="O66" s="139"/>
      <c r="P66" s="139"/>
      <c r="Q66" s="178">
        <v>1190.0</v>
      </c>
      <c r="R66" s="190">
        <v>22.0</v>
      </c>
      <c r="S66" s="178">
        <f t="shared" si="9"/>
        <v>27.1</v>
      </c>
      <c r="T66" s="162">
        <f t="shared" si="10"/>
        <v>1</v>
      </c>
      <c r="U66" s="162">
        <f t="shared" si="11"/>
        <v>27.1</v>
      </c>
      <c r="V66" s="191">
        <f t="shared" si="12"/>
        <v>1222.21</v>
      </c>
      <c r="W66" s="178">
        <f t="shared" ref="W66:X66" si="54">C66/100</f>
        <v>1</v>
      </c>
      <c r="X66" s="178">
        <f t="shared" si="54"/>
        <v>2.05</v>
      </c>
      <c r="Y66" s="178">
        <f t="shared" si="14"/>
        <v>27.1</v>
      </c>
      <c r="Z66" s="192">
        <f t="shared" si="15"/>
        <v>55.555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2">
        <v>39.0</v>
      </c>
      <c r="B67" s="183" t="s">
        <v>151</v>
      </c>
      <c r="C67" s="184">
        <v>79.0</v>
      </c>
      <c r="D67" s="184">
        <v>194.0</v>
      </c>
      <c r="E67" s="184">
        <v>180.0</v>
      </c>
      <c r="F67" s="184">
        <f t="shared" si="5"/>
        <v>0.8</v>
      </c>
      <c r="G67" s="184">
        <f t="shared" si="6"/>
        <v>78.62238</v>
      </c>
      <c r="H67" s="185">
        <f t="shared" si="7"/>
        <v>62.897904</v>
      </c>
      <c r="I67" s="184">
        <v>1.0</v>
      </c>
      <c r="J67" s="186">
        <f t="shared" si="8"/>
        <v>62.897904</v>
      </c>
      <c r="K67" s="187"/>
      <c r="L67" s="188"/>
      <c r="M67" s="189"/>
      <c r="N67" s="189"/>
      <c r="O67" s="187"/>
      <c r="P67" s="187"/>
      <c r="Q67" s="188">
        <v>93.0</v>
      </c>
      <c r="R67" s="190">
        <v>28.5</v>
      </c>
      <c r="S67" s="178">
        <f t="shared" si="9"/>
        <v>1.8</v>
      </c>
      <c r="T67" s="162">
        <f t="shared" si="10"/>
        <v>1</v>
      </c>
      <c r="U67" s="162">
        <f t="shared" si="11"/>
        <v>1.8</v>
      </c>
      <c r="V67" s="191">
        <f t="shared" si="12"/>
        <v>78.62238</v>
      </c>
      <c r="W67" s="178">
        <f t="shared" ref="W67:X67" si="55">C67/100</f>
        <v>0.79</v>
      </c>
      <c r="X67" s="178">
        <f t="shared" si="55"/>
        <v>1.94</v>
      </c>
      <c r="Y67" s="178">
        <f t="shared" si="14"/>
        <v>1.8</v>
      </c>
      <c r="Z67" s="192">
        <f t="shared" si="15"/>
        <v>2.75868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2">
        <v>40.0</v>
      </c>
      <c r="B68" s="193" t="s">
        <v>149</v>
      </c>
      <c r="C68" s="193">
        <v>104.0</v>
      </c>
      <c r="D68" s="193">
        <v>194.0</v>
      </c>
      <c r="E68" s="193">
        <v>184.0</v>
      </c>
      <c r="F68" s="193">
        <f t="shared" si="5"/>
        <v>0</v>
      </c>
      <c r="G68" s="193">
        <f t="shared" si="6"/>
        <v>105.802944</v>
      </c>
      <c r="H68" s="194">
        <f t="shared" si="7"/>
        <v>105.802944</v>
      </c>
      <c r="I68" s="193">
        <v>1.0</v>
      </c>
      <c r="J68" s="195">
        <f t="shared" si="8"/>
        <v>105.802944</v>
      </c>
      <c r="K68" s="139"/>
      <c r="L68" s="197"/>
      <c r="M68" s="198"/>
      <c r="N68" s="198"/>
      <c r="O68" s="139"/>
      <c r="P68" s="139"/>
      <c r="Q68" s="178">
        <v>104.0</v>
      </c>
      <c r="R68" s="190">
        <v>28.5</v>
      </c>
      <c r="S68" s="178">
        <f t="shared" si="9"/>
        <v>1.84</v>
      </c>
      <c r="T68" s="162">
        <f t="shared" si="10"/>
        <v>1</v>
      </c>
      <c r="U68" s="162">
        <f t="shared" si="11"/>
        <v>1.84</v>
      </c>
      <c r="V68" s="191">
        <f t="shared" si="12"/>
        <v>105.802944</v>
      </c>
      <c r="W68" s="178">
        <f t="shared" ref="W68:X68" si="56">C68/100</f>
        <v>1.04</v>
      </c>
      <c r="X68" s="178">
        <f t="shared" si="56"/>
        <v>1.94</v>
      </c>
      <c r="Y68" s="178">
        <f t="shared" si="14"/>
        <v>1.84</v>
      </c>
      <c r="Z68" s="192">
        <f t="shared" si="15"/>
        <v>3.712384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2">
        <v>41.0</v>
      </c>
      <c r="B69" s="193" t="s">
        <v>149</v>
      </c>
      <c r="C69" s="193">
        <v>103.0</v>
      </c>
      <c r="D69" s="193">
        <v>194.0</v>
      </c>
      <c r="E69" s="193">
        <v>2871.0</v>
      </c>
      <c r="F69" s="193">
        <f t="shared" si="5"/>
        <v>0</v>
      </c>
      <c r="G69" s="193">
        <f t="shared" si="6"/>
        <v>1634.997177</v>
      </c>
      <c r="H69" s="194">
        <f t="shared" si="7"/>
        <v>1634.997177</v>
      </c>
      <c r="I69" s="193">
        <v>1.0</v>
      </c>
      <c r="J69" s="195">
        <f t="shared" si="8"/>
        <v>1634.997177</v>
      </c>
      <c r="K69" s="139"/>
      <c r="L69" s="197"/>
      <c r="M69" s="198"/>
      <c r="N69" s="198"/>
      <c r="O69" s="139"/>
      <c r="P69" s="139"/>
      <c r="Q69" s="178">
        <v>1625.0</v>
      </c>
      <c r="R69" s="190">
        <v>28.5</v>
      </c>
      <c r="S69" s="178">
        <f t="shared" si="9"/>
        <v>28.71</v>
      </c>
      <c r="T69" s="162">
        <f t="shared" si="10"/>
        <v>1</v>
      </c>
      <c r="U69" s="162">
        <f t="shared" si="11"/>
        <v>28.71</v>
      </c>
      <c r="V69" s="191">
        <f t="shared" si="12"/>
        <v>1634.997177</v>
      </c>
      <c r="W69" s="178">
        <f t="shared" ref="W69:X69" si="57">C69/100</f>
        <v>1.03</v>
      </c>
      <c r="X69" s="178">
        <f t="shared" si="57"/>
        <v>1.94</v>
      </c>
      <c r="Y69" s="178">
        <f t="shared" si="14"/>
        <v>28.71</v>
      </c>
      <c r="Z69" s="192">
        <f t="shared" si="15"/>
        <v>57.368322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2">
        <v>42.0</v>
      </c>
      <c r="B70" s="193" t="s">
        <v>149</v>
      </c>
      <c r="C70" s="193">
        <v>103.0</v>
      </c>
      <c r="D70" s="193">
        <v>194.0</v>
      </c>
      <c r="E70" s="193">
        <v>2670.0</v>
      </c>
      <c r="F70" s="193">
        <f t="shared" si="5"/>
        <v>0</v>
      </c>
      <c r="G70" s="193">
        <f t="shared" si="6"/>
        <v>1520.53029</v>
      </c>
      <c r="H70" s="194">
        <f t="shared" si="7"/>
        <v>1520.53029</v>
      </c>
      <c r="I70" s="193">
        <v>1.0</v>
      </c>
      <c r="J70" s="195">
        <f t="shared" si="8"/>
        <v>1520.53029</v>
      </c>
      <c r="K70" s="139"/>
      <c r="L70" s="197"/>
      <c r="M70" s="198"/>
      <c r="N70" s="198"/>
      <c r="O70" s="139"/>
      <c r="P70" s="139"/>
      <c r="Q70" s="178">
        <v>1515.0</v>
      </c>
      <c r="R70" s="190">
        <v>28.5</v>
      </c>
      <c r="S70" s="178">
        <f t="shared" si="9"/>
        <v>26.7</v>
      </c>
      <c r="T70" s="162">
        <f t="shared" si="10"/>
        <v>1</v>
      </c>
      <c r="U70" s="162">
        <f t="shared" si="11"/>
        <v>26.7</v>
      </c>
      <c r="V70" s="191">
        <f t="shared" si="12"/>
        <v>1520.53029</v>
      </c>
      <c r="W70" s="178">
        <f t="shared" ref="W70:X70" si="58">C70/100</f>
        <v>1.03</v>
      </c>
      <c r="X70" s="178">
        <f t="shared" si="58"/>
        <v>1.94</v>
      </c>
      <c r="Y70" s="178">
        <f t="shared" si="14"/>
        <v>26.7</v>
      </c>
      <c r="Z70" s="192">
        <f t="shared" si="15"/>
        <v>53.35194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2">
        <v>101.0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59">C71/100</f>
        <v>0</v>
      </c>
      <c r="X71" s="199">
        <f t="shared" si="59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2">
        <v>102.0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0">C72/100</f>
        <v>0</v>
      </c>
      <c r="X72" s="199">
        <f t="shared" si="60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103.0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1">C73/100</f>
        <v>0</v>
      </c>
      <c r="X73" s="199">
        <f t="shared" si="61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104.0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2">C74/100</f>
        <v>0</v>
      </c>
      <c r="X74" s="199">
        <f t="shared" si="62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105.0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3">C75/100</f>
        <v>0</v>
      </c>
      <c r="X75" s="199">
        <f t="shared" si="63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106.0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4">C76/100</f>
        <v>0</v>
      </c>
      <c r="X76" s="199">
        <f t="shared" si="64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107.0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5">C77/100</f>
        <v>0</v>
      </c>
      <c r="X77" s="199">
        <f t="shared" si="65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108.0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6">C78/100</f>
        <v>0</v>
      </c>
      <c r="X78" s="199">
        <f t="shared" si="66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109.0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7">C79/100</f>
        <v>0</v>
      </c>
      <c r="X79" s="199">
        <f t="shared" si="67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110.0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8">C80/100</f>
        <v>0</v>
      </c>
      <c r="X80" s="199">
        <f t="shared" si="68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111.0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9">C81/100</f>
        <v>0</v>
      </c>
      <c r="X81" s="199">
        <f t="shared" si="69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112.0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0">C82/100</f>
        <v>0</v>
      </c>
      <c r="X82" s="199">
        <f t="shared" si="70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113.0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1">C83/100</f>
        <v>0</v>
      </c>
      <c r="X83" s="199">
        <f t="shared" si="71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114.0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2">C84/100</f>
        <v>0</v>
      </c>
      <c r="X84" s="199">
        <f t="shared" si="72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115.0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3">C85/100</f>
        <v>0</v>
      </c>
      <c r="X85" s="199">
        <f t="shared" si="73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116.0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4">C86/100</f>
        <v>0</v>
      </c>
      <c r="X86" s="199">
        <f t="shared" si="74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117.0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5">C87/100</f>
        <v>0</v>
      </c>
      <c r="X87" s="199">
        <f t="shared" si="75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118.0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6">C88/100</f>
        <v>0</v>
      </c>
      <c r="X88" s="199">
        <f t="shared" si="76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119.0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7">C89/100</f>
        <v>0</v>
      </c>
      <c r="X89" s="199">
        <f t="shared" si="77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120.0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8">C90/100</f>
        <v>0</v>
      </c>
      <c r="X90" s="199">
        <f t="shared" si="78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121.0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9">C91/100</f>
        <v>0</v>
      </c>
      <c r="X91" s="199">
        <f t="shared" si="79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122.0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0">C92/100</f>
        <v>0</v>
      </c>
      <c r="X92" s="199">
        <f t="shared" si="80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123.0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1">C93/100</f>
        <v>0</v>
      </c>
      <c r="X93" s="199">
        <f t="shared" si="81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124.0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2">C94/100</f>
        <v>0</v>
      </c>
      <c r="X94" s="199">
        <f t="shared" si="82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125.0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3">C95/100</f>
        <v>0</v>
      </c>
      <c r="X95" s="199">
        <f t="shared" si="83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126.0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4">C96/100</f>
        <v>0</v>
      </c>
      <c r="X96" s="199">
        <f t="shared" si="84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127.0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5">C97/100</f>
        <v>0</v>
      </c>
      <c r="X97" s="199">
        <f t="shared" si="85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128.0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6">C98/100</f>
        <v>0</v>
      </c>
      <c r="X98" s="199">
        <f t="shared" si="86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129.0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7">C99/100</f>
        <v>0</v>
      </c>
      <c r="X99" s="199">
        <f t="shared" si="87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130.0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8">C100/100</f>
        <v>0</v>
      </c>
      <c r="X100" s="199">
        <f t="shared" si="88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131.0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9">C101/100</f>
        <v>0</v>
      </c>
      <c r="X101" s="199">
        <f t="shared" si="89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132.0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0">C102/100</f>
        <v>0</v>
      </c>
      <c r="X102" s="199">
        <f t="shared" si="90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133.0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1">C103/100</f>
        <v>0</v>
      </c>
      <c r="X103" s="199">
        <f t="shared" si="91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134.0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2">C104/100</f>
        <v>0</v>
      </c>
      <c r="X104" s="199">
        <f t="shared" si="92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135.0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3">C105/100</f>
        <v>0</v>
      </c>
      <c r="X105" s="199">
        <f t="shared" si="93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136.0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4">C106/100</f>
        <v>0</v>
      </c>
      <c r="X106" s="199">
        <f t="shared" si="94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137.0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5">C107/100</f>
        <v>0</v>
      </c>
      <c r="X107" s="199">
        <f t="shared" si="95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138.0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6">C108/100</f>
        <v>0</v>
      </c>
      <c r="X108" s="199">
        <f t="shared" si="96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139.0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7">C109/100</f>
        <v>0</v>
      </c>
      <c r="X109" s="199">
        <f t="shared" si="97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140.0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8">C110/100</f>
        <v>0</v>
      </c>
      <c r="X110" s="199">
        <f t="shared" si="98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141.0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9">C111/100</f>
        <v>0</v>
      </c>
      <c r="X111" s="199">
        <f t="shared" si="99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142.0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0">C112/100</f>
        <v>0</v>
      </c>
      <c r="X112" s="199">
        <f t="shared" si="100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143.0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1">C113/100</f>
        <v>0</v>
      </c>
      <c r="X113" s="199">
        <f t="shared" si="101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144.0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2">C114/100</f>
        <v>0</v>
      </c>
      <c r="X114" s="199">
        <f t="shared" si="102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145.0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3">C115/100</f>
        <v>0</v>
      </c>
      <c r="X115" s="199">
        <f t="shared" si="103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146.0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4">C116/100</f>
        <v>0</v>
      </c>
      <c r="X116" s="199">
        <f t="shared" si="104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147.0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5">C117/100</f>
        <v>0</v>
      </c>
      <c r="X117" s="199">
        <f t="shared" si="105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148.0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6">C118/100</f>
        <v>0</v>
      </c>
      <c r="X118" s="199">
        <f t="shared" si="106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149.0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7">C119/100</f>
        <v>0</v>
      </c>
      <c r="X119" s="199">
        <f t="shared" si="107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150.0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8">C120/100</f>
        <v>0</v>
      </c>
      <c r="X120" s="199">
        <f t="shared" si="108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151.0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9">C121/100</f>
        <v>0</v>
      </c>
      <c r="X121" s="199">
        <f t="shared" si="109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152.0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0">C122/100</f>
        <v>0</v>
      </c>
      <c r="X122" s="199">
        <f t="shared" si="110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153.0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1">C123/100</f>
        <v>0</v>
      </c>
      <c r="X123" s="199">
        <f t="shared" si="111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154.0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2">C124/100</f>
        <v>0</v>
      </c>
      <c r="X124" s="199">
        <f t="shared" si="112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155.0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3">C125/100</f>
        <v>0</v>
      </c>
      <c r="X125" s="199">
        <f t="shared" si="113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156.0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4">C126/100</f>
        <v>0</v>
      </c>
      <c r="X126" s="199">
        <f t="shared" si="114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157.0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5">C127/100</f>
        <v>0</v>
      </c>
      <c r="X127" s="199">
        <f t="shared" si="115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158.0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6">C128/100</f>
        <v>0</v>
      </c>
      <c r="X128" s="199">
        <f t="shared" si="116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159.0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7">C129/100</f>
        <v>0</v>
      </c>
      <c r="X129" s="199">
        <f t="shared" si="117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160.0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8">C130/100</f>
        <v>0</v>
      </c>
      <c r="X130" s="199">
        <f t="shared" si="118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161.0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9">C131/100</f>
        <v>0</v>
      </c>
      <c r="X131" s="199">
        <f t="shared" si="119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162.0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0">C132/100</f>
        <v>0</v>
      </c>
      <c r="X132" s="199">
        <f t="shared" si="120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163.0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1">C133/100</f>
        <v>0</v>
      </c>
      <c r="X133" s="199">
        <f t="shared" si="121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164.0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2">C134/100</f>
        <v>0</v>
      </c>
      <c r="X134" s="199">
        <f t="shared" si="122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165.0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3">C135/100</f>
        <v>0</v>
      </c>
      <c r="X135" s="199">
        <f t="shared" si="123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166.0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4">C136/100</f>
        <v>0</v>
      </c>
      <c r="X136" s="199">
        <f t="shared" si="124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167.0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5">C137/100</f>
        <v>0</v>
      </c>
      <c r="X137" s="199">
        <f t="shared" si="125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168.0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6">C138/100</f>
        <v>0</v>
      </c>
      <c r="X138" s="199">
        <f t="shared" si="126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169.0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7">C139/100</f>
        <v>0</v>
      </c>
      <c r="X139" s="199">
        <f t="shared" si="127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170.0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8">C140/100</f>
        <v>0</v>
      </c>
      <c r="X140" s="199">
        <f t="shared" si="128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171.0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9">C141/100</f>
        <v>0</v>
      </c>
      <c r="X141" s="199">
        <f t="shared" si="129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172.0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0">C142/100</f>
        <v>0</v>
      </c>
      <c r="X142" s="199">
        <f t="shared" si="130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173.0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1">C143/100</f>
        <v>0</v>
      </c>
      <c r="X143" s="199">
        <f t="shared" si="131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174.0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2">C144/100</f>
        <v>0</v>
      </c>
      <c r="X144" s="199">
        <f t="shared" si="132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175.0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3">C145/100</f>
        <v>0</v>
      </c>
      <c r="X145" s="199">
        <f t="shared" si="133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176.0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4">C146/100</f>
        <v>0</v>
      </c>
      <c r="X146" s="199">
        <f t="shared" si="134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177.0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5">C147/100</f>
        <v>0</v>
      </c>
      <c r="X147" s="199">
        <f t="shared" si="135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178.0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6">C148/100</f>
        <v>0</v>
      </c>
      <c r="X148" s="199">
        <f t="shared" si="136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179.0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7">C149/100</f>
        <v>0</v>
      </c>
      <c r="X149" s="199">
        <f t="shared" si="137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180.0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8">C150/100</f>
        <v>0</v>
      </c>
      <c r="X150" s="199">
        <f t="shared" si="138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181.0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9">C151/100</f>
        <v>0</v>
      </c>
      <c r="X151" s="199">
        <f t="shared" si="139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182.0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0">C152/100</f>
        <v>0</v>
      </c>
      <c r="X152" s="199">
        <f t="shared" si="140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183.0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1">C153/100</f>
        <v>0</v>
      </c>
      <c r="X153" s="199">
        <f t="shared" si="141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184.0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2">C154/100</f>
        <v>0</v>
      </c>
      <c r="X154" s="199">
        <f t="shared" si="142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185.0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3">C155/100</f>
        <v>0</v>
      </c>
      <c r="X155" s="199">
        <f t="shared" si="143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186.0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4">C156/100</f>
        <v>0</v>
      </c>
      <c r="X156" s="199">
        <f t="shared" si="144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187.0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5">C157/100</f>
        <v>0</v>
      </c>
      <c r="X157" s="199">
        <f t="shared" si="145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188.0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6">C158/100</f>
        <v>0</v>
      </c>
      <c r="X158" s="199">
        <f t="shared" si="146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189.0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7">C159/100</f>
        <v>0</v>
      </c>
      <c r="X159" s="199">
        <f t="shared" si="147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190.0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8">C160/100</f>
        <v>0</v>
      </c>
      <c r="X160" s="199">
        <f t="shared" si="148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191.0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9">C161/100</f>
        <v>0</v>
      </c>
      <c r="X161" s="199">
        <f t="shared" si="149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192.0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0">C162/100</f>
        <v>0</v>
      </c>
      <c r="X162" s="199">
        <f t="shared" si="150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193.0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1">C163/100</f>
        <v>0</v>
      </c>
      <c r="X163" s="199">
        <f t="shared" si="151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194.0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2">C164/100</f>
        <v>0</v>
      </c>
      <c r="X164" s="199">
        <f t="shared" si="152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195.0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3">C165/100</f>
        <v>0</v>
      </c>
      <c r="X165" s="199">
        <f t="shared" si="153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196.0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4">C166/100</f>
        <v>0</v>
      </c>
      <c r="X166" s="199">
        <f t="shared" si="154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197.0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5">C167/100</f>
        <v>0</v>
      </c>
      <c r="X167" s="199">
        <f t="shared" si="155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198.0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6">C168/100</f>
        <v>0</v>
      </c>
      <c r="X168" s="199">
        <f t="shared" si="156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199.0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7">C169/100</f>
        <v>0</v>
      </c>
      <c r="X169" s="199">
        <f t="shared" si="157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200.0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8">C170/100</f>
        <v>0</v>
      </c>
      <c r="X170" s="199">
        <f t="shared" si="158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201.0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9">C171/100</f>
        <v>0</v>
      </c>
      <c r="X171" s="199">
        <f t="shared" si="159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202.0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0">C172/100</f>
        <v>0</v>
      </c>
      <c r="X172" s="199">
        <f t="shared" si="160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203.0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1">C173/100</f>
        <v>0</v>
      </c>
      <c r="X173" s="199">
        <f t="shared" si="161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204.0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2">C174/100</f>
        <v>0</v>
      </c>
      <c r="X174" s="199">
        <f t="shared" si="162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205.0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3">C175/100</f>
        <v>0</v>
      </c>
      <c r="X175" s="199">
        <f t="shared" si="163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206.0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4">C176/100</f>
        <v>0</v>
      </c>
      <c r="X176" s="199">
        <f t="shared" si="164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207.0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5">C177/100</f>
        <v>0</v>
      </c>
      <c r="X177" s="199">
        <f t="shared" si="165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208.0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6">C178/100</f>
        <v>0</v>
      </c>
      <c r="X178" s="199">
        <f t="shared" si="166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209.0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7">C179/100</f>
        <v>0</v>
      </c>
      <c r="X179" s="199">
        <f t="shared" si="167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2">
        <v>210.0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8">C180/100</f>
        <v>0</v>
      </c>
      <c r="X180" s="199">
        <f t="shared" si="168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2">
        <v>211.0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9">C181/100</f>
        <v>0</v>
      </c>
      <c r="X181" s="199">
        <f t="shared" si="169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2">
        <v>212.0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0">C182/100</f>
        <v>0</v>
      </c>
      <c r="X182" s="199">
        <f t="shared" si="170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2">
        <v>213.0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1">C183/100</f>
        <v>0</v>
      </c>
      <c r="X183" s="199">
        <f t="shared" si="171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2">
        <v>214.0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2">C184/100</f>
        <v>0</v>
      </c>
      <c r="X184" s="199">
        <f t="shared" si="172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2">
        <v>215.0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3">C185/100</f>
        <v>0</v>
      </c>
      <c r="X185" s="199">
        <f t="shared" si="173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2">
        <v>216.0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4">C186/100</f>
        <v>0</v>
      </c>
      <c r="X186" s="199">
        <f t="shared" si="174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2">
        <v>217.0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5">C187/100</f>
        <v>0</v>
      </c>
      <c r="X187" s="199">
        <f t="shared" si="175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customHeight="1">
      <c r="A188" s="162"/>
      <c r="B188" s="178"/>
      <c r="C188" s="178"/>
      <c r="D188" s="178"/>
      <c r="E188" s="178"/>
      <c r="F188" s="178"/>
      <c r="G188" s="178"/>
      <c r="H188" s="181"/>
      <c r="I188" s="162"/>
      <c r="J188" s="204">
        <f>+Q238</f>
        <v>144.4</v>
      </c>
      <c r="K188" s="139"/>
      <c r="L188" s="139"/>
      <c r="M188" s="139"/>
      <c r="N188" s="139"/>
      <c r="O188" s="139"/>
      <c r="P188" s="139"/>
      <c r="Q188" s="139"/>
      <c r="R188" s="205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6">C188/100</f>
        <v>0</v>
      </c>
      <c r="X188" s="199">
        <f t="shared" si="176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customHeight="1">
      <c r="A189" s="162"/>
      <c r="B189" s="206"/>
      <c r="C189" s="206"/>
      <c r="D189" s="206"/>
      <c r="E189" s="206"/>
      <c r="F189" s="206"/>
      <c r="G189" s="206"/>
      <c r="H189" s="207"/>
      <c r="I189" s="208">
        <f>SUM(I29:I187)</f>
        <v>42</v>
      </c>
      <c r="J189" s="209">
        <f>SUM(J29:J188)</f>
        <v>40592.75102</v>
      </c>
      <c r="K189" s="210"/>
      <c r="L189" s="210"/>
      <c r="M189" s="210"/>
      <c r="N189" s="210"/>
      <c r="O189" s="210"/>
      <c r="P189" s="210"/>
      <c r="Q189" s="210"/>
      <c r="R189" s="141"/>
      <c r="S189" s="210">
        <f>SUMIFS($T$29:$T$187,$S$29:$S$187,"&gt;=3")</f>
        <v>24</v>
      </c>
      <c r="T189" s="210">
        <f t="shared" ref="T189:U189" si="177">SUM(T29:T187)</f>
        <v>42</v>
      </c>
      <c r="U189" s="210">
        <f t="shared" si="177"/>
        <v>712.82</v>
      </c>
      <c r="V189" s="210"/>
      <c r="W189" s="210"/>
      <c r="X189" s="210"/>
      <c r="Y189" s="210"/>
      <c r="Z189" s="211">
        <f>SUM(Z29:Z188)</f>
        <v>1442.282289</v>
      </c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</row>
    <row r="190" ht="29.2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203"/>
      <c r="T190" s="139">
        <f>+T189-S189</f>
        <v>18</v>
      </c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5"/>
      <c r="S191" s="139"/>
      <c r="T191" s="139" t="s">
        <v>48</v>
      </c>
      <c r="U191" s="139" t="s">
        <v>68</v>
      </c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9.2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139" t="s">
        <v>31</v>
      </c>
      <c r="T192" s="212">
        <f>SUMIFS($J$29:$J$187,$S$29:$S$187,"&gt;=3")</f>
        <v>38752.99142</v>
      </c>
      <c r="U192" s="213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9.25" customHeight="1">
      <c r="A193" s="139" t="s">
        <v>32</v>
      </c>
      <c r="B193" s="139"/>
      <c r="C193" s="139"/>
      <c r="D193" s="139" t="s">
        <v>33</v>
      </c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141"/>
      <c r="S193" s="139" t="s">
        <v>34</v>
      </c>
      <c r="T193" s="266">
        <f>J189-T192</f>
        <v>1839.759597</v>
      </c>
      <c r="U193" s="213">
        <f>+SUMIFS($U$29:$U$187,$S$29:$S$187,"&gt;=3")</f>
        <v>678.78</v>
      </c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9.25" customHeight="1">
      <c r="A194" s="139"/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05"/>
      <c r="S194" s="139"/>
      <c r="T194" s="214">
        <f>+I189</f>
        <v>42</v>
      </c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39.0" customHeight="1">
      <c r="A195" s="178"/>
      <c r="B195" s="162" t="s">
        <v>12</v>
      </c>
      <c r="C195" s="179" t="s">
        <v>69</v>
      </c>
      <c r="D195" s="52"/>
      <c r="E195" s="53"/>
      <c r="F195" s="180"/>
      <c r="G195" s="180"/>
      <c r="H195" s="181" t="s">
        <v>14</v>
      </c>
      <c r="I195" s="162" t="s">
        <v>15</v>
      </c>
      <c r="J195" s="162" t="s">
        <v>16</v>
      </c>
      <c r="K195" s="139"/>
      <c r="L195" s="139"/>
      <c r="M195" s="139"/>
      <c r="N195" s="139"/>
      <c r="O195" s="139"/>
      <c r="P195" s="139"/>
      <c r="Q195" s="139"/>
      <c r="R195" s="141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5">
        <v>1.0</v>
      </c>
      <c r="B196" s="215" t="s">
        <v>85</v>
      </c>
      <c r="C196" s="215">
        <v>88.0</v>
      </c>
      <c r="D196" s="215">
        <v>205.0</v>
      </c>
      <c r="E196" s="215">
        <v>210.0</v>
      </c>
      <c r="F196" s="215">
        <f t="shared" ref="F196:F202" si="178">1-VALUE(IF(RIGHT(B196, 1)="%", RIGHT(B196, 3), 0))</f>
        <v>0.2</v>
      </c>
      <c r="G196" s="215">
        <f t="shared" ref="G196:G202" si="179">+Q196*C196/100*D196/100*E196/100</f>
        <v>0</v>
      </c>
      <c r="H196" s="216">
        <f t="shared" ref="H196:H202" si="180">IF(F196=0, G196, F196*G196)</f>
        <v>0</v>
      </c>
      <c r="I196" s="215">
        <v>1.0</v>
      </c>
      <c r="J196" s="217">
        <v>94.71</v>
      </c>
      <c r="K196" s="139"/>
      <c r="L196" s="178">
        <f t="shared" ref="L196:L202" si="181">D196*25.4/1000</f>
        <v>5.207</v>
      </c>
      <c r="M196" s="162">
        <f t="shared" ref="M196:M200" si="182">+I196</f>
        <v>1</v>
      </c>
      <c r="N196" s="162">
        <f t="shared" ref="N196:N200" si="183">M196*L196</f>
        <v>5.207</v>
      </c>
      <c r="O196" s="139"/>
      <c r="P196" s="139"/>
      <c r="Q196" s="139"/>
      <c r="R196" s="141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5">
        <v>2.0</v>
      </c>
      <c r="B197" s="215" t="s">
        <v>63</v>
      </c>
      <c r="C197" s="215">
        <v>86.0</v>
      </c>
      <c r="D197" s="215">
        <v>203.0</v>
      </c>
      <c r="E197" s="215">
        <v>193.0</v>
      </c>
      <c r="F197" s="215">
        <f t="shared" si="178"/>
        <v>0.2</v>
      </c>
      <c r="G197" s="215">
        <f t="shared" si="179"/>
        <v>0</v>
      </c>
      <c r="H197" s="216">
        <f t="shared" si="180"/>
        <v>0</v>
      </c>
      <c r="I197" s="215">
        <v>1.0</v>
      </c>
      <c r="J197" s="217">
        <v>101.08182000000001</v>
      </c>
      <c r="K197" s="139"/>
      <c r="L197" s="178">
        <f t="shared" si="181"/>
        <v>5.1562</v>
      </c>
      <c r="M197" s="162">
        <f t="shared" si="182"/>
        <v>1</v>
      </c>
      <c r="N197" s="162">
        <f t="shared" si="183"/>
        <v>5.1562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5">
        <v>3.0</v>
      </c>
      <c r="B198" s="218" t="s">
        <v>63</v>
      </c>
      <c r="C198" s="218">
        <v>88.0</v>
      </c>
      <c r="D198" s="218">
        <v>203.0</v>
      </c>
      <c r="E198" s="218">
        <v>181.0</v>
      </c>
      <c r="F198" s="218">
        <f t="shared" si="178"/>
        <v>0.2</v>
      </c>
      <c r="G198" s="218">
        <f t="shared" si="179"/>
        <v>0</v>
      </c>
      <c r="H198" s="219">
        <f t="shared" si="180"/>
        <v>0</v>
      </c>
      <c r="I198" s="218">
        <v>1.0</v>
      </c>
      <c r="J198" s="195">
        <v>97.00152</v>
      </c>
      <c r="K198" s="139"/>
      <c r="L198" s="178">
        <f t="shared" si="181"/>
        <v>5.1562</v>
      </c>
      <c r="M198" s="162">
        <f t="shared" si="182"/>
        <v>1</v>
      </c>
      <c r="N198" s="162">
        <f t="shared" si="183"/>
        <v>5.1562</v>
      </c>
      <c r="O198" s="139"/>
      <c r="P198" s="139"/>
      <c r="Q198" s="139"/>
      <c r="R198" s="139"/>
      <c r="S198" s="220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customHeight="1">
      <c r="A199" s="155">
        <v>4.0</v>
      </c>
      <c r="B199" s="218" t="s">
        <v>63</v>
      </c>
      <c r="C199" s="218">
        <v>73.0</v>
      </c>
      <c r="D199" s="218">
        <v>203.0</v>
      </c>
      <c r="E199" s="218">
        <v>181.0</v>
      </c>
      <c r="F199" s="218">
        <f t="shared" si="178"/>
        <v>0.2</v>
      </c>
      <c r="G199" s="218">
        <f t="shared" si="179"/>
        <v>0</v>
      </c>
      <c r="H199" s="219">
        <f t="shared" si="180"/>
        <v>0</v>
      </c>
      <c r="I199" s="218">
        <v>1.0</v>
      </c>
      <c r="J199" s="195">
        <v>80.46717000000001</v>
      </c>
      <c r="K199" s="139"/>
      <c r="L199" s="178">
        <f t="shared" si="181"/>
        <v>5.1562</v>
      </c>
      <c r="M199" s="162">
        <f t="shared" si="182"/>
        <v>1</v>
      </c>
      <c r="N199" s="162">
        <f t="shared" si="183"/>
        <v>5.1562</v>
      </c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customHeight="1">
      <c r="A200" s="155">
        <v>5.0</v>
      </c>
      <c r="B200" s="218" t="s">
        <v>94</v>
      </c>
      <c r="C200" s="218">
        <v>99.0</v>
      </c>
      <c r="D200" s="218">
        <v>203.0</v>
      </c>
      <c r="E200" s="218">
        <v>200.0</v>
      </c>
      <c r="F200" s="218">
        <f t="shared" si="178"/>
        <v>0.2</v>
      </c>
      <c r="G200" s="218">
        <f t="shared" si="179"/>
        <v>0</v>
      </c>
      <c r="H200" s="219">
        <f t="shared" si="180"/>
        <v>0</v>
      </c>
      <c r="I200" s="218">
        <v>1.0</v>
      </c>
      <c r="J200" s="195">
        <v>118.5723</v>
      </c>
      <c r="K200" s="139"/>
      <c r="L200" s="178">
        <f t="shared" si="181"/>
        <v>5.1562</v>
      </c>
      <c r="M200" s="162">
        <f t="shared" si="182"/>
        <v>1</v>
      </c>
      <c r="N200" s="162">
        <f t="shared" si="183"/>
        <v>5.1562</v>
      </c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customHeight="1">
      <c r="A201" s="155">
        <v>6.0</v>
      </c>
      <c r="B201" s="218" t="s">
        <v>97</v>
      </c>
      <c r="C201" s="218">
        <v>79.0</v>
      </c>
      <c r="D201" s="218">
        <v>205.0</v>
      </c>
      <c r="E201" s="218">
        <v>183.0</v>
      </c>
      <c r="F201" s="218">
        <f t="shared" si="178"/>
        <v>0.2</v>
      </c>
      <c r="G201" s="218">
        <f t="shared" si="179"/>
        <v>0</v>
      </c>
      <c r="H201" s="219">
        <f t="shared" si="180"/>
        <v>0</v>
      </c>
      <c r="I201" s="218">
        <v>1.0</v>
      </c>
      <c r="J201" s="195">
        <v>65.20107</v>
      </c>
      <c r="K201" s="139"/>
      <c r="L201" s="139">
        <f t="shared" si="181"/>
        <v>5.207</v>
      </c>
      <c r="M201" s="221"/>
      <c r="N201" s="221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customHeight="1">
      <c r="A202" s="155">
        <v>7.0</v>
      </c>
      <c r="B202" s="218" t="s">
        <v>151</v>
      </c>
      <c r="C202" s="218">
        <v>79.0</v>
      </c>
      <c r="D202" s="218">
        <v>194.0</v>
      </c>
      <c r="E202" s="218">
        <v>180.0</v>
      </c>
      <c r="F202" s="218">
        <f t="shared" si="178"/>
        <v>0.2</v>
      </c>
      <c r="G202" s="218">
        <f t="shared" si="179"/>
        <v>0</v>
      </c>
      <c r="H202" s="219">
        <f t="shared" si="180"/>
        <v>0</v>
      </c>
      <c r="I202" s="218">
        <v>1.0</v>
      </c>
      <c r="J202" s="195">
        <v>78.62237999999999</v>
      </c>
      <c r="K202" s="139"/>
      <c r="L202" s="139">
        <f t="shared" si="181"/>
        <v>4.9276</v>
      </c>
      <c r="M202" s="221"/>
      <c r="N202" s="221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4.75" customHeight="1">
      <c r="A203" s="162"/>
      <c r="B203" s="197"/>
      <c r="C203" s="197"/>
      <c r="D203" s="197"/>
      <c r="E203" s="197"/>
      <c r="F203" s="197"/>
      <c r="G203" s="197"/>
      <c r="H203" s="222" t="s">
        <v>38</v>
      </c>
      <c r="I203" s="197"/>
      <c r="J203" s="223">
        <f>SUM(J196:J202)</f>
        <v>635.65626</v>
      </c>
      <c r="K203" s="139"/>
      <c r="L203" s="139"/>
      <c r="M203" s="139"/>
      <c r="N203" s="139"/>
      <c r="O203" s="139"/>
      <c r="P203" s="139"/>
      <c r="Q203" s="139"/>
      <c r="R203" s="141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18.75" customHeight="1">
      <c r="A204" s="176"/>
      <c r="B204" s="144"/>
      <c r="C204" s="144"/>
      <c r="D204" s="144"/>
      <c r="E204" s="144"/>
      <c r="F204" s="144"/>
      <c r="G204" s="144"/>
      <c r="H204" s="145"/>
      <c r="I204" s="144"/>
      <c r="J204" s="177"/>
      <c r="K204" s="139"/>
      <c r="L204" s="139"/>
      <c r="M204" s="139"/>
      <c r="N204" s="139"/>
      <c r="O204" s="139"/>
      <c r="P204" s="139"/>
      <c r="Q204" s="139"/>
      <c r="R204" s="141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18.7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141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18.75" customHeight="1">
      <c r="A207" s="139" t="s">
        <v>39</v>
      </c>
      <c r="B207" s="139"/>
      <c r="C207" s="139"/>
      <c r="D207" s="139"/>
      <c r="E207" s="139"/>
      <c r="F207" s="139"/>
      <c r="G207" s="139"/>
      <c r="H207" s="140"/>
      <c r="I207" s="139"/>
      <c r="J207" s="139"/>
      <c r="K207" s="139"/>
      <c r="L207" s="139"/>
      <c r="M207" s="139"/>
      <c r="N207" s="139"/>
      <c r="O207" s="139"/>
      <c r="P207" s="139"/>
      <c r="Q207" s="139"/>
      <c r="R207" s="224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8.75" customHeight="1">
      <c r="A208" s="139"/>
      <c r="B208" s="139"/>
      <c r="C208" s="139"/>
      <c r="D208" s="139"/>
      <c r="E208" s="139"/>
      <c r="F208" s="139"/>
      <c r="G208" s="139"/>
      <c r="H208" s="140"/>
      <c r="I208" s="139"/>
      <c r="J208" s="139"/>
      <c r="K208" s="139"/>
      <c r="L208" s="139"/>
      <c r="M208" s="139"/>
      <c r="N208" s="139"/>
      <c r="O208" s="139"/>
      <c r="P208" s="139"/>
      <c r="Q208" s="139"/>
      <c r="R208" s="224"/>
      <c r="S208" s="224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42.0" customHeight="1">
      <c r="A209" s="178"/>
      <c r="B209" s="162" t="s">
        <v>12</v>
      </c>
      <c r="C209" s="179" t="s">
        <v>75</v>
      </c>
      <c r="D209" s="52"/>
      <c r="E209" s="53"/>
      <c r="F209" s="225"/>
      <c r="G209" s="225"/>
      <c r="H209" s="181" t="s">
        <v>14</v>
      </c>
      <c r="I209" s="226" t="s">
        <v>15</v>
      </c>
      <c r="J209" s="162" t="s">
        <v>16</v>
      </c>
      <c r="K209" s="139"/>
      <c r="L209" s="139"/>
      <c r="M209" s="139"/>
      <c r="N209" s="139"/>
      <c r="O209" s="139"/>
      <c r="P209" s="139"/>
      <c r="Q209" s="139"/>
      <c r="R209" s="224"/>
      <c r="S209" s="224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4.75" customHeight="1">
      <c r="A210" s="162">
        <v>1.0</v>
      </c>
      <c r="B210" s="183" t="s">
        <v>152</v>
      </c>
      <c r="C210" s="200"/>
      <c r="D210" s="200"/>
      <c r="E210" s="200"/>
      <c r="F210" s="200"/>
      <c r="G210" s="200"/>
      <c r="H210" s="227">
        <v>23.0</v>
      </c>
      <c r="I210" s="200">
        <v>1.0</v>
      </c>
      <c r="J210" s="195">
        <f t="shared" ref="J210:J236" si="184">+I210*H210</f>
        <v>23</v>
      </c>
      <c r="K210" s="178"/>
      <c r="L210" s="178"/>
      <c r="M210" s="178"/>
      <c r="N210" s="178"/>
      <c r="O210" s="178"/>
      <c r="P210" s="178"/>
      <c r="Q210" s="228"/>
      <c r="R210" s="224"/>
      <c r="S210" s="224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78"/>
      <c r="AH210" s="178"/>
      <c r="AI210" s="178"/>
      <c r="AJ210" s="178"/>
      <c r="AK210" s="178"/>
    </row>
    <row r="211" ht="24.75" customHeight="1">
      <c r="A211" s="162">
        <v>2.0</v>
      </c>
      <c r="B211" s="193" t="s">
        <v>152</v>
      </c>
      <c r="C211" s="200"/>
      <c r="D211" s="200"/>
      <c r="E211" s="200"/>
      <c r="F211" s="200"/>
      <c r="G211" s="200"/>
      <c r="H211" s="227">
        <v>14.0</v>
      </c>
      <c r="I211" s="200">
        <v>1.0</v>
      </c>
      <c r="J211" s="195">
        <f t="shared" si="184"/>
        <v>14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78"/>
      <c r="AH211" s="178"/>
      <c r="AI211" s="178"/>
      <c r="AJ211" s="178"/>
      <c r="AK211" s="178"/>
    </row>
    <row r="212" ht="24.75" customHeight="1">
      <c r="A212" s="162">
        <v>3.0</v>
      </c>
      <c r="B212" s="183" t="s">
        <v>55</v>
      </c>
      <c r="C212" s="200"/>
      <c r="D212" s="200"/>
      <c r="E212" s="200"/>
      <c r="F212" s="200"/>
      <c r="G212" s="200"/>
      <c r="H212" s="227">
        <v>59.0</v>
      </c>
      <c r="I212" s="200">
        <v>1.0</v>
      </c>
      <c r="J212" s="195">
        <f t="shared" si="184"/>
        <v>59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78"/>
      <c r="AH212" s="178"/>
      <c r="AI212" s="178"/>
      <c r="AJ212" s="178"/>
      <c r="AK212" s="178"/>
    </row>
    <row r="213" ht="24.75" customHeight="1">
      <c r="A213" s="162">
        <v>4.0</v>
      </c>
      <c r="B213" s="193" t="s">
        <v>55</v>
      </c>
      <c r="C213" s="200"/>
      <c r="D213" s="200"/>
      <c r="E213" s="200"/>
      <c r="F213" s="200"/>
      <c r="G213" s="200"/>
      <c r="H213" s="227">
        <v>47.0</v>
      </c>
      <c r="I213" s="200">
        <v>1.0</v>
      </c>
      <c r="J213" s="195">
        <f t="shared" si="184"/>
        <v>47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78"/>
      <c r="AH213" s="178"/>
      <c r="AI213" s="178"/>
      <c r="AJ213" s="178"/>
      <c r="AK213" s="178"/>
    </row>
    <row r="214" ht="24.75" customHeight="1">
      <c r="A214" s="162">
        <v>5.0</v>
      </c>
      <c r="B214" s="183" t="s">
        <v>55</v>
      </c>
      <c r="C214" s="200"/>
      <c r="D214" s="200"/>
      <c r="E214" s="200"/>
      <c r="F214" s="200"/>
      <c r="G214" s="200"/>
      <c r="H214" s="227">
        <v>38.0</v>
      </c>
      <c r="I214" s="200">
        <v>1.0</v>
      </c>
      <c r="J214" s="195">
        <f t="shared" si="184"/>
        <v>38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78"/>
      <c r="AH214" s="178"/>
      <c r="AI214" s="178"/>
      <c r="AJ214" s="178"/>
      <c r="AK214" s="178"/>
    </row>
    <row r="215" ht="24.75" customHeight="1">
      <c r="A215" s="162">
        <v>6.0</v>
      </c>
      <c r="B215" s="193" t="s">
        <v>55</v>
      </c>
      <c r="C215" s="200"/>
      <c r="D215" s="200"/>
      <c r="E215" s="200"/>
      <c r="F215" s="200"/>
      <c r="G215" s="200"/>
      <c r="H215" s="227">
        <v>21.0</v>
      </c>
      <c r="I215" s="200">
        <v>1.0</v>
      </c>
      <c r="J215" s="195">
        <f t="shared" si="184"/>
        <v>21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78"/>
      <c r="AH215" s="178"/>
      <c r="AI215" s="178"/>
      <c r="AJ215" s="178"/>
      <c r="AK215" s="178"/>
    </row>
    <row r="216" ht="24.75" customHeight="1">
      <c r="A216" s="162">
        <v>7.0</v>
      </c>
      <c r="B216" s="183" t="s">
        <v>57</v>
      </c>
      <c r="C216" s="200"/>
      <c r="D216" s="200"/>
      <c r="E216" s="200"/>
      <c r="F216" s="200"/>
      <c r="G216" s="200"/>
      <c r="H216" s="227">
        <v>30.0</v>
      </c>
      <c r="I216" s="200">
        <v>1.0</v>
      </c>
      <c r="J216" s="195">
        <f t="shared" si="184"/>
        <v>30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78"/>
      <c r="AH216" s="178"/>
      <c r="AI216" s="178"/>
      <c r="AJ216" s="178"/>
      <c r="AK216" s="178"/>
    </row>
    <row r="217" ht="24.75" customHeight="1">
      <c r="A217" s="162">
        <v>8.0</v>
      </c>
      <c r="B217" s="193" t="s">
        <v>57</v>
      </c>
      <c r="C217" s="200"/>
      <c r="D217" s="200"/>
      <c r="E217" s="200"/>
      <c r="F217" s="200"/>
      <c r="G217" s="200"/>
      <c r="H217" s="227">
        <v>23.0</v>
      </c>
      <c r="I217" s="200">
        <v>1.0</v>
      </c>
      <c r="J217" s="195">
        <f t="shared" si="184"/>
        <v>23</v>
      </c>
      <c r="K217" s="178"/>
      <c r="L217" s="178"/>
      <c r="M217" s="178"/>
      <c r="N217" s="178"/>
      <c r="O217" s="178"/>
      <c r="P217" s="178"/>
      <c r="Q217" s="228"/>
      <c r="R217" s="224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78"/>
      <c r="AH217" s="178"/>
      <c r="AI217" s="178"/>
      <c r="AJ217" s="178"/>
      <c r="AK217" s="178"/>
    </row>
    <row r="218" ht="24.75" customHeight="1">
      <c r="A218" s="162">
        <v>9.0</v>
      </c>
      <c r="B218" s="183" t="s">
        <v>91</v>
      </c>
      <c r="C218" s="200"/>
      <c r="D218" s="200"/>
      <c r="E218" s="200"/>
      <c r="F218" s="200"/>
      <c r="G218" s="200"/>
      <c r="H218" s="227">
        <v>19.0</v>
      </c>
      <c r="I218" s="200">
        <v>1.0</v>
      </c>
      <c r="J218" s="195">
        <f t="shared" si="184"/>
        <v>19</v>
      </c>
      <c r="K218" s="178"/>
      <c r="L218" s="178"/>
      <c r="M218" s="178"/>
      <c r="N218" s="178"/>
      <c r="O218" s="178"/>
      <c r="P218" s="178"/>
      <c r="Q218" s="228"/>
      <c r="R218" s="224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78"/>
      <c r="AH218" s="178"/>
      <c r="AI218" s="178"/>
      <c r="AJ218" s="178"/>
      <c r="AK218" s="178"/>
    </row>
    <row r="219" ht="24.75" customHeight="1">
      <c r="A219" s="162">
        <v>10.0</v>
      </c>
      <c r="B219" s="193" t="s">
        <v>91</v>
      </c>
      <c r="C219" s="200"/>
      <c r="D219" s="200"/>
      <c r="E219" s="200"/>
      <c r="F219" s="200"/>
      <c r="G219" s="200"/>
      <c r="H219" s="227">
        <v>19.0</v>
      </c>
      <c r="I219" s="200">
        <v>1.0</v>
      </c>
      <c r="J219" s="195">
        <f t="shared" si="184"/>
        <v>19</v>
      </c>
      <c r="K219" s="178"/>
      <c r="L219" s="178"/>
      <c r="M219" s="178"/>
      <c r="N219" s="178"/>
      <c r="O219" s="178"/>
      <c r="P219" s="178"/>
      <c r="Q219" s="228"/>
      <c r="R219" s="224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78"/>
      <c r="AH219" s="178"/>
      <c r="AI219" s="178"/>
      <c r="AJ219" s="178"/>
      <c r="AK219" s="178"/>
    </row>
    <row r="220" ht="24.75" customHeight="1">
      <c r="A220" s="162">
        <v>11.0</v>
      </c>
      <c r="B220" s="183" t="s">
        <v>149</v>
      </c>
      <c r="C220" s="200"/>
      <c r="D220" s="200"/>
      <c r="E220" s="200"/>
      <c r="F220" s="200"/>
      <c r="G220" s="200"/>
      <c r="H220" s="227">
        <v>43.0</v>
      </c>
      <c r="I220" s="200">
        <v>1.0</v>
      </c>
      <c r="J220" s="195">
        <f t="shared" si="184"/>
        <v>43</v>
      </c>
      <c r="K220" s="178"/>
      <c r="L220" s="178"/>
      <c r="M220" s="178"/>
      <c r="N220" s="178"/>
      <c r="O220" s="178"/>
      <c r="P220" s="178"/>
      <c r="Q220" s="228"/>
      <c r="R220" s="224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78"/>
      <c r="AH220" s="178"/>
      <c r="AI220" s="178"/>
      <c r="AJ220" s="178"/>
      <c r="AK220" s="178"/>
    </row>
    <row r="221" ht="24.75" customHeight="1">
      <c r="A221" s="162">
        <v>12.0</v>
      </c>
      <c r="B221" s="193" t="s">
        <v>149</v>
      </c>
      <c r="C221" s="200"/>
      <c r="D221" s="200"/>
      <c r="E221" s="200"/>
      <c r="F221" s="200"/>
      <c r="G221" s="200"/>
      <c r="H221" s="227">
        <v>25.0</v>
      </c>
      <c r="I221" s="200">
        <v>1.0</v>
      </c>
      <c r="J221" s="195">
        <f t="shared" si="184"/>
        <v>25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78"/>
      <c r="AH221" s="178"/>
      <c r="AI221" s="178"/>
      <c r="AJ221" s="178"/>
      <c r="AK221" s="178"/>
    </row>
    <row r="222" ht="24.75" hidden="1" customHeight="1">
      <c r="A222" s="162">
        <v>21.0</v>
      </c>
      <c r="B222" s="229"/>
      <c r="C222" s="200"/>
      <c r="D222" s="200"/>
      <c r="E222" s="200"/>
      <c r="F222" s="200"/>
      <c r="G222" s="200"/>
      <c r="H222" s="227"/>
      <c r="I222" s="200"/>
      <c r="J222" s="195">
        <f t="shared" si="184"/>
        <v>0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78"/>
      <c r="AH222" s="178"/>
      <c r="AI222" s="178"/>
      <c r="AJ222" s="178"/>
      <c r="AK222" s="178"/>
    </row>
    <row r="223" ht="24.75" hidden="1" customHeight="1">
      <c r="A223" s="162">
        <v>22.0</v>
      </c>
      <c r="B223" s="229"/>
      <c r="C223" s="200"/>
      <c r="D223" s="200"/>
      <c r="E223" s="200"/>
      <c r="F223" s="200"/>
      <c r="G223" s="200"/>
      <c r="H223" s="227"/>
      <c r="I223" s="200"/>
      <c r="J223" s="195">
        <f t="shared" si="184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78"/>
      <c r="AH223" s="178"/>
      <c r="AI223" s="178"/>
      <c r="AJ223" s="178"/>
      <c r="AK223" s="178"/>
    </row>
    <row r="224" ht="24.75" hidden="1" customHeight="1">
      <c r="A224" s="162">
        <v>23.0</v>
      </c>
      <c r="B224" s="229"/>
      <c r="C224" s="200"/>
      <c r="D224" s="200"/>
      <c r="E224" s="200"/>
      <c r="F224" s="200"/>
      <c r="G224" s="200"/>
      <c r="H224" s="227"/>
      <c r="I224" s="200"/>
      <c r="J224" s="195">
        <f t="shared" si="184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78"/>
      <c r="AH224" s="178"/>
      <c r="AI224" s="178"/>
      <c r="AJ224" s="178"/>
      <c r="AK224" s="178"/>
    </row>
    <row r="225" ht="24.75" hidden="1" customHeight="1">
      <c r="A225" s="162">
        <v>24.0</v>
      </c>
      <c r="B225" s="229"/>
      <c r="C225" s="200"/>
      <c r="D225" s="200"/>
      <c r="E225" s="200"/>
      <c r="F225" s="200"/>
      <c r="G225" s="200"/>
      <c r="H225" s="227"/>
      <c r="I225" s="200"/>
      <c r="J225" s="195">
        <f t="shared" si="184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78"/>
      <c r="AH225" s="178"/>
      <c r="AI225" s="178"/>
      <c r="AJ225" s="178"/>
      <c r="AK225" s="178"/>
    </row>
    <row r="226" ht="24.75" hidden="1" customHeight="1">
      <c r="A226" s="162">
        <v>25.0</v>
      </c>
      <c r="B226" s="229"/>
      <c r="C226" s="200"/>
      <c r="D226" s="200"/>
      <c r="E226" s="200"/>
      <c r="F226" s="200"/>
      <c r="G226" s="200"/>
      <c r="H226" s="227"/>
      <c r="I226" s="200"/>
      <c r="J226" s="195">
        <f t="shared" si="184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78"/>
      <c r="AH226" s="178"/>
      <c r="AI226" s="178"/>
      <c r="AJ226" s="178"/>
      <c r="AK226" s="178"/>
    </row>
    <row r="227" ht="24.75" hidden="1" customHeight="1">
      <c r="A227" s="162">
        <v>26.0</v>
      </c>
      <c r="B227" s="229"/>
      <c r="C227" s="200"/>
      <c r="D227" s="200"/>
      <c r="E227" s="200"/>
      <c r="F227" s="200"/>
      <c r="G227" s="200"/>
      <c r="H227" s="227"/>
      <c r="I227" s="200"/>
      <c r="J227" s="195">
        <f t="shared" si="184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78"/>
      <c r="AH227" s="178"/>
      <c r="AI227" s="178"/>
      <c r="AJ227" s="178"/>
      <c r="AK227" s="178"/>
    </row>
    <row r="228" ht="24.75" hidden="1" customHeight="1">
      <c r="A228" s="162">
        <v>27.0</v>
      </c>
      <c r="B228" s="229"/>
      <c r="C228" s="200"/>
      <c r="D228" s="200"/>
      <c r="E228" s="200"/>
      <c r="F228" s="200"/>
      <c r="G228" s="200"/>
      <c r="H228" s="200"/>
      <c r="I228" s="200"/>
      <c r="J228" s="195">
        <f t="shared" si="184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78"/>
      <c r="AH228" s="178"/>
      <c r="AI228" s="178"/>
      <c r="AJ228" s="178"/>
      <c r="AK228" s="178"/>
    </row>
    <row r="229" ht="24.75" hidden="1" customHeight="1">
      <c r="A229" s="162">
        <v>28.0</v>
      </c>
      <c r="B229" s="229"/>
      <c r="C229" s="200"/>
      <c r="D229" s="200"/>
      <c r="E229" s="200"/>
      <c r="F229" s="200"/>
      <c r="G229" s="200"/>
      <c r="H229" s="200"/>
      <c r="I229" s="200"/>
      <c r="J229" s="195">
        <f t="shared" si="184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78"/>
      <c r="AH229" s="178"/>
      <c r="AI229" s="178"/>
      <c r="AJ229" s="178"/>
      <c r="AK229" s="178"/>
    </row>
    <row r="230" ht="24.75" hidden="1" customHeight="1">
      <c r="A230" s="162">
        <v>29.0</v>
      </c>
      <c r="B230" s="230"/>
      <c r="C230" s="200"/>
      <c r="D230" s="200"/>
      <c r="E230" s="200"/>
      <c r="F230" s="200"/>
      <c r="G230" s="200"/>
      <c r="H230" s="200"/>
      <c r="I230" s="200"/>
      <c r="J230" s="195">
        <f t="shared" si="184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78"/>
      <c r="AH230" s="178"/>
      <c r="AI230" s="178"/>
      <c r="AJ230" s="178"/>
      <c r="AK230" s="178"/>
    </row>
    <row r="231" ht="24.75" hidden="1" customHeight="1">
      <c r="A231" s="162">
        <v>30.0</v>
      </c>
      <c r="B231" s="230"/>
      <c r="C231" s="200"/>
      <c r="D231" s="200"/>
      <c r="E231" s="200"/>
      <c r="F231" s="200"/>
      <c r="G231" s="200"/>
      <c r="H231" s="227"/>
      <c r="I231" s="200"/>
      <c r="J231" s="195">
        <f t="shared" si="184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</row>
    <row r="232" ht="24.75" hidden="1" customHeight="1">
      <c r="A232" s="162">
        <v>31.0</v>
      </c>
      <c r="B232" s="218"/>
      <c r="C232" s="200"/>
      <c r="D232" s="200"/>
      <c r="E232" s="200"/>
      <c r="F232" s="200"/>
      <c r="G232" s="200"/>
      <c r="H232" s="227"/>
      <c r="I232" s="200"/>
      <c r="J232" s="195">
        <f t="shared" si="184"/>
        <v>0</v>
      </c>
      <c r="K232" s="178"/>
      <c r="L232" s="178"/>
      <c r="M232" s="178"/>
      <c r="N232" s="178"/>
      <c r="O232" s="178"/>
      <c r="P232" s="178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</row>
    <row r="233" ht="24.75" hidden="1" customHeight="1">
      <c r="A233" s="162">
        <v>32.0</v>
      </c>
      <c r="B233" s="218"/>
      <c r="C233" s="162"/>
      <c r="D233" s="162"/>
      <c r="E233" s="162"/>
      <c r="F233" s="162"/>
      <c r="G233" s="162"/>
      <c r="H233" s="162"/>
      <c r="I233" s="162"/>
      <c r="J233" s="195">
        <f t="shared" si="184"/>
        <v>0</v>
      </c>
      <c r="K233" s="178"/>
      <c r="L233" s="178"/>
      <c r="M233" s="178"/>
      <c r="N233" s="178"/>
      <c r="O233" s="178"/>
      <c r="P233" s="178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</row>
    <row r="234" ht="24.75" hidden="1" customHeight="1">
      <c r="A234" s="162">
        <v>33.0</v>
      </c>
      <c r="B234" s="230"/>
      <c r="C234" s="162"/>
      <c r="D234" s="162"/>
      <c r="E234" s="162"/>
      <c r="F234" s="162"/>
      <c r="G234" s="162"/>
      <c r="H234" s="162"/>
      <c r="I234" s="162"/>
      <c r="J234" s="195">
        <f t="shared" si="184"/>
        <v>0</v>
      </c>
      <c r="K234" s="178"/>
      <c r="L234" s="178"/>
      <c r="M234" s="178"/>
      <c r="N234" s="178"/>
      <c r="O234" s="178"/>
      <c r="P234" s="178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</row>
    <row r="235" ht="24.75" hidden="1" customHeight="1">
      <c r="A235" s="162">
        <v>34.0</v>
      </c>
      <c r="B235" s="231"/>
      <c r="C235" s="162"/>
      <c r="D235" s="162"/>
      <c r="E235" s="162"/>
      <c r="F235" s="162"/>
      <c r="G235" s="162"/>
      <c r="H235" s="162"/>
      <c r="I235" s="162"/>
      <c r="J235" s="195">
        <f t="shared" si="184"/>
        <v>0</v>
      </c>
      <c r="K235" s="178"/>
      <c r="L235" s="178"/>
      <c r="M235" s="178"/>
      <c r="N235" s="178"/>
      <c r="O235" s="178"/>
      <c r="P235" s="178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4.75" hidden="1" customHeight="1">
      <c r="A236" s="162">
        <v>35.0</v>
      </c>
      <c r="B236" s="232"/>
      <c r="C236" s="162"/>
      <c r="D236" s="162"/>
      <c r="E236" s="162"/>
      <c r="F236" s="162"/>
      <c r="G236" s="162"/>
      <c r="H236" s="162"/>
      <c r="I236" s="162"/>
      <c r="J236" s="195">
        <f t="shared" si="184"/>
        <v>0</v>
      </c>
      <c r="K236" s="178"/>
      <c r="L236" s="178"/>
      <c r="M236" s="178"/>
      <c r="N236" s="178"/>
      <c r="O236" s="178"/>
      <c r="P236" s="178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18.75" customHeight="1">
      <c r="A237" s="139"/>
      <c r="B237" s="139"/>
      <c r="C237" s="139"/>
      <c r="D237" s="139"/>
      <c r="E237" s="139"/>
      <c r="F237" s="139"/>
      <c r="G237" s="139"/>
      <c r="H237" s="140" t="s">
        <v>38</v>
      </c>
      <c r="I237" s="139"/>
      <c r="J237" s="233">
        <f>SUM(J210:J236)</f>
        <v>361</v>
      </c>
      <c r="K237" s="234"/>
      <c r="L237" s="234"/>
      <c r="M237" s="234"/>
      <c r="N237" s="234"/>
      <c r="O237" s="234"/>
      <c r="P237" s="234"/>
      <c r="Q237" s="234"/>
      <c r="R237" s="139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18.75" customHeight="1">
      <c r="A238" s="144"/>
      <c r="B238" s="144"/>
      <c r="C238" s="144"/>
      <c r="D238" s="144"/>
      <c r="E238" s="144"/>
      <c r="F238" s="144"/>
      <c r="G238" s="144"/>
      <c r="H238" s="145"/>
      <c r="I238" s="175"/>
      <c r="J238" s="206">
        <f>+J237*60%</f>
        <v>216.6</v>
      </c>
      <c r="K238" s="206"/>
      <c r="L238" s="206"/>
      <c r="M238" s="206"/>
      <c r="N238" s="206"/>
      <c r="O238" s="206"/>
      <c r="P238" s="206"/>
      <c r="Q238" s="206">
        <f>+J237*40%</f>
        <v>144.4</v>
      </c>
      <c r="R238" s="139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18.75" customHeight="1">
      <c r="A239" s="139"/>
      <c r="B239" s="139"/>
      <c r="C239" s="139"/>
      <c r="D239" s="139"/>
      <c r="E239" s="139"/>
      <c r="F239" s="139"/>
      <c r="G239" s="139"/>
      <c r="H239" s="140"/>
      <c r="I239" s="139"/>
      <c r="J239" s="139"/>
      <c r="K239" s="139"/>
      <c r="L239" s="139"/>
      <c r="M239" s="139"/>
      <c r="N239" s="139"/>
      <c r="O239" s="139"/>
      <c r="P239" s="139"/>
      <c r="Q239" s="139"/>
      <c r="R239" s="139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18.75" customHeight="1">
      <c r="A240" s="139"/>
      <c r="B240" s="139"/>
      <c r="C240" s="139"/>
      <c r="D240" s="139"/>
      <c r="E240" s="139"/>
      <c r="F240" s="139"/>
      <c r="G240" s="139"/>
      <c r="H240" s="140"/>
      <c r="I240" s="139"/>
      <c r="J240" s="139"/>
      <c r="K240" s="139"/>
      <c r="L240" s="139"/>
      <c r="M240" s="139"/>
      <c r="N240" s="139"/>
      <c r="O240" s="139"/>
      <c r="P240" s="139"/>
      <c r="Q240" s="139"/>
      <c r="R240" s="139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19.5" customHeight="1">
      <c r="A241" s="235" t="s">
        <v>41</v>
      </c>
      <c r="B241" s="139"/>
      <c r="C241" s="139"/>
      <c r="D241" s="139"/>
      <c r="E241" s="139"/>
      <c r="F241" s="139"/>
      <c r="G241" s="139"/>
      <c r="H241" s="140"/>
      <c r="I241" s="139"/>
      <c r="J241" s="139"/>
      <c r="K241" s="139"/>
      <c r="L241" s="139"/>
      <c r="M241" s="139"/>
      <c r="N241" s="139"/>
      <c r="O241" s="139"/>
      <c r="P241" s="139"/>
      <c r="Q241" s="139"/>
      <c r="R241" s="139"/>
      <c r="S241" s="22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57.0" customHeight="1">
      <c r="A242" s="236"/>
      <c r="B242" s="237" t="s">
        <v>42</v>
      </c>
      <c r="C242" s="237" t="s">
        <v>43</v>
      </c>
      <c r="D242" s="237" t="s">
        <v>44</v>
      </c>
      <c r="E242" s="237" t="s">
        <v>45</v>
      </c>
      <c r="F242" s="237"/>
      <c r="G242" s="237"/>
      <c r="H242" s="238" t="s">
        <v>46</v>
      </c>
      <c r="I242" s="239" t="s">
        <v>47</v>
      </c>
      <c r="J242" s="139"/>
      <c r="K242" s="139"/>
      <c r="L242" s="139"/>
      <c r="M242" s="139"/>
      <c r="N242" s="139"/>
      <c r="O242" s="139"/>
      <c r="P242" s="139"/>
      <c r="Q242" s="139"/>
      <c r="R242" s="141"/>
      <c r="S242" s="224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240" t="s">
        <v>48</v>
      </c>
      <c r="B243" s="241">
        <f>+E22</f>
        <v>43880.2607</v>
      </c>
      <c r="C243" s="242">
        <f>+J189</f>
        <v>40592.75102</v>
      </c>
      <c r="D243" s="242">
        <f>+J203</f>
        <v>635.65626</v>
      </c>
      <c r="E243" s="243">
        <f>J238</f>
        <v>216.6</v>
      </c>
      <c r="F243" s="243"/>
      <c r="G243" s="243"/>
      <c r="H243" s="244">
        <f>+I22</f>
        <v>1311.015018</v>
      </c>
      <c r="I243" s="245">
        <f>+B243-C243-D243-E243-H243</f>
        <v>1124.238401</v>
      </c>
      <c r="J243" s="139"/>
      <c r="K243" s="139"/>
      <c r="L243" s="139"/>
      <c r="M243" s="139"/>
      <c r="N243" s="139"/>
      <c r="O243" s="139"/>
      <c r="P243" s="139"/>
      <c r="Q243" s="139"/>
      <c r="R243" s="141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9.5" customHeight="1">
      <c r="A244" s="246" t="s">
        <v>49</v>
      </c>
      <c r="B244" s="247"/>
      <c r="C244" s="248">
        <f>+C243/B243</f>
        <v>0.9250799875</v>
      </c>
      <c r="D244" s="248">
        <f>+D243/B243</f>
        <v>0.01448615505</v>
      </c>
      <c r="E244" s="248">
        <f>+E243/B243</f>
        <v>0.004936160281</v>
      </c>
      <c r="F244" s="248"/>
      <c r="G244" s="248"/>
      <c r="H244" s="249">
        <f>+H243/B243</f>
        <v>0.02987710185</v>
      </c>
      <c r="I244" s="250">
        <f>+I243/B243</f>
        <v>0.0256205953</v>
      </c>
      <c r="J244" s="139"/>
      <c r="K244" s="139"/>
      <c r="L244" s="139"/>
      <c r="M244" s="139"/>
      <c r="N244" s="139"/>
      <c r="O244" s="139"/>
      <c r="P244" s="139"/>
      <c r="Q244" s="139"/>
      <c r="R244" s="141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9.5" customHeight="1">
      <c r="A245" s="165"/>
      <c r="B245" s="221"/>
      <c r="C245" s="251"/>
      <c r="D245" s="251"/>
      <c r="E245" s="251"/>
      <c r="F245" s="251"/>
      <c r="G245" s="251"/>
      <c r="H245" s="252"/>
      <c r="I245" s="253"/>
      <c r="J245" s="139"/>
      <c r="K245" s="139"/>
      <c r="L245" s="139"/>
      <c r="M245" s="139"/>
      <c r="N245" s="139"/>
      <c r="O245" s="139"/>
      <c r="P245" s="139"/>
      <c r="Q245" s="139"/>
      <c r="R245" s="141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254"/>
      <c r="B246" s="255"/>
      <c r="C246" s="255"/>
      <c r="D246" s="255" t="s">
        <v>50</v>
      </c>
      <c r="E246" s="255" t="s">
        <v>48</v>
      </c>
      <c r="F246" s="255"/>
      <c r="G246" s="255"/>
      <c r="H246" s="256">
        <f>+D243+E243+H243+I243</f>
        <v>3287.509679</v>
      </c>
      <c r="I246" s="257"/>
      <c r="J246" s="139"/>
      <c r="K246" s="139"/>
      <c r="L246" s="139"/>
      <c r="M246" s="139"/>
      <c r="N246" s="139"/>
      <c r="O246" s="139"/>
      <c r="P246" s="139"/>
      <c r="Q246" s="139"/>
      <c r="R246" s="141"/>
      <c r="S246" s="140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8.75" customHeight="1">
      <c r="A247" s="258"/>
      <c r="B247" s="139"/>
      <c r="C247" s="139"/>
      <c r="D247" s="139"/>
      <c r="E247" s="139" t="s">
        <v>49</v>
      </c>
      <c r="F247" s="139"/>
      <c r="G247" s="139"/>
      <c r="H247" s="252">
        <f>+H246/B243</f>
        <v>0.07492001247</v>
      </c>
      <c r="I247" s="259"/>
      <c r="J247" s="139"/>
      <c r="K247" s="139"/>
      <c r="L247" s="139"/>
      <c r="M247" s="139"/>
      <c r="N247" s="139"/>
      <c r="O247" s="139"/>
      <c r="P247" s="139"/>
      <c r="Q247" s="139"/>
      <c r="R247" s="141"/>
      <c r="S247" s="140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18.75" customHeight="1">
      <c r="A248" s="258"/>
      <c r="B248" s="139"/>
      <c r="C248" s="139" t="s">
        <v>51</v>
      </c>
      <c r="D248" s="139"/>
      <c r="E248" s="139"/>
      <c r="F248" s="139"/>
      <c r="G248" s="139"/>
      <c r="H248" s="140"/>
      <c r="I248" s="259"/>
      <c r="J248" s="139"/>
      <c r="K248" s="139"/>
      <c r="L248" s="139"/>
      <c r="M248" s="139"/>
      <c r="N248" s="139"/>
      <c r="O248" s="139"/>
      <c r="P248" s="139"/>
      <c r="Q248" s="139"/>
      <c r="R248" s="141"/>
      <c r="S248" s="140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258"/>
      <c r="B249" s="139"/>
      <c r="C249" s="139"/>
      <c r="D249" s="139" t="s">
        <v>52</v>
      </c>
      <c r="E249" s="139"/>
      <c r="F249" s="139"/>
      <c r="G249" s="139"/>
      <c r="H249" s="140">
        <f>+H248*(H246-H243)</f>
        <v>0</v>
      </c>
      <c r="I249" s="259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9.5" customHeight="1">
      <c r="A250" s="260"/>
      <c r="B250" s="261"/>
      <c r="C250" s="261"/>
      <c r="D250" s="261"/>
      <c r="E250" s="261"/>
      <c r="F250" s="261"/>
      <c r="G250" s="261"/>
      <c r="H250" s="262"/>
      <c r="I250" s="263"/>
      <c r="J250" s="139"/>
      <c r="K250" s="139"/>
      <c r="L250" s="139"/>
      <c r="M250" s="139"/>
      <c r="N250" s="139"/>
      <c r="O250" s="139"/>
      <c r="P250" s="139"/>
      <c r="Q250" s="139"/>
      <c r="R250" s="141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/>
      <c r="I251" s="139"/>
      <c r="J251" s="139"/>
      <c r="K251" s="139"/>
      <c r="L251" s="139"/>
      <c r="M251" s="139"/>
      <c r="N251" s="139"/>
      <c r="O251" s="139"/>
      <c r="P251" s="139"/>
      <c r="Q251" s="139"/>
      <c r="R251" s="141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139"/>
      <c r="B252" s="139"/>
      <c r="C252" s="139"/>
      <c r="D252" s="139"/>
      <c r="E252" s="139"/>
      <c r="F252" s="139"/>
      <c r="G252" s="139"/>
      <c r="H252" s="140"/>
      <c r="I252" s="139"/>
      <c r="J252" s="139"/>
      <c r="K252" s="139"/>
      <c r="L252" s="139"/>
      <c r="M252" s="139"/>
      <c r="N252" s="139"/>
      <c r="O252" s="139"/>
      <c r="P252" s="139"/>
      <c r="Q252" s="139"/>
      <c r="R252" s="141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95:E195"/>
    <mergeCell ref="C209:E209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44547.0</v>
      </c>
      <c r="J4" s="139" t="str">
        <f>+B8&amp;"/"&amp;B9&amp;"/"&amp;B10&amp;"/"&amp;B11&amp;"/"&amp;B12&amp;"/"&amp;B13&amp;"/"&amp;B14&amp;"/"&amp;B15&amp;"/"&amp;B16</f>
        <v>HRD2940/HRD2940/D2850/D2550GT/D4050/A270/D3070CC/D2070CC/HRD2930/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153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+I258</f>
        <v>0.01519576468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252.8*43.9</f>
        <v>11097.92</v>
      </c>
      <c r="F8" s="157"/>
      <c r="G8" s="157"/>
      <c r="H8" s="158">
        <v>43.9</v>
      </c>
      <c r="I8" s="159">
        <f t="shared" ref="I8:I22" si="1">+D8*E8</f>
        <v>162.029632</v>
      </c>
      <c r="J8" s="160">
        <f t="shared" ref="J8:J22" si="2">E8-I8</f>
        <v>10935.89037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245.58*29.7</f>
        <v>7293.726</v>
      </c>
      <c r="F9" s="157"/>
      <c r="G9" s="157"/>
      <c r="H9" s="158">
        <v>29.7</v>
      </c>
      <c r="I9" s="159">
        <f t="shared" si="1"/>
        <v>106.4883996</v>
      </c>
      <c r="J9" s="160">
        <f t="shared" si="2"/>
        <v>7187.2376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92</v>
      </c>
      <c r="C10" s="155">
        <v>28.5</v>
      </c>
      <c r="D10" s="156">
        <v>0.0607</v>
      </c>
      <c r="E10" s="157">
        <f>238.796*39</f>
        <v>9313.044</v>
      </c>
      <c r="F10" s="157"/>
      <c r="G10" s="157"/>
      <c r="H10" s="158">
        <v>39.0</v>
      </c>
      <c r="I10" s="159">
        <f t="shared" si="1"/>
        <v>565.3017708</v>
      </c>
      <c r="J10" s="160">
        <f t="shared" si="2"/>
        <v>8747.742229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78</v>
      </c>
      <c r="C11" s="155">
        <v>25.5</v>
      </c>
      <c r="D11" s="163">
        <v>0.0577</v>
      </c>
      <c r="E11" s="164">
        <f>262.54*19.3</f>
        <v>5067.022</v>
      </c>
      <c r="F11" s="164"/>
      <c r="G11" s="164"/>
      <c r="H11" s="158">
        <v>19.3</v>
      </c>
      <c r="I11" s="159">
        <f t="shared" si="1"/>
        <v>292.3671694</v>
      </c>
      <c r="J11" s="160">
        <f t="shared" si="2"/>
        <v>4774.654831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138</v>
      </c>
      <c r="C12" s="162">
        <v>40.5</v>
      </c>
      <c r="D12" s="163">
        <v>0.0395</v>
      </c>
      <c r="E12" s="164">
        <f>258.29*34.1</f>
        <v>8807.689</v>
      </c>
      <c r="F12" s="164"/>
      <c r="G12" s="164"/>
      <c r="H12" s="158">
        <v>34.1</v>
      </c>
      <c r="I12" s="159">
        <f t="shared" si="1"/>
        <v>347.9037155</v>
      </c>
      <c r="J12" s="160">
        <f t="shared" si="2"/>
        <v>8459.785285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149</v>
      </c>
      <c r="C13" s="162">
        <v>30.5</v>
      </c>
      <c r="D13" s="163">
        <v>0.0491</v>
      </c>
      <c r="E13" s="164">
        <f>274.81*13.2</f>
        <v>3627.492</v>
      </c>
      <c r="F13" s="164"/>
      <c r="G13" s="164"/>
      <c r="H13" s="158">
        <v>13.2</v>
      </c>
      <c r="I13" s="159">
        <f t="shared" si="1"/>
        <v>178.1098572</v>
      </c>
      <c r="J13" s="160">
        <f t="shared" si="2"/>
        <v>3449.382143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105</v>
      </c>
      <c r="C14" s="162">
        <v>20.5</v>
      </c>
      <c r="D14" s="163">
        <v>0.0813</v>
      </c>
      <c r="E14" s="164">
        <f>231.166*20.6</f>
        <v>4762.0196</v>
      </c>
      <c r="F14" s="164"/>
      <c r="G14" s="164"/>
      <c r="H14" s="158">
        <v>20.6</v>
      </c>
      <c r="I14" s="159">
        <f t="shared" si="1"/>
        <v>387.1521935</v>
      </c>
      <c r="J14" s="160">
        <f t="shared" si="2"/>
        <v>4374.867407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4">
        <v>8.0</v>
      </c>
      <c r="B15" s="162" t="s">
        <v>57</v>
      </c>
      <c r="C15" s="162">
        <v>29.5</v>
      </c>
      <c r="D15" s="163">
        <v>0.0155</v>
      </c>
      <c r="E15" s="164">
        <f>253.14*38.6</f>
        <v>9771.204</v>
      </c>
      <c r="F15" s="164"/>
      <c r="G15" s="164"/>
      <c r="H15" s="158">
        <v>38.6</v>
      </c>
      <c r="I15" s="159">
        <f t="shared" si="1"/>
        <v>151.453662</v>
      </c>
      <c r="J15" s="160">
        <f t="shared" si="2"/>
        <v>9619.750338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11.0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12.0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13.0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14.0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15.0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16.0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26.25" hidden="1" customHeight="1">
      <c r="A22" s="154">
        <v>17.0</v>
      </c>
      <c r="B22" s="162"/>
      <c r="C22" s="162"/>
      <c r="D22" s="163"/>
      <c r="E22" s="164"/>
      <c r="F22" s="164"/>
      <c r="G22" s="164"/>
      <c r="H22" s="158"/>
      <c r="I22" s="159">
        <f t="shared" si="1"/>
        <v>0</v>
      </c>
      <c r="J22" s="160">
        <f t="shared" si="2"/>
        <v>0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65"/>
      <c r="B23" s="166"/>
      <c r="C23" s="167"/>
      <c r="D23" s="168"/>
      <c r="E23" s="169">
        <f>SUM(E8:E22)</f>
        <v>59740.1166</v>
      </c>
      <c r="F23" s="170"/>
      <c r="G23" s="170"/>
      <c r="H23" s="171"/>
      <c r="I23" s="172">
        <f t="shared" ref="I23:J23" si="3">SUM(I8:I22)</f>
        <v>2190.8064</v>
      </c>
      <c r="J23" s="173">
        <f t="shared" si="3"/>
        <v>57549.3102</v>
      </c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74"/>
      <c r="B24" s="144"/>
      <c r="C24" s="144"/>
      <c r="D24" s="175"/>
      <c r="E24" s="176"/>
      <c r="F24" s="151"/>
      <c r="G24" s="151"/>
      <c r="H24" s="147"/>
      <c r="I24" s="177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18.75" customHeight="1">
      <c r="A27" s="139" t="s">
        <v>11</v>
      </c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18.75" customHeight="1">
      <c r="A28" s="139"/>
      <c r="B28" s="139"/>
      <c r="C28" s="139"/>
      <c r="D28" s="139"/>
      <c r="E28" s="139"/>
      <c r="F28" s="139"/>
      <c r="G28" s="139"/>
      <c r="H28" s="140"/>
      <c r="I28" s="139"/>
      <c r="J28" s="139"/>
      <c r="K28" s="139"/>
      <c r="L28" s="139"/>
      <c r="M28" s="139"/>
      <c r="N28" s="139"/>
      <c r="O28" s="139"/>
      <c r="P28" s="139"/>
      <c r="Q28" s="139"/>
      <c r="R28" s="141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40.5" customHeight="1">
      <c r="A29" s="178"/>
      <c r="B29" s="162" t="s">
        <v>12</v>
      </c>
      <c r="C29" s="179" t="s">
        <v>60</v>
      </c>
      <c r="D29" s="52"/>
      <c r="E29" s="53"/>
      <c r="F29" s="180"/>
      <c r="G29" s="180"/>
      <c r="H29" s="181" t="s">
        <v>14</v>
      </c>
      <c r="I29" s="162" t="s">
        <v>15</v>
      </c>
      <c r="J29" s="162" t="s">
        <v>16</v>
      </c>
      <c r="K29" s="139"/>
      <c r="L29" s="162" t="s">
        <v>17</v>
      </c>
      <c r="M29" s="162" t="s">
        <v>15</v>
      </c>
      <c r="N29" s="178" t="s">
        <v>18</v>
      </c>
      <c r="O29" s="139"/>
      <c r="P29" s="139"/>
      <c r="Q29" s="178" t="s">
        <v>61</v>
      </c>
      <c r="R29" s="182"/>
      <c r="S29" s="162" t="s">
        <v>17</v>
      </c>
      <c r="T29" s="162" t="s">
        <v>15</v>
      </c>
      <c r="U29" s="178" t="s">
        <v>18</v>
      </c>
      <c r="V29" s="139"/>
      <c r="W29" s="178" t="s">
        <v>19</v>
      </c>
      <c r="X29" s="178" t="s">
        <v>20</v>
      </c>
      <c r="Y29" s="178" t="s">
        <v>21</v>
      </c>
      <c r="Z29" s="178" t="s">
        <v>154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1.0</v>
      </c>
      <c r="B30" s="183" t="s">
        <v>155</v>
      </c>
      <c r="C30" s="184">
        <v>86.0</v>
      </c>
      <c r="D30" s="184">
        <v>195.0</v>
      </c>
      <c r="E30" s="184">
        <v>185.0</v>
      </c>
      <c r="F30" s="184">
        <f t="shared" ref="F30:F196" si="5">VALUE(IF(RIGHT(B30, 1)="%", RIGHT(B30, 3), 0))</f>
        <v>0.8</v>
      </c>
      <c r="G30" s="184">
        <f t="shared" ref="G30:G196" si="6">+R30*C30/100*D30/100*E30/100</f>
        <v>93.0735</v>
      </c>
      <c r="H30" s="185">
        <f t="shared" ref="H30:H196" si="7">IF(F30=0, G30, F30*G30)</f>
        <v>74.4588</v>
      </c>
      <c r="I30" s="184">
        <v>1.0</v>
      </c>
      <c r="J30" s="186">
        <f t="shared" ref="J30:J196" si="8">+I30*H30</f>
        <v>74.4588</v>
      </c>
      <c r="K30" s="187"/>
      <c r="L30" s="188">
        <f>D30*25.4/1000</f>
        <v>4.953</v>
      </c>
      <c r="M30" s="189">
        <f>+I30</f>
        <v>1</v>
      </c>
      <c r="N30" s="189">
        <f>M30*L30</f>
        <v>4.953</v>
      </c>
      <c r="O30" s="187"/>
      <c r="P30" s="187"/>
      <c r="Q30" s="188">
        <v>103.0</v>
      </c>
      <c r="R30" s="190">
        <v>30.0</v>
      </c>
      <c r="S30" s="178">
        <f t="shared" ref="S30:S197" si="9">E30/100</f>
        <v>1.85</v>
      </c>
      <c r="T30" s="162">
        <f t="shared" ref="T30:T197" si="10">I30</f>
        <v>1</v>
      </c>
      <c r="U30" s="162">
        <f t="shared" ref="U30:U197" si="11">T30*S30</f>
        <v>1.85</v>
      </c>
      <c r="V30" s="191">
        <f t="shared" ref="V30:V79" si="12">R30*C30/100*D30/100*E30/100</f>
        <v>93.0735</v>
      </c>
      <c r="W30" s="178">
        <f t="shared" ref="W30:X30" si="4">C30/100</f>
        <v>0.86</v>
      </c>
      <c r="X30" s="178">
        <f t="shared" si="4"/>
        <v>1.95</v>
      </c>
      <c r="Y30" s="178">
        <f t="shared" ref="Y30:Y197" si="14">U30</f>
        <v>1.85</v>
      </c>
      <c r="Z30" s="192">
        <f t="shared" ref="Z30:Z197" si="15">W30*X30*Y30</f>
        <v>3.10245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2.0</v>
      </c>
      <c r="B31" s="193" t="s">
        <v>55</v>
      </c>
      <c r="C31" s="193">
        <v>101.0</v>
      </c>
      <c r="D31" s="193">
        <v>195.0</v>
      </c>
      <c r="E31" s="193">
        <v>205.0</v>
      </c>
      <c r="F31" s="193">
        <f t="shared" si="5"/>
        <v>0</v>
      </c>
      <c r="G31" s="193">
        <f t="shared" si="6"/>
        <v>121.12425</v>
      </c>
      <c r="H31" s="194">
        <f t="shared" si="7"/>
        <v>121.12425</v>
      </c>
      <c r="I31" s="193">
        <v>1.0</v>
      </c>
      <c r="J31" s="195">
        <f t="shared" si="8"/>
        <v>121.12425</v>
      </c>
      <c r="K31" s="139"/>
      <c r="L31" s="178"/>
      <c r="M31" s="162"/>
      <c r="N31" s="162"/>
      <c r="O31" s="139"/>
      <c r="P31" s="139"/>
      <c r="Q31" s="178">
        <v>123.0</v>
      </c>
      <c r="R31" s="190">
        <v>30.0</v>
      </c>
      <c r="S31" s="178">
        <f t="shared" si="9"/>
        <v>2.05</v>
      </c>
      <c r="T31" s="162">
        <f t="shared" si="10"/>
        <v>1</v>
      </c>
      <c r="U31" s="162">
        <f t="shared" si="11"/>
        <v>2.05</v>
      </c>
      <c r="V31" s="191">
        <f t="shared" si="12"/>
        <v>121.12425</v>
      </c>
      <c r="W31" s="178">
        <f t="shared" ref="W31:X31" si="13">C31/100</f>
        <v>1.01</v>
      </c>
      <c r="X31" s="178">
        <f t="shared" si="13"/>
        <v>1.95</v>
      </c>
      <c r="Y31" s="178">
        <f t="shared" si="14"/>
        <v>2.05</v>
      </c>
      <c r="Z31" s="192">
        <f t="shared" si="15"/>
        <v>4.037475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3.0</v>
      </c>
      <c r="B32" s="193" t="s">
        <v>55</v>
      </c>
      <c r="C32" s="193">
        <v>103.0</v>
      </c>
      <c r="D32" s="193">
        <v>195.0</v>
      </c>
      <c r="E32" s="193">
        <v>2884.0</v>
      </c>
      <c r="F32" s="193">
        <f t="shared" si="5"/>
        <v>0</v>
      </c>
      <c r="G32" s="193">
        <f t="shared" si="6"/>
        <v>1737.7542</v>
      </c>
      <c r="H32" s="194">
        <f t="shared" si="7"/>
        <v>1737.7542</v>
      </c>
      <c r="I32" s="193">
        <v>1.0</v>
      </c>
      <c r="J32" s="195">
        <f t="shared" si="8"/>
        <v>1737.7542</v>
      </c>
      <c r="K32" s="139"/>
      <c r="L32" s="178">
        <f t="shared" ref="L32:L54" si="17">D32*25.4/1000</f>
        <v>4.953</v>
      </c>
      <c r="M32" s="162">
        <f t="shared" ref="M32:M67" si="18">+I32</f>
        <v>1</v>
      </c>
      <c r="N32" s="162">
        <f t="shared" ref="N32:N54" si="19">M32*L32</f>
        <v>4.953</v>
      </c>
      <c r="O32" s="139"/>
      <c r="P32" s="139"/>
      <c r="Q32" s="178">
        <v>1740.0</v>
      </c>
      <c r="R32" s="190">
        <v>30.0</v>
      </c>
      <c r="S32" s="178">
        <f t="shared" si="9"/>
        <v>28.84</v>
      </c>
      <c r="T32" s="162">
        <f t="shared" si="10"/>
        <v>1</v>
      </c>
      <c r="U32" s="162">
        <f t="shared" si="11"/>
        <v>28.84</v>
      </c>
      <c r="V32" s="191">
        <f t="shared" si="12"/>
        <v>1737.7542</v>
      </c>
      <c r="W32" s="178">
        <f t="shared" ref="W32:X32" si="16">C32/100</f>
        <v>1.03</v>
      </c>
      <c r="X32" s="178">
        <f t="shared" si="16"/>
        <v>1.95</v>
      </c>
      <c r="Y32" s="178">
        <f t="shared" si="14"/>
        <v>28.84</v>
      </c>
      <c r="Z32" s="192">
        <f t="shared" si="15"/>
        <v>57.92514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4.0</v>
      </c>
      <c r="B33" s="193" t="s">
        <v>55</v>
      </c>
      <c r="C33" s="193">
        <v>103.0</v>
      </c>
      <c r="D33" s="193">
        <v>195.0</v>
      </c>
      <c r="E33" s="193">
        <v>2884.0</v>
      </c>
      <c r="F33" s="193">
        <f t="shared" si="5"/>
        <v>0</v>
      </c>
      <c r="G33" s="193">
        <f t="shared" si="6"/>
        <v>1737.7542</v>
      </c>
      <c r="H33" s="194">
        <f t="shared" si="7"/>
        <v>1737.7542</v>
      </c>
      <c r="I33" s="193">
        <v>1.0</v>
      </c>
      <c r="J33" s="195">
        <f t="shared" si="8"/>
        <v>1737.7542</v>
      </c>
      <c r="K33" s="139"/>
      <c r="L33" s="178">
        <f t="shared" si="17"/>
        <v>4.953</v>
      </c>
      <c r="M33" s="162">
        <f t="shared" si="18"/>
        <v>1</v>
      </c>
      <c r="N33" s="162">
        <f t="shared" si="19"/>
        <v>4.953</v>
      </c>
      <c r="O33" s="139"/>
      <c r="P33" s="139"/>
      <c r="Q33" s="178">
        <v>1725.0</v>
      </c>
      <c r="R33" s="190">
        <v>30.0</v>
      </c>
      <c r="S33" s="178">
        <f t="shared" si="9"/>
        <v>28.84</v>
      </c>
      <c r="T33" s="162">
        <f t="shared" si="10"/>
        <v>1</v>
      </c>
      <c r="U33" s="162">
        <f t="shared" si="11"/>
        <v>28.84</v>
      </c>
      <c r="V33" s="191">
        <f t="shared" si="12"/>
        <v>1737.7542</v>
      </c>
      <c r="W33" s="178">
        <f t="shared" ref="W33:X33" si="20">C33/100</f>
        <v>1.03</v>
      </c>
      <c r="X33" s="178">
        <f t="shared" si="20"/>
        <v>1.95</v>
      </c>
      <c r="Y33" s="178">
        <f t="shared" si="14"/>
        <v>28.84</v>
      </c>
      <c r="Z33" s="192">
        <f t="shared" si="15"/>
        <v>57.92514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5.0</v>
      </c>
      <c r="B34" s="193" t="s">
        <v>55</v>
      </c>
      <c r="C34" s="193">
        <v>102.0</v>
      </c>
      <c r="D34" s="193">
        <v>195.0</v>
      </c>
      <c r="E34" s="193">
        <v>2882.0</v>
      </c>
      <c r="F34" s="193">
        <f t="shared" si="5"/>
        <v>0</v>
      </c>
      <c r="G34" s="193">
        <f t="shared" si="6"/>
        <v>1719.6894</v>
      </c>
      <c r="H34" s="194">
        <f t="shared" si="7"/>
        <v>1719.6894</v>
      </c>
      <c r="I34" s="193">
        <v>1.0</v>
      </c>
      <c r="J34" s="195">
        <f t="shared" si="8"/>
        <v>1719.6894</v>
      </c>
      <c r="K34" s="139"/>
      <c r="L34" s="178">
        <f t="shared" si="17"/>
        <v>4.953</v>
      </c>
      <c r="M34" s="162">
        <f t="shared" si="18"/>
        <v>1</v>
      </c>
      <c r="N34" s="162">
        <f t="shared" si="19"/>
        <v>4.953</v>
      </c>
      <c r="O34" s="139"/>
      <c r="P34" s="139"/>
      <c r="Q34" s="178">
        <v>1710.0</v>
      </c>
      <c r="R34" s="190">
        <v>30.0</v>
      </c>
      <c r="S34" s="178">
        <f t="shared" si="9"/>
        <v>28.82</v>
      </c>
      <c r="T34" s="162">
        <f t="shared" si="10"/>
        <v>1</v>
      </c>
      <c r="U34" s="162">
        <f t="shared" si="11"/>
        <v>28.82</v>
      </c>
      <c r="V34" s="191">
        <f t="shared" si="12"/>
        <v>1719.6894</v>
      </c>
      <c r="W34" s="178">
        <f t="shared" ref="W34:X34" si="21">C34/100</f>
        <v>1.02</v>
      </c>
      <c r="X34" s="178">
        <f t="shared" si="21"/>
        <v>1.95</v>
      </c>
      <c r="Y34" s="178">
        <f t="shared" si="14"/>
        <v>28.82</v>
      </c>
      <c r="Z34" s="192">
        <f t="shared" si="15"/>
        <v>57.32298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6.0</v>
      </c>
      <c r="B35" s="193" t="s">
        <v>55</v>
      </c>
      <c r="C35" s="193">
        <v>102.0</v>
      </c>
      <c r="D35" s="193">
        <v>195.0</v>
      </c>
      <c r="E35" s="193">
        <v>2878.0</v>
      </c>
      <c r="F35" s="193">
        <f t="shared" si="5"/>
        <v>0</v>
      </c>
      <c r="G35" s="193">
        <f t="shared" si="6"/>
        <v>1717.3026</v>
      </c>
      <c r="H35" s="194">
        <f t="shared" si="7"/>
        <v>1717.3026</v>
      </c>
      <c r="I35" s="193">
        <v>1.0</v>
      </c>
      <c r="J35" s="195">
        <f t="shared" si="8"/>
        <v>1717.3026</v>
      </c>
      <c r="K35" s="139"/>
      <c r="L35" s="178">
        <f t="shared" si="17"/>
        <v>4.953</v>
      </c>
      <c r="M35" s="162">
        <f t="shared" si="18"/>
        <v>1</v>
      </c>
      <c r="N35" s="162">
        <f t="shared" si="19"/>
        <v>4.953</v>
      </c>
      <c r="O35" s="139"/>
      <c r="P35" s="139"/>
      <c r="Q35" s="178">
        <v>1720.0</v>
      </c>
      <c r="R35" s="190">
        <v>30.0</v>
      </c>
      <c r="S35" s="178">
        <f t="shared" si="9"/>
        <v>28.78</v>
      </c>
      <c r="T35" s="162">
        <f t="shared" si="10"/>
        <v>1</v>
      </c>
      <c r="U35" s="162">
        <f t="shared" si="11"/>
        <v>28.78</v>
      </c>
      <c r="V35" s="191">
        <f t="shared" si="12"/>
        <v>1717.3026</v>
      </c>
      <c r="W35" s="178">
        <f t="shared" ref="W35:X35" si="22">C35/100</f>
        <v>1.02</v>
      </c>
      <c r="X35" s="178">
        <f t="shared" si="22"/>
        <v>1.95</v>
      </c>
      <c r="Y35" s="178">
        <f t="shared" si="14"/>
        <v>28.78</v>
      </c>
      <c r="Z35" s="192">
        <f t="shared" si="15"/>
        <v>57.24342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7.0</v>
      </c>
      <c r="B36" s="193" t="s">
        <v>55</v>
      </c>
      <c r="C36" s="193">
        <v>101.0</v>
      </c>
      <c r="D36" s="193">
        <v>195.0</v>
      </c>
      <c r="E36" s="193">
        <v>2717.0</v>
      </c>
      <c r="F36" s="193">
        <f t="shared" si="5"/>
        <v>0</v>
      </c>
      <c r="G36" s="193">
        <f t="shared" si="6"/>
        <v>1605.33945</v>
      </c>
      <c r="H36" s="194">
        <f t="shared" si="7"/>
        <v>1605.33945</v>
      </c>
      <c r="I36" s="193">
        <v>1.0</v>
      </c>
      <c r="J36" s="195">
        <f t="shared" si="8"/>
        <v>1605.33945</v>
      </c>
      <c r="K36" s="139"/>
      <c r="L36" s="178">
        <f t="shared" si="17"/>
        <v>4.953</v>
      </c>
      <c r="M36" s="162">
        <f t="shared" si="18"/>
        <v>1</v>
      </c>
      <c r="N36" s="162">
        <f t="shared" si="19"/>
        <v>4.953</v>
      </c>
      <c r="O36" s="139"/>
      <c r="P36" s="139"/>
      <c r="Q36" s="178">
        <v>1600.0</v>
      </c>
      <c r="R36" s="190">
        <v>30.0</v>
      </c>
      <c r="S36" s="178">
        <f t="shared" si="9"/>
        <v>27.17</v>
      </c>
      <c r="T36" s="162">
        <f t="shared" si="10"/>
        <v>1</v>
      </c>
      <c r="U36" s="162">
        <f t="shared" si="11"/>
        <v>27.17</v>
      </c>
      <c r="V36" s="191">
        <f t="shared" si="12"/>
        <v>1605.33945</v>
      </c>
      <c r="W36" s="178">
        <f t="shared" ref="W36:X36" si="23">C36/100</f>
        <v>1.01</v>
      </c>
      <c r="X36" s="178">
        <f t="shared" si="23"/>
        <v>1.95</v>
      </c>
      <c r="Y36" s="178">
        <f t="shared" si="14"/>
        <v>27.17</v>
      </c>
      <c r="Z36" s="192">
        <f t="shared" si="15"/>
        <v>53.511315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8.0</v>
      </c>
      <c r="B37" s="193" t="s">
        <v>55</v>
      </c>
      <c r="C37" s="193">
        <v>101.0</v>
      </c>
      <c r="D37" s="193">
        <v>195.0</v>
      </c>
      <c r="E37" s="193">
        <v>2877.0</v>
      </c>
      <c r="F37" s="193">
        <f t="shared" si="5"/>
        <v>0</v>
      </c>
      <c r="G37" s="193">
        <f t="shared" si="6"/>
        <v>1699.87545</v>
      </c>
      <c r="H37" s="194">
        <f t="shared" si="7"/>
        <v>1699.87545</v>
      </c>
      <c r="I37" s="193">
        <v>1.0</v>
      </c>
      <c r="J37" s="195">
        <f t="shared" si="8"/>
        <v>1699.87545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1715.0</v>
      </c>
      <c r="R37" s="190">
        <v>30.0</v>
      </c>
      <c r="S37" s="178">
        <f t="shared" si="9"/>
        <v>28.77</v>
      </c>
      <c r="T37" s="162">
        <f t="shared" si="10"/>
        <v>1</v>
      </c>
      <c r="U37" s="162">
        <f t="shared" si="11"/>
        <v>28.77</v>
      </c>
      <c r="V37" s="191">
        <f t="shared" si="12"/>
        <v>1699.87545</v>
      </c>
      <c r="W37" s="178">
        <f t="shared" ref="W37:X37" si="24">C37/100</f>
        <v>1.01</v>
      </c>
      <c r="X37" s="178">
        <f t="shared" si="24"/>
        <v>1.95</v>
      </c>
      <c r="Y37" s="178">
        <f t="shared" si="14"/>
        <v>28.77</v>
      </c>
      <c r="Z37" s="192">
        <f t="shared" si="15"/>
        <v>56.662515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9.0</v>
      </c>
      <c r="B38" s="183" t="s">
        <v>63</v>
      </c>
      <c r="C38" s="184">
        <v>94.0</v>
      </c>
      <c r="D38" s="184">
        <v>184.0</v>
      </c>
      <c r="E38" s="184">
        <v>178.0</v>
      </c>
      <c r="F38" s="184">
        <f t="shared" si="5"/>
        <v>0.8</v>
      </c>
      <c r="G38" s="184">
        <f t="shared" si="6"/>
        <v>95.439328</v>
      </c>
      <c r="H38" s="185">
        <f t="shared" si="7"/>
        <v>76.3514624</v>
      </c>
      <c r="I38" s="184">
        <v>1.0</v>
      </c>
      <c r="J38" s="186">
        <f t="shared" si="8"/>
        <v>76.3514624</v>
      </c>
      <c r="K38" s="187"/>
      <c r="L38" s="188">
        <f t="shared" si="17"/>
        <v>4.6736</v>
      </c>
      <c r="M38" s="189">
        <f t="shared" si="18"/>
        <v>1</v>
      </c>
      <c r="N38" s="189">
        <f t="shared" si="19"/>
        <v>4.6736</v>
      </c>
      <c r="O38" s="187"/>
      <c r="P38" s="187"/>
      <c r="Q38" s="188">
        <v>96.0</v>
      </c>
      <c r="R38" s="190">
        <v>31.0</v>
      </c>
      <c r="S38" s="178">
        <f t="shared" si="9"/>
        <v>1.78</v>
      </c>
      <c r="T38" s="162">
        <f t="shared" si="10"/>
        <v>1</v>
      </c>
      <c r="U38" s="162">
        <f t="shared" si="11"/>
        <v>1.78</v>
      </c>
      <c r="V38" s="191">
        <f t="shared" si="12"/>
        <v>95.439328</v>
      </c>
      <c r="W38" s="178">
        <f t="shared" ref="W38:X38" si="25">C38/100</f>
        <v>0.94</v>
      </c>
      <c r="X38" s="178">
        <f t="shared" si="25"/>
        <v>1.84</v>
      </c>
      <c r="Y38" s="178">
        <f t="shared" si="14"/>
        <v>1.78</v>
      </c>
      <c r="Z38" s="192">
        <f t="shared" si="15"/>
        <v>3.078688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10.0</v>
      </c>
      <c r="B39" s="193" t="s">
        <v>55</v>
      </c>
      <c r="C39" s="193">
        <v>100.0</v>
      </c>
      <c r="D39" s="193">
        <v>184.0</v>
      </c>
      <c r="E39" s="193">
        <v>203.0</v>
      </c>
      <c r="F39" s="193">
        <f t="shared" si="5"/>
        <v>0</v>
      </c>
      <c r="G39" s="193">
        <f t="shared" si="6"/>
        <v>115.7912</v>
      </c>
      <c r="H39" s="194">
        <f t="shared" si="7"/>
        <v>115.7912</v>
      </c>
      <c r="I39" s="193">
        <v>1.0</v>
      </c>
      <c r="J39" s="195">
        <f t="shared" si="8"/>
        <v>115.7912</v>
      </c>
      <c r="K39" s="139"/>
      <c r="L39" s="178">
        <f t="shared" si="17"/>
        <v>4.6736</v>
      </c>
      <c r="M39" s="162">
        <f t="shared" si="18"/>
        <v>1</v>
      </c>
      <c r="N39" s="162">
        <f t="shared" si="19"/>
        <v>4.6736</v>
      </c>
      <c r="O39" s="139"/>
      <c r="P39" s="139"/>
      <c r="Q39" s="178">
        <v>116.0</v>
      </c>
      <c r="R39" s="190">
        <v>31.0</v>
      </c>
      <c r="S39" s="178">
        <f t="shared" si="9"/>
        <v>2.03</v>
      </c>
      <c r="T39" s="162">
        <f t="shared" si="10"/>
        <v>1</v>
      </c>
      <c r="U39" s="162">
        <f t="shared" si="11"/>
        <v>2.03</v>
      </c>
      <c r="V39" s="191">
        <f t="shared" si="12"/>
        <v>115.7912</v>
      </c>
      <c r="W39" s="178">
        <f t="shared" ref="W39:X39" si="26">C39/100</f>
        <v>1</v>
      </c>
      <c r="X39" s="178">
        <f t="shared" si="26"/>
        <v>1.84</v>
      </c>
      <c r="Y39" s="178">
        <f t="shared" si="14"/>
        <v>2.03</v>
      </c>
      <c r="Z39" s="192">
        <f t="shared" si="15"/>
        <v>3.7352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11.0</v>
      </c>
      <c r="B40" s="193" t="s">
        <v>55</v>
      </c>
      <c r="C40" s="193">
        <v>102.0</v>
      </c>
      <c r="D40" s="193">
        <v>184.0</v>
      </c>
      <c r="E40" s="193">
        <v>2890.0</v>
      </c>
      <c r="F40" s="193">
        <f t="shared" si="5"/>
        <v>0</v>
      </c>
      <c r="G40" s="193">
        <f t="shared" si="6"/>
        <v>1681.42512</v>
      </c>
      <c r="H40" s="194">
        <f t="shared" si="7"/>
        <v>1681.42512</v>
      </c>
      <c r="I40" s="193">
        <v>1.0</v>
      </c>
      <c r="J40" s="195">
        <f t="shared" si="8"/>
        <v>1681.42512</v>
      </c>
      <c r="K40" s="139"/>
      <c r="L40" s="178">
        <f t="shared" si="17"/>
        <v>4.6736</v>
      </c>
      <c r="M40" s="162">
        <f t="shared" si="18"/>
        <v>1</v>
      </c>
      <c r="N40" s="162">
        <f t="shared" si="19"/>
        <v>4.6736</v>
      </c>
      <c r="O40" s="139"/>
      <c r="P40" s="139"/>
      <c r="Q40" s="178">
        <v>1660.0</v>
      </c>
      <c r="R40" s="190">
        <v>31.0</v>
      </c>
      <c r="S40" s="178">
        <f t="shared" si="9"/>
        <v>28.9</v>
      </c>
      <c r="T40" s="162">
        <f t="shared" si="10"/>
        <v>1</v>
      </c>
      <c r="U40" s="162">
        <f t="shared" si="11"/>
        <v>28.9</v>
      </c>
      <c r="V40" s="191">
        <f t="shared" si="12"/>
        <v>1681.42512</v>
      </c>
      <c r="W40" s="178">
        <f t="shared" ref="W40:X40" si="27">C40/100</f>
        <v>1.02</v>
      </c>
      <c r="X40" s="178">
        <f t="shared" si="27"/>
        <v>1.84</v>
      </c>
      <c r="Y40" s="178">
        <f t="shared" si="14"/>
        <v>28.9</v>
      </c>
      <c r="Z40" s="192">
        <f t="shared" si="15"/>
        <v>54.23952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12.0</v>
      </c>
      <c r="B41" s="193" t="s">
        <v>55</v>
      </c>
      <c r="C41" s="193">
        <v>100.0</v>
      </c>
      <c r="D41" s="193">
        <v>184.0</v>
      </c>
      <c r="E41" s="193">
        <v>2884.0</v>
      </c>
      <c r="F41" s="193">
        <f t="shared" si="5"/>
        <v>0</v>
      </c>
      <c r="G41" s="193">
        <f t="shared" si="6"/>
        <v>1645.0336</v>
      </c>
      <c r="H41" s="194">
        <f t="shared" si="7"/>
        <v>1645.0336</v>
      </c>
      <c r="I41" s="193">
        <v>1.0</v>
      </c>
      <c r="J41" s="195">
        <f t="shared" si="8"/>
        <v>1645.0336</v>
      </c>
      <c r="K41" s="139"/>
      <c r="L41" s="178">
        <f t="shared" si="17"/>
        <v>4.6736</v>
      </c>
      <c r="M41" s="162">
        <f t="shared" si="18"/>
        <v>1</v>
      </c>
      <c r="N41" s="162">
        <f t="shared" si="19"/>
        <v>4.6736</v>
      </c>
      <c r="O41" s="139"/>
      <c r="P41" s="139"/>
      <c r="Q41" s="178">
        <v>1660.0</v>
      </c>
      <c r="R41" s="190">
        <v>31.0</v>
      </c>
      <c r="S41" s="178">
        <f t="shared" si="9"/>
        <v>28.84</v>
      </c>
      <c r="T41" s="162">
        <f t="shared" si="10"/>
        <v>1</v>
      </c>
      <c r="U41" s="162">
        <f t="shared" si="11"/>
        <v>28.84</v>
      </c>
      <c r="V41" s="191">
        <f t="shared" si="12"/>
        <v>1645.0336</v>
      </c>
      <c r="W41" s="178">
        <f t="shared" ref="W41:X41" si="28">C41/100</f>
        <v>1</v>
      </c>
      <c r="X41" s="178">
        <f t="shared" si="28"/>
        <v>1.84</v>
      </c>
      <c r="Y41" s="178">
        <f t="shared" si="14"/>
        <v>28.84</v>
      </c>
      <c r="Z41" s="192">
        <f t="shared" si="15"/>
        <v>53.0656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13.0</v>
      </c>
      <c r="B42" s="193" t="s">
        <v>55</v>
      </c>
      <c r="C42" s="193">
        <v>102.0</v>
      </c>
      <c r="D42" s="193">
        <v>184.0</v>
      </c>
      <c r="E42" s="193">
        <v>2786.0</v>
      </c>
      <c r="F42" s="193">
        <f t="shared" si="5"/>
        <v>0</v>
      </c>
      <c r="G42" s="193">
        <f t="shared" si="6"/>
        <v>1620.917088</v>
      </c>
      <c r="H42" s="194">
        <f t="shared" si="7"/>
        <v>1620.917088</v>
      </c>
      <c r="I42" s="193">
        <v>1.0</v>
      </c>
      <c r="J42" s="195">
        <f t="shared" si="8"/>
        <v>1620.917088</v>
      </c>
      <c r="K42" s="139"/>
      <c r="L42" s="178">
        <f t="shared" si="17"/>
        <v>4.6736</v>
      </c>
      <c r="M42" s="162">
        <f t="shared" si="18"/>
        <v>1</v>
      </c>
      <c r="N42" s="162">
        <f t="shared" si="19"/>
        <v>4.6736</v>
      </c>
      <c r="O42" s="139"/>
      <c r="P42" s="139"/>
      <c r="Q42" s="178">
        <v>1620.0</v>
      </c>
      <c r="R42" s="190">
        <v>31.0</v>
      </c>
      <c r="S42" s="178">
        <f t="shared" si="9"/>
        <v>27.86</v>
      </c>
      <c r="T42" s="162">
        <f t="shared" si="10"/>
        <v>1</v>
      </c>
      <c r="U42" s="162">
        <f t="shared" si="11"/>
        <v>27.86</v>
      </c>
      <c r="V42" s="191">
        <f t="shared" si="12"/>
        <v>1620.917088</v>
      </c>
      <c r="W42" s="178">
        <f t="shared" ref="W42:X42" si="29">C42/100</f>
        <v>1.02</v>
      </c>
      <c r="X42" s="178">
        <f t="shared" si="29"/>
        <v>1.84</v>
      </c>
      <c r="Y42" s="178">
        <f t="shared" si="14"/>
        <v>27.86</v>
      </c>
      <c r="Z42" s="192">
        <f t="shared" si="15"/>
        <v>52.287648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14.0</v>
      </c>
      <c r="B43" s="193" t="s">
        <v>55</v>
      </c>
      <c r="C43" s="193">
        <v>102.0</v>
      </c>
      <c r="D43" s="193">
        <v>184.0</v>
      </c>
      <c r="E43" s="193">
        <v>2886.0</v>
      </c>
      <c r="F43" s="193">
        <f t="shared" si="5"/>
        <v>0</v>
      </c>
      <c r="G43" s="193">
        <f t="shared" si="6"/>
        <v>1679.097888</v>
      </c>
      <c r="H43" s="194">
        <f t="shared" si="7"/>
        <v>1679.097888</v>
      </c>
      <c r="I43" s="193">
        <v>1.0</v>
      </c>
      <c r="J43" s="195">
        <f t="shared" si="8"/>
        <v>1679.097888</v>
      </c>
      <c r="K43" s="139"/>
      <c r="L43" s="178">
        <f t="shared" si="17"/>
        <v>4.6736</v>
      </c>
      <c r="M43" s="162">
        <f t="shared" si="18"/>
        <v>1</v>
      </c>
      <c r="N43" s="162">
        <f t="shared" si="19"/>
        <v>4.6736</v>
      </c>
      <c r="O43" s="139"/>
      <c r="P43" s="139"/>
      <c r="Q43" s="178">
        <v>1670.0</v>
      </c>
      <c r="R43" s="190">
        <v>31.0</v>
      </c>
      <c r="S43" s="178">
        <f t="shared" si="9"/>
        <v>28.86</v>
      </c>
      <c r="T43" s="162">
        <f t="shared" si="10"/>
        <v>1</v>
      </c>
      <c r="U43" s="162">
        <f t="shared" si="11"/>
        <v>28.86</v>
      </c>
      <c r="V43" s="191">
        <f t="shared" si="12"/>
        <v>1679.097888</v>
      </c>
      <c r="W43" s="178">
        <f t="shared" ref="W43:X43" si="30">C43/100</f>
        <v>1.02</v>
      </c>
      <c r="X43" s="178">
        <f t="shared" si="30"/>
        <v>1.84</v>
      </c>
      <c r="Y43" s="178">
        <f t="shared" si="14"/>
        <v>28.86</v>
      </c>
      <c r="Z43" s="192">
        <f t="shared" si="15"/>
        <v>54.164448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15.0</v>
      </c>
      <c r="B44" s="183" t="s">
        <v>98</v>
      </c>
      <c r="C44" s="184">
        <v>85.0</v>
      </c>
      <c r="D44" s="184">
        <v>203.0</v>
      </c>
      <c r="E44" s="184">
        <v>197.0</v>
      </c>
      <c r="F44" s="184">
        <f t="shared" si="5"/>
        <v>0.8</v>
      </c>
      <c r="G44" s="184">
        <f t="shared" si="6"/>
        <v>96.8781975</v>
      </c>
      <c r="H44" s="185">
        <f t="shared" si="7"/>
        <v>77.502558</v>
      </c>
      <c r="I44" s="184">
        <v>1.0</v>
      </c>
      <c r="J44" s="186">
        <f t="shared" si="8"/>
        <v>77.502558</v>
      </c>
      <c r="K44" s="187"/>
      <c r="L44" s="188">
        <f t="shared" si="17"/>
        <v>5.1562</v>
      </c>
      <c r="M44" s="189">
        <f t="shared" si="18"/>
        <v>1</v>
      </c>
      <c r="N44" s="189">
        <f t="shared" si="19"/>
        <v>5.1562</v>
      </c>
      <c r="O44" s="187"/>
      <c r="P44" s="187"/>
      <c r="Q44" s="188">
        <v>110.0</v>
      </c>
      <c r="R44" s="190">
        <v>28.5</v>
      </c>
      <c r="S44" s="178">
        <f t="shared" si="9"/>
        <v>1.97</v>
      </c>
      <c r="T44" s="162">
        <f t="shared" si="10"/>
        <v>1</v>
      </c>
      <c r="U44" s="162">
        <f t="shared" si="11"/>
        <v>1.97</v>
      </c>
      <c r="V44" s="191">
        <f t="shared" si="12"/>
        <v>96.8781975</v>
      </c>
      <c r="W44" s="178">
        <f t="shared" ref="W44:X44" si="31">C44/100</f>
        <v>0.85</v>
      </c>
      <c r="X44" s="178">
        <f t="shared" si="31"/>
        <v>2.03</v>
      </c>
      <c r="Y44" s="178">
        <f t="shared" si="14"/>
        <v>1.97</v>
      </c>
      <c r="Z44" s="192">
        <f t="shared" si="15"/>
        <v>3.399235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16.0</v>
      </c>
      <c r="B45" s="193" t="s">
        <v>92</v>
      </c>
      <c r="C45" s="193">
        <v>97.0</v>
      </c>
      <c r="D45" s="193">
        <v>203.0</v>
      </c>
      <c r="E45" s="193">
        <v>203.0</v>
      </c>
      <c r="F45" s="193">
        <f t="shared" si="5"/>
        <v>0</v>
      </c>
      <c r="G45" s="193">
        <f t="shared" si="6"/>
        <v>113.9222805</v>
      </c>
      <c r="H45" s="194">
        <f t="shared" si="7"/>
        <v>113.9222805</v>
      </c>
      <c r="I45" s="193">
        <v>1.0</v>
      </c>
      <c r="J45" s="195">
        <f t="shared" si="8"/>
        <v>113.9222805</v>
      </c>
      <c r="K45" s="139"/>
      <c r="L45" s="178">
        <f t="shared" si="17"/>
        <v>5.1562</v>
      </c>
      <c r="M45" s="162">
        <f t="shared" si="18"/>
        <v>1</v>
      </c>
      <c r="N45" s="162">
        <f t="shared" si="19"/>
        <v>5.1562</v>
      </c>
      <c r="O45" s="139"/>
      <c r="P45" s="139"/>
      <c r="Q45" s="178">
        <v>118.0</v>
      </c>
      <c r="R45" s="190">
        <v>28.5</v>
      </c>
      <c r="S45" s="178">
        <f t="shared" si="9"/>
        <v>2.03</v>
      </c>
      <c r="T45" s="162">
        <f t="shared" si="10"/>
        <v>1</v>
      </c>
      <c r="U45" s="162">
        <f t="shared" si="11"/>
        <v>2.03</v>
      </c>
      <c r="V45" s="191">
        <f t="shared" si="12"/>
        <v>113.9222805</v>
      </c>
      <c r="W45" s="178">
        <f t="shared" ref="W45:X45" si="32">C45/100</f>
        <v>0.97</v>
      </c>
      <c r="X45" s="178">
        <f t="shared" si="32"/>
        <v>2.03</v>
      </c>
      <c r="Y45" s="178">
        <f t="shared" si="14"/>
        <v>2.03</v>
      </c>
      <c r="Z45" s="192">
        <f t="shared" si="15"/>
        <v>3.997273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17.0</v>
      </c>
      <c r="B46" s="193" t="s">
        <v>92</v>
      </c>
      <c r="C46" s="193">
        <v>100.0</v>
      </c>
      <c r="D46" s="193">
        <v>203.0</v>
      </c>
      <c r="E46" s="193">
        <v>2895.0</v>
      </c>
      <c r="F46" s="193">
        <f t="shared" si="5"/>
        <v>0</v>
      </c>
      <c r="G46" s="193">
        <f t="shared" si="6"/>
        <v>1674.90225</v>
      </c>
      <c r="H46" s="194">
        <f t="shared" si="7"/>
        <v>1674.90225</v>
      </c>
      <c r="I46" s="193">
        <v>1.0</v>
      </c>
      <c r="J46" s="195">
        <f t="shared" si="8"/>
        <v>1674.90225</v>
      </c>
      <c r="K46" s="139"/>
      <c r="L46" s="178">
        <f t="shared" si="17"/>
        <v>5.1562</v>
      </c>
      <c r="M46" s="162">
        <f t="shared" si="18"/>
        <v>1</v>
      </c>
      <c r="N46" s="162">
        <f t="shared" si="19"/>
        <v>5.1562</v>
      </c>
      <c r="O46" s="139"/>
      <c r="P46" s="139"/>
      <c r="Q46" s="178">
        <v>1680.0</v>
      </c>
      <c r="R46" s="190">
        <v>28.5</v>
      </c>
      <c r="S46" s="178">
        <f t="shared" si="9"/>
        <v>28.95</v>
      </c>
      <c r="T46" s="162">
        <f t="shared" si="10"/>
        <v>1</v>
      </c>
      <c r="U46" s="162">
        <f t="shared" si="11"/>
        <v>28.95</v>
      </c>
      <c r="V46" s="191">
        <f t="shared" si="12"/>
        <v>1674.90225</v>
      </c>
      <c r="W46" s="178">
        <f t="shared" ref="W46:X46" si="33">C46/100</f>
        <v>1</v>
      </c>
      <c r="X46" s="178">
        <f t="shared" si="33"/>
        <v>2.03</v>
      </c>
      <c r="Y46" s="178">
        <f t="shared" si="14"/>
        <v>28.95</v>
      </c>
      <c r="Z46" s="192">
        <f t="shared" si="15"/>
        <v>58.7685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18.0</v>
      </c>
      <c r="B47" s="193" t="s">
        <v>92</v>
      </c>
      <c r="C47" s="193">
        <v>99.0</v>
      </c>
      <c r="D47" s="193">
        <v>203.0</v>
      </c>
      <c r="E47" s="193">
        <v>2897.0</v>
      </c>
      <c r="F47" s="193">
        <f t="shared" si="5"/>
        <v>0</v>
      </c>
      <c r="G47" s="193">
        <f t="shared" si="6"/>
        <v>1659.298757</v>
      </c>
      <c r="H47" s="194">
        <f t="shared" si="7"/>
        <v>1659.298757</v>
      </c>
      <c r="I47" s="193">
        <v>1.0</v>
      </c>
      <c r="J47" s="195">
        <f t="shared" si="8"/>
        <v>1659.298757</v>
      </c>
      <c r="K47" s="139"/>
      <c r="L47" s="178">
        <f t="shared" si="17"/>
        <v>5.1562</v>
      </c>
      <c r="M47" s="162">
        <f t="shared" si="18"/>
        <v>1</v>
      </c>
      <c r="N47" s="162">
        <f t="shared" si="19"/>
        <v>5.1562</v>
      </c>
      <c r="O47" s="139"/>
      <c r="P47" s="139"/>
      <c r="Q47" s="178">
        <v>1675.0</v>
      </c>
      <c r="R47" s="190">
        <v>28.5</v>
      </c>
      <c r="S47" s="178">
        <f t="shared" si="9"/>
        <v>28.97</v>
      </c>
      <c r="T47" s="162">
        <f t="shared" si="10"/>
        <v>1</v>
      </c>
      <c r="U47" s="162">
        <f t="shared" si="11"/>
        <v>28.97</v>
      </c>
      <c r="V47" s="191">
        <f t="shared" si="12"/>
        <v>1659.298757</v>
      </c>
      <c r="W47" s="178">
        <f t="shared" ref="W47:X47" si="34">C47/100</f>
        <v>0.99</v>
      </c>
      <c r="X47" s="178">
        <f t="shared" si="34"/>
        <v>2.03</v>
      </c>
      <c r="Y47" s="178">
        <f t="shared" si="14"/>
        <v>28.97</v>
      </c>
      <c r="Z47" s="192">
        <f t="shared" si="15"/>
        <v>58.221009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19.0</v>
      </c>
      <c r="B48" s="193" t="s">
        <v>92</v>
      </c>
      <c r="C48" s="193">
        <v>101.0</v>
      </c>
      <c r="D48" s="193">
        <v>203.0</v>
      </c>
      <c r="E48" s="193">
        <v>2897.0</v>
      </c>
      <c r="F48" s="193">
        <f t="shared" si="5"/>
        <v>0</v>
      </c>
      <c r="G48" s="193">
        <f t="shared" si="6"/>
        <v>1692.819944</v>
      </c>
      <c r="H48" s="194">
        <f t="shared" si="7"/>
        <v>1692.819944</v>
      </c>
      <c r="I48" s="193">
        <v>1.0</v>
      </c>
      <c r="J48" s="195">
        <f t="shared" si="8"/>
        <v>1692.819944</v>
      </c>
      <c r="K48" s="139"/>
      <c r="L48" s="178">
        <f t="shared" si="17"/>
        <v>5.1562</v>
      </c>
      <c r="M48" s="162">
        <f t="shared" si="18"/>
        <v>1</v>
      </c>
      <c r="N48" s="162">
        <f t="shared" si="19"/>
        <v>5.1562</v>
      </c>
      <c r="O48" s="139"/>
      <c r="P48" s="139"/>
      <c r="Q48" s="178">
        <v>1690.0</v>
      </c>
      <c r="R48" s="190">
        <v>28.5</v>
      </c>
      <c r="S48" s="178">
        <f t="shared" si="9"/>
        <v>28.97</v>
      </c>
      <c r="T48" s="162">
        <f t="shared" si="10"/>
        <v>1</v>
      </c>
      <c r="U48" s="162">
        <f t="shared" si="11"/>
        <v>28.97</v>
      </c>
      <c r="V48" s="191">
        <f t="shared" si="12"/>
        <v>1692.819944</v>
      </c>
      <c r="W48" s="178">
        <f t="shared" ref="W48:X48" si="35">C48/100</f>
        <v>1.01</v>
      </c>
      <c r="X48" s="178">
        <f t="shared" si="35"/>
        <v>2.03</v>
      </c>
      <c r="Y48" s="178">
        <f t="shared" si="14"/>
        <v>28.97</v>
      </c>
      <c r="Z48" s="192">
        <f t="shared" si="15"/>
        <v>59.397191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20.0</v>
      </c>
      <c r="B49" s="193" t="s">
        <v>92</v>
      </c>
      <c r="C49" s="193">
        <v>101.0</v>
      </c>
      <c r="D49" s="193">
        <v>203.0</v>
      </c>
      <c r="E49" s="193">
        <v>2900.0</v>
      </c>
      <c r="F49" s="193">
        <f t="shared" si="5"/>
        <v>0</v>
      </c>
      <c r="G49" s="193">
        <f t="shared" si="6"/>
        <v>1694.57295</v>
      </c>
      <c r="H49" s="194">
        <f t="shared" si="7"/>
        <v>1694.57295</v>
      </c>
      <c r="I49" s="193">
        <v>1.0</v>
      </c>
      <c r="J49" s="195">
        <f t="shared" si="8"/>
        <v>1694.57295</v>
      </c>
      <c r="K49" s="139"/>
      <c r="L49" s="178">
        <f t="shared" si="17"/>
        <v>5.1562</v>
      </c>
      <c r="M49" s="162">
        <f t="shared" si="18"/>
        <v>1</v>
      </c>
      <c r="N49" s="162">
        <f t="shared" si="19"/>
        <v>5.1562</v>
      </c>
      <c r="O49" s="139"/>
      <c r="P49" s="139"/>
      <c r="Q49" s="178">
        <v>1685.0</v>
      </c>
      <c r="R49" s="190">
        <v>28.5</v>
      </c>
      <c r="S49" s="178">
        <f t="shared" si="9"/>
        <v>29</v>
      </c>
      <c r="T49" s="162">
        <f t="shared" si="10"/>
        <v>1</v>
      </c>
      <c r="U49" s="162">
        <f t="shared" si="11"/>
        <v>29</v>
      </c>
      <c r="V49" s="191">
        <f t="shared" si="12"/>
        <v>1694.57295</v>
      </c>
      <c r="W49" s="178">
        <f t="shared" ref="W49:X49" si="36">C49/100</f>
        <v>1.01</v>
      </c>
      <c r="X49" s="178">
        <f t="shared" si="36"/>
        <v>2.03</v>
      </c>
      <c r="Y49" s="178">
        <f t="shared" si="14"/>
        <v>29</v>
      </c>
      <c r="Z49" s="192">
        <f t="shared" si="15"/>
        <v>59.4587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21.0</v>
      </c>
      <c r="B50" s="193" t="s">
        <v>92</v>
      </c>
      <c r="C50" s="193">
        <v>100.0</v>
      </c>
      <c r="D50" s="193">
        <v>203.0</v>
      </c>
      <c r="E50" s="193">
        <v>2715.0</v>
      </c>
      <c r="F50" s="193">
        <f t="shared" si="5"/>
        <v>0</v>
      </c>
      <c r="G50" s="193">
        <f t="shared" si="6"/>
        <v>1570.76325</v>
      </c>
      <c r="H50" s="194">
        <f t="shared" si="7"/>
        <v>1570.76325</v>
      </c>
      <c r="I50" s="193">
        <v>1.0</v>
      </c>
      <c r="J50" s="195">
        <f t="shared" si="8"/>
        <v>1570.76325</v>
      </c>
      <c r="K50" s="139"/>
      <c r="L50" s="178">
        <f t="shared" si="17"/>
        <v>5.1562</v>
      </c>
      <c r="M50" s="162">
        <f t="shared" si="18"/>
        <v>1</v>
      </c>
      <c r="N50" s="162">
        <f t="shared" si="19"/>
        <v>5.1562</v>
      </c>
      <c r="O50" s="139"/>
      <c r="P50" s="139"/>
      <c r="Q50" s="178">
        <v>1570.0</v>
      </c>
      <c r="R50" s="190">
        <v>28.5</v>
      </c>
      <c r="S50" s="178">
        <f t="shared" si="9"/>
        <v>27.15</v>
      </c>
      <c r="T50" s="162">
        <f t="shared" si="10"/>
        <v>1</v>
      </c>
      <c r="U50" s="162">
        <f t="shared" si="11"/>
        <v>27.15</v>
      </c>
      <c r="V50" s="191">
        <f t="shared" si="12"/>
        <v>1570.76325</v>
      </c>
      <c r="W50" s="178">
        <f t="shared" ref="W50:X50" si="37">C50/100</f>
        <v>1</v>
      </c>
      <c r="X50" s="178">
        <f t="shared" si="37"/>
        <v>2.03</v>
      </c>
      <c r="Y50" s="178">
        <f t="shared" si="14"/>
        <v>27.15</v>
      </c>
      <c r="Z50" s="192">
        <f t="shared" si="15"/>
        <v>55.1145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22.0</v>
      </c>
      <c r="B51" s="183" t="s">
        <v>85</v>
      </c>
      <c r="C51" s="184">
        <v>83.0</v>
      </c>
      <c r="D51" s="184">
        <v>204.0</v>
      </c>
      <c r="E51" s="184">
        <v>185.0</v>
      </c>
      <c r="F51" s="184">
        <f t="shared" si="5"/>
        <v>0.8</v>
      </c>
      <c r="G51" s="184">
        <f t="shared" si="6"/>
        <v>78.3105</v>
      </c>
      <c r="H51" s="185">
        <f t="shared" si="7"/>
        <v>62.6484</v>
      </c>
      <c r="I51" s="184">
        <v>1.0</v>
      </c>
      <c r="J51" s="186">
        <f t="shared" si="8"/>
        <v>62.6484</v>
      </c>
      <c r="K51" s="187"/>
      <c r="L51" s="188">
        <f t="shared" si="17"/>
        <v>5.1816</v>
      </c>
      <c r="M51" s="189">
        <f t="shared" si="18"/>
        <v>1</v>
      </c>
      <c r="N51" s="189">
        <f t="shared" si="19"/>
        <v>5.1816</v>
      </c>
      <c r="O51" s="187"/>
      <c r="P51" s="187"/>
      <c r="Q51" s="188">
        <v>88.0</v>
      </c>
      <c r="R51" s="190">
        <v>25.0</v>
      </c>
      <c r="S51" s="178">
        <f t="shared" si="9"/>
        <v>1.85</v>
      </c>
      <c r="T51" s="162">
        <f t="shared" si="10"/>
        <v>1</v>
      </c>
      <c r="U51" s="162">
        <f t="shared" si="11"/>
        <v>1.85</v>
      </c>
      <c r="V51" s="191">
        <f t="shared" si="12"/>
        <v>78.3105</v>
      </c>
      <c r="W51" s="178">
        <f t="shared" ref="W51:X51" si="38">C51/100</f>
        <v>0.83</v>
      </c>
      <c r="X51" s="178">
        <f t="shared" si="38"/>
        <v>2.04</v>
      </c>
      <c r="Y51" s="178">
        <f t="shared" si="14"/>
        <v>1.85</v>
      </c>
      <c r="Z51" s="192">
        <f t="shared" si="15"/>
        <v>3.13242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23.0</v>
      </c>
      <c r="B52" s="193" t="s">
        <v>78</v>
      </c>
      <c r="C52" s="193">
        <v>102.0</v>
      </c>
      <c r="D52" s="193">
        <v>204.0</v>
      </c>
      <c r="E52" s="193">
        <v>206.0</v>
      </c>
      <c r="F52" s="193">
        <f t="shared" si="5"/>
        <v>0</v>
      </c>
      <c r="G52" s="193">
        <f t="shared" si="6"/>
        <v>107.1612</v>
      </c>
      <c r="H52" s="194">
        <f t="shared" si="7"/>
        <v>107.1612</v>
      </c>
      <c r="I52" s="193">
        <v>1.0</v>
      </c>
      <c r="J52" s="195">
        <f t="shared" si="8"/>
        <v>107.1612</v>
      </c>
      <c r="K52" s="139"/>
      <c r="L52" s="178">
        <f t="shared" si="17"/>
        <v>5.1816</v>
      </c>
      <c r="M52" s="162">
        <f t="shared" si="18"/>
        <v>1</v>
      </c>
      <c r="N52" s="162">
        <f t="shared" si="19"/>
        <v>5.1816</v>
      </c>
      <c r="O52" s="139"/>
      <c r="P52" s="139"/>
      <c r="Q52" s="178">
        <v>110.0</v>
      </c>
      <c r="R52" s="190">
        <v>25.0</v>
      </c>
      <c r="S52" s="178">
        <f t="shared" si="9"/>
        <v>2.06</v>
      </c>
      <c r="T52" s="162">
        <f t="shared" si="10"/>
        <v>1</v>
      </c>
      <c r="U52" s="162">
        <f t="shared" si="11"/>
        <v>2.06</v>
      </c>
      <c r="V52" s="191">
        <f t="shared" si="12"/>
        <v>107.1612</v>
      </c>
      <c r="W52" s="178">
        <f t="shared" ref="W52:X52" si="39">C52/100</f>
        <v>1.02</v>
      </c>
      <c r="X52" s="178">
        <f t="shared" si="39"/>
        <v>2.04</v>
      </c>
      <c r="Y52" s="178">
        <f t="shared" si="14"/>
        <v>2.06</v>
      </c>
      <c r="Z52" s="192">
        <f t="shared" si="15"/>
        <v>4.286448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24.0</v>
      </c>
      <c r="B53" s="193" t="s">
        <v>78</v>
      </c>
      <c r="C53" s="193">
        <v>103.0</v>
      </c>
      <c r="D53" s="193">
        <v>204.0</v>
      </c>
      <c r="E53" s="193">
        <v>2870.0</v>
      </c>
      <c r="F53" s="193">
        <f t="shared" si="5"/>
        <v>0</v>
      </c>
      <c r="G53" s="193">
        <f t="shared" si="6"/>
        <v>1507.611</v>
      </c>
      <c r="H53" s="194">
        <f t="shared" si="7"/>
        <v>1507.611</v>
      </c>
      <c r="I53" s="193">
        <v>1.0</v>
      </c>
      <c r="J53" s="195">
        <f t="shared" si="8"/>
        <v>1507.611</v>
      </c>
      <c r="K53" s="139"/>
      <c r="L53" s="178">
        <f t="shared" si="17"/>
        <v>5.1816</v>
      </c>
      <c r="M53" s="162">
        <f t="shared" si="18"/>
        <v>1</v>
      </c>
      <c r="N53" s="162">
        <f t="shared" si="19"/>
        <v>5.1816</v>
      </c>
      <c r="O53" s="139"/>
      <c r="P53" s="139"/>
      <c r="Q53" s="178">
        <v>1495.0</v>
      </c>
      <c r="R53" s="190">
        <v>25.0</v>
      </c>
      <c r="S53" s="178">
        <f t="shared" si="9"/>
        <v>28.7</v>
      </c>
      <c r="T53" s="162">
        <f t="shared" si="10"/>
        <v>1</v>
      </c>
      <c r="U53" s="162">
        <f t="shared" si="11"/>
        <v>28.7</v>
      </c>
      <c r="V53" s="191">
        <f t="shared" si="12"/>
        <v>1507.611</v>
      </c>
      <c r="W53" s="178">
        <f t="shared" ref="W53:X53" si="40">C53/100</f>
        <v>1.03</v>
      </c>
      <c r="X53" s="178">
        <f t="shared" si="40"/>
        <v>2.04</v>
      </c>
      <c r="Y53" s="178">
        <f t="shared" si="14"/>
        <v>28.7</v>
      </c>
      <c r="Z53" s="192">
        <f t="shared" si="15"/>
        <v>60.30444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25.0</v>
      </c>
      <c r="B54" s="193" t="s">
        <v>78</v>
      </c>
      <c r="C54" s="193">
        <v>102.0</v>
      </c>
      <c r="D54" s="193">
        <v>204.0</v>
      </c>
      <c r="E54" s="193">
        <v>2860.0</v>
      </c>
      <c r="F54" s="193">
        <f t="shared" si="5"/>
        <v>0</v>
      </c>
      <c r="G54" s="193">
        <f t="shared" si="6"/>
        <v>1487.772</v>
      </c>
      <c r="H54" s="194">
        <f t="shared" si="7"/>
        <v>1487.772</v>
      </c>
      <c r="I54" s="193">
        <v>1.0</v>
      </c>
      <c r="J54" s="195">
        <f t="shared" si="8"/>
        <v>1487.772</v>
      </c>
      <c r="K54" s="139"/>
      <c r="L54" s="178">
        <f t="shared" si="17"/>
        <v>5.1816</v>
      </c>
      <c r="M54" s="162">
        <f t="shared" si="18"/>
        <v>1</v>
      </c>
      <c r="N54" s="162">
        <f t="shared" si="19"/>
        <v>5.1816</v>
      </c>
      <c r="O54" s="139"/>
      <c r="P54" s="139"/>
      <c r="Q54" s="178">
        <v>1485.0</v>
      </c>
      <c r="R54" s="190">
        <v>25.0</v>
      </c>
      <c r="S54" s="178">
        <f t="shared" si="9"/>
        <v>28.6</v>
      </c>
      <c r="T54" s="162">
        <f t="shared" si="10"/>
        <v>1</v>
      </c>
      <c r="U54" s="162">
        <f t="shared" si="11"/>
        <v>28.6</v>
      </c>
      <c r="V54" s="191">
        <f t="shared" si="12"/>
        <v>1487.772</v>
      </c>
      <c r="W54" s="178">
        <f t="shared" ref="W54:X54" si="41">C54/100</f>
        <v>1.02</v>
      </c>
      <c r="X54" s="178">
        <f t="shared" si="41"/>
        <v>2.04</v>
      </c>
      <c r="Y54" s="178">
        <f t="shared" si="14"/>
        <v>28.6</v>
      </c>
      <c r="Z54" s="192">
        <f t="shared" si="15"/>
        <v>59.51088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26.0</v>
      </c>
      <c r="B55" s="193" t="s">
        <v>78</v>
      </c>
      <c r="C55" s="193">
        <v>103.0</v>
      </c>
      <c r="D55" s="193">
        <v>204.0</v>
      </c>
      <c r="E55" s="193">
        <v>2715.0</v>
      </c>
      <c r="F55" s="193">
        <f t="shared" si="5"/>
        <v>0</v>
      </c>
      <c r="G55" s="193">
        <f t="shared" si="6"/>
        <v>1426.1895</v>
      </c>
      <c r="H55" s="194">
        <f t="shared" si="7"/>
        <v>1426.1895</v>
      </c>
      <c r="I55" s="193">
        <v>1.0</v>
      </c>
      <c r="J55" s="195">
        <f t="shared" si="8"/>
        <v>1426.1895</v>
      </c>
      <c r="K55" s="139"/>
      <c r="L55" s="197"/>
      <c r="M55" s="198">
        <f t="shared" si="18"/>
        <v>1</v>
      </c>
      <c r="N55" s="198"/>
      <c r="O55" s="139"/>
      <c r="P55" s="139"/>
      <c r="Q55" s="178">
        <v>1410.0</v>
      </c>
      <c r="R55" s="190">
        <v>25.0</v>
      </c>
      <c r="S55" s="178">
        <f t="shared" si="9"/>
        <v>27.15</v>
      </c>
      <c r="T55" s="162">
        <f t="shared" si="10"/>
        <v>1</v>
      </c>
      <c r="U55" s="162">
        <f t="shared" si="11"/>
        <v>27.15</v>
      </c>
      <c r="V55" s="191">
        <f t="shared" si="12"/>
        <v>1426.1895</v>
      </c>
      <c r="W55" s="178">
        <f t="shared" ref="W55:X55" si="42">C55/100</f>
        <v>1.03</v>
      </c>
      <c r="X55" s="178">
        <f t="shared" si="42"/>
        <v>2.04</v>
      </c>
      <c r="Y55" s="178">
        <f t="shared" si="14"/>
        <v>27.15</v>
      </c>
      <c r="Z55" s="192">
        <f t="shared" si="15"/>
        <v>57.04758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27.0</v>
      </c>
      <c r="B56" s="183" t="s">
        <v>140</v>
      </c>
      <c r="C56" s="184">
        <v>73.0</v>
      </c>
      <c r="D56" s="184">
        <v>203.0</v>
      </c>
      <c r="E56" s="184">
        <v>205.0</v>
      </c>
      <c r="F56" s="184">
        <f t="shared" si="5"/>
        <v>0.8</v>
      </c>
      <c r="G56" s="184">
        <f t="shared" si="6"/>
        <v>121.5158</v>
      </c>
      <c r="H56" s="185">
        <f t="shared" si="7"/>
        <v>97.21264</v>
      </c>
      <c r="I56" s="184">
        <v>1.0</v>
      </c>
      <c r="J56" s="186">
        <f t="shared" si="8"/>
        <v>97.21264</v>
      </c>
      <c r="K56" s="187"/>
      <c r="L56" s="188"/>
      <c r="M56" s="189">
        <f t="shared" si="18"/>
        <v>1</v>
      </c>
      <c r="N56" s="189"/>
      <c r="O56" s="187"/>
      <c r="P56" s="187"/>
      <c r="Q56" s="188">
        <v>128.0</v>
      </c>
      <c r="R56" s="190">
        <v>40.0</v>
      </c>
      <c r="S56" s="178">
        <f t="shared" si="9"/>
        <v>2.05</v>
      </c>
      <c r="T56" s="162">
        <f t="shared" si="10"/>
        <v>1</v>
      </c>
      <c r="U56" s="162">
        <f t="shared" si="11"/>
        <v>2.05</v>
      </c>
      <c r="V56" s="191">
        <f t="shared" si="12"/>
        <v>121.5158</v>
      </c>
      <c r="W56" s="178">
        <f t="shared" ref="W56:X56" si="43">C56/100</f>
        <v>0.73</v>
      </c>
      <c r="X56" s="178">
        <f t="shared" si="43"/>
        <v>2.03</v>
      </c>
      <c r="Y56" s="178">
        <f t="shared" si="14"/>
        <v>2.05</v>
      </c>
      <c r="Z56" s="192">
        <f t="shared" si="15"/>
        <v>3.037895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28.0</v>
      </c>
      <c r="B57" s="193" t="s">
        <v>138</v>
      </c>
      <c r="C57" s="193">
        <v>87.0</v>
      </c>
      <c r="D57" s="193">
        <v>203.0</v>
      </c>
      <c r="E57" s="193">
        <v>203.0</v>
      </c>
      <c r="F57" s="193">
        <f t="shared" si="5"/>
        <v>0</v>
      </c>
      <c r="G57" s="193">
        <f t="shared" si="6"/>
        <v>143.40732</v>
      </c>
      <c r="H57" s="194">
        <f t="shared" si="7"/>
        <v>143.40732</v>
      </c>
      <c r="I57" s="193">
        <v>1.0</v>
      </c>
      <c r="J57" s="195">
        <f t="shared" si="8"/>
        <v>143.40732</v>
      </c>
      <c r="K57" s="139"/>
      <c r="L57" s="197"/>
      <c r="M57" s="198">
        <f t="shared" si="18"/>
        <v>1</v>
      </c>
      <c r="N57" s="198"/>
      <c r="O57" s="139"/>
      <c r="P57" s="139"/>
      <c r="Q57" s="178">
        <v>143.0</v>
      </c>
      <c r="R57" s="190">
        <v>40.0</v>
      </c>
      <c r="S57" s="178">
        <f t="shared" si="9"/>
        <v>2.03</v>
      </c>
      <c r="T57" s="162">
        <f t="shared" si="10"/>
        <v>1</v>
      </c>
      <c r="U57" s="162">
        <f t="shared" si="11"/>
        <v>2.03</v>
      </c>
      <c r="V57" s="191">
        <f t="shared" si="12"/>
        <v>143.40732</v>
      </c>
      <c r="W57" s="178">
        <f t="shared" ref="W57:X57" si="44">C57/100</f>
        <v>0.87</v>
      </c>
      <c r="X57" s="178">
        <f t="shared" si="44"/>
        <v>2.03</v>
      </c>
      <c r="Y57" s="178">
        <f t="shared" si="14"/>
        <v>2.03</v>
      </c>
      <c r="Z57" s="192">
        <f t="shared" si="15"/>
        <v>3.585183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29.0</v>
      </c>
      <c r="B58" s="193" t="s">
        <v>138</v>
      </c>
      <c r="C58" s="193">
        <v>88.0</v>
      </c>
      <c r="D58" s="193">
        <v>203.0</v>
      </c>
      <c r="E58" s="193">
        <v>2879.0</v>
      </c>
      <c r="F58" s="193">
        <f t="shared" si="5"/>
        <v>0</v>
      </c>
      <c r="G58" s="193">
        <f t="shared" si="6"/>
        <v>2057.21824</v>
      </c>
      <c r="H58" s="194">
        <f t="shared" si="7"/>
        <v>2057.21824</v>
      </c>
      <c r="I58" s="193">
        <v>1.0</v>
      </c>
      <c r="J58" s="195">
        <f t="shared" si="8"/>
        <v>2057.21824</v>
      </c>
      <c r="K58" s="139"/>
      <c r="L58" s="197"/>
      <c r="M58" s="198">
        <f t="shared" si="18"/>
        <v>1</v>
      </c>
      <c r="N58" s="198"/>
      <c r="O58" s="139"/>
      <c r="P58" s="139"/>
      <c r="Q58" s="178">
        <v>2020.0</v>
      </c>
      <c r="R58" s="190">
        <v>40.0</v>
      </c>
      <c r="S58" s="178">
        <f t="shared" si="9"/>
        <v>28.79</v>
      </c>
      <c r="T58" s="162">
        <f t="shared" si="10"/>
        <v>1</v>
      </c>
      <c r="U58" s="162">
        <f t="shared" si="11"/>
        <v>28.79</v>
      </c>
      <c r="V58" s="191">
        <f t="shared" si="12"/>
        <v>2057.21824</v>
      </c>
      <c r="W58" s="178">
        <f t="shared" ref="W58:X58" si="45">C58/100</f>
        <v>0.88</v>
      </c>
      <c r="X58" s="178">
        <f t="shared" si="45"/>
        <v>2.03</v>
      </c>
      <c r="Y58" s="178">
        <f t="shared" si="14"/>
        <v>28.79</v>
      </c>
      <c r="Z58" s="192">
        <f t="shared" si="15"/>
        <v>51.430456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30.0</v>
      </c>
      <c r="B59" s="193" t="s">
        <v>138</v>
      </c>
      <c r="C59" s="193">
        <v>87.0</v>
      </c>
      <c r="D59" s="193">
        <v>203.0</v>
      </c>
      <c r="E59" s="193">
        <v>2878.0</v>
      </c>
      <c r="F59" s="193">
        <f t="shared" si="5"/>
        <v>0</v>
      </c>
      <c r="G59" s="193">
        <f t="shared" si="6"/>
        <v>2033.13432</v>
      </c>
      <c r="H59" s="194">
        <f t="shared" si="7"/>
        <v>2033.13432</v>
      </c>
      <c r="I59" s="193">
        <v>1.0</v>
      </c>
      <c r="J59" s="195">
        <f t="shared" si="8"/>
        <v>2033.13432</v>
      </c>
      <c r="K59" s="139"/>
      <c r="L59" s="197"/>
      <c r="M59" s="198">
        <f t="shared" si="18"/>
        <v>1</v>
      </c>
      <c r="N59" s="198"/>
      <c r="O59" s="139"/>
      <c r="P59" s="139"/>
      <c r="Q59" s="178">
        <v>1960.0</v>
      </c>
      <c r="R59" s="190">
        <v>40.0</v>
      </c>
      <c r="S59" s="178">
        <f t="shared" si="9"/>
        <v>28.78</v>
      </c>
      <c r="T59" s="162">
        <f t="shared" si="10"/>
        <v>1</v>
      </c>
      <c r="U59" s="162">
        <f t="shared" si="11"/>
        <v>28.78</v>
      </c>
      <c r="V59" s="191">
        <f t="shared" si="12"/>
        <v>2033.13432</v>
      </c>
      <c r="W59" s="178">
        <f t="shared" ref="W59:X59" si="46">C59/100</f>
        <v>0.87</v>
      </c>
      <c r="X59" s="178">
        <f t="shared" si="46"/>
        <v>2.03</v>
      </c>
      <c r="Y59" s="178">
        <f t="shared" si="14"/>
        <v>28.78</v>
      </c>
      <c r="Z59" s="192">
        <f t="shared" si="15"/>
        <v>50.828358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31.0</v>
      </c>
      <c r="B60" s="193" t="s">
        <v>138</v>
      </c>
      <c r="C60" s="193">
        <v>89.0</v>
      </c>
      <c r="D60" s="193">
        <v>203.0</v>
      </c>
      <c r="E60" s="193">
        <v>2647.0</v>
      </c>
      <c r="F60" s="193">
        <f t="shared" si="5"/>
        <v>0</v>
      </c>
      <c r="G60" s="193">
        <f t="shared" si="6"/>
        <v>1912.93396</v>
      </c>
      <c r="H60" s="194">
        <f t="shared" si="7"/>
        <v>1912.93396</v>
      </c>
      <c r="I60" s="193">
        <v>1.0</v>
      </c>
      <c r="J60" s="195">
        <f t="shared" si="8"/>
        <v>1912.93396</v>
      </c>
      <c r="K60" s="139"/>
      <c r="L60" s="197"/>
      <c r="M60" s="198">
        <f t="shared" si="18"/>
        <v>1</v>
      </c>
      <c r="N60" s="198"/>
      <c r="O60" s="139"/>
      <c r="P60" s="139"/>
      <c r="Q60" s="178">
        <v>1860.0</v>
      </c>
      <c r="R60" s="190">
        <v>40.0</v>
      </c>
      <c r="S60" s="178">
        <f t="shared" si="9"/>
        <v>26.47</v>
      </c>
      <c r="T60" s="162">
        <f t="shared" si="10"/>
        <v>1</v>
      </c>
      <c r="U60" s="162">
        <f t="shared" si="11"/>
        <v>26.47</v>
      </c>
      <c r="V60" s="191">
        <f t="shared" si="12"/>
        <v>1912.93396</v>
      </c>
      <c r="W60" s="178">
        <f t="shared" ref="W60:X60" si="47">C60/100</f>
        <v>0.89</v>
      </c>
      <c r="X60" s="178">
        <f t="shared" si="47"/>
        <v>2.03</v>
      </c>
      <c r="Y60" s="178">
        <f t="shared" si="14"/>
        <v>26.47</v>
      </c>
      <c r="Z60" s="192">
        <f t="shared" si="15"/>
        <v>47.823349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32.0</v>
      </c>
      <c r="B61" s="193" t="s">
        <v>138</v>
      </c>
      <c r="C61" s="193">
        <v>89.0</v>
      </c>
      <c r="D61" s="193">
        <v>203.0</v>
      </c>
      <c r="E61" s="193">
        <v>2878.0</v>
      </c>
      <c r="F61" s="193">
        <f t="shared" si="5"/>
        <v>0</v>
      </c>
      <c r="G61" s="193">
        <f t="shared" si="6"/>
        <v>2079.87304</v>
      </c>
      <c r="H61" s="194">
        <f t="shared" si="7"/>
        <v>2079.87304</v>
      </c>
      <c r="I61" s="193">
        <v>1.0</v>
      </c>
      <c r="J61" s="195">
        <f t="shared" si="8"/>
        <v>2079.87304</v>
      </c>
      <c r="K61" s="139"/>
      <c r="L61" s="197"/>
      <c r="M61" s="198">
        <f t="shared" si="18"/>
        <v>1</v>
      </c>
      <c r="N61" s="198"/>
      <c r="O61" s="139"/>
      <c r="P61" s="139"/>
      <c r="Q61" s="178">
        <v>2025.0</v>
      </c>
      <c r="R61" s="190">
        <v>40.0</v>
      </c>
      <c r="S61" s="178">
        <f t="shared" si="9"/>
        <v>28.78</v>
      </c>
      <c r="T61" s="162">
        <f t="shared" si="10"/>
        <v>1</v>
      </c>
      <c r="U61" s="162">
        <f t="shared" si="11"/>
        <v>28.78</v>
      </c>
      <c r="V61" s="191">
        <f t="shared" si="12"/>
        <v>2079.87304</v>
      </c>
      <c r="W61" s="178">
        <f t="shared" ref="W61:X61" si="48">C61/100</f>
        <v>0.89</v>
      </c>
      <c r="X61" s="178">
        <f t="shared" si="48"/>
        <v>2.03</v>
      </c>
      <c r="Y61" s="178">
        <f t="shared" si="14"/>
        <v>28.78</v>
      </c>
      <c r="Z61" s="192">
        <f t="shared" si="15"/>
        <v>51.996826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2">
        <v>33.0</v>
      </c>
      <c r="B62" s="183" t="s">
        <v>151</v>
      </c>
      <c r="C62" s="184">
        <v>82.0</v>
      </c>
      <c r="D62" s="184">
        <v>194.0</v>
      </c>
      <c r="E62" s="184">
        <v>190.0</v>
      </c>
      <c r="F62" s="184">
        <f t="shared" si="5"/>
        <v>0.8</v>
      </c>
      <c r="G62" s="184">
        <f t="shared" si="6"/>
        <v>89.16434</v>
      </c>
      <c r="H62" s="185">
        <f t="shared" si="7"/>
        <v>71.331472</v>
      </c>
      <c r="I62" s="184">
        <v>1.0</v>
      </c>
      <c r="J62" s="186">
        <f t="shared" si="8"/>
        <v>71.331472</v>
      </c>
      <c r="K62" s="187"/>
      <c r="L62" s="188"/>
      <c r="M62" s="189">
        <f t="shared" si="18"/>
        <v>1</v>
      </c>
      <c r="N62" s="189"/>
      <c r="O62" s="187"/>
      <c r="P62" s="187"/>
      <c r="Q62" s="188">
        <v>96.0</v>
      </c>
      <c r="R62" s="190">
        <v>29.5</v>
      </c>
      <c r="S62" s="178">
        <f t="shared" si="9"/>
        <v>1.9</v>
      </c>
      <c r="T62" s="162">
        <f t="shared" si="10"/>
        <v>1</v>
      </c>
      <c r="U62" s="162">
        <f t="shared" si="11"/>
        <v>1.9</v>
      </c>
      <c r="V62" s="191">
        <f t="shared" si="12"/>
        <v>89.16434</v>
      </c>
      <c r="W62" s="178">
        <f t="shared" ref="W62:X62" si="49">C62/100</f>
        <v>0.82</v>
      </c>
      <c r="X62" s="178">
        <f t="shared" si="49"/>
        <v>1.94</v>
      </c>
      <c r="Y62" s="178">
        <f t="shared" si="14"/>
        <v>1.9</v>
      </c>
      <c r="Z62" s="192">
        <f t="shared" si="15"/>
        <v>3.02252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2">
        <v>34.0</v>
      </c>
      <c r="B63" s="193" t="s">
        <v>149</v>
      </c>
      <c r="C63" s="193">
        <v>100.0</v>
      </c>
      <c r="D63" s="193">
        <v>194.0</v>
      </c>
      <c r="E63" s="193">
        <v>183.0</v>
      </c>
      <c r="F63" s="193">
        <f t="shared" si="5"/>
        <v>0</v>
      </c>
      <c r="G63" s="193">
        <f t="shared" si="6"/>
        <v>104.7309</v>
      </c>
      <c r="H63" s="194">
        <f t="shared" si="7"/>
        <v>104.7309</v>
      </c>
      <c r="I63" s="193">
        <v>1.0</v>
      </c>
      <c r="J63" s="195">
        <f t="shared" si="8"/>
        <v>104.7309</v>
      </c>
      <c r="K63" s="139"/>
      <c r="L63" s="197"/>
      <c r="M63" s="198">
        <f t="shared" si="18"/>
        <v>1</v>
      </c>
      <c r="N63" s="198"/>
      <c r="O63" s="139"/>
      <c r="P63" s="139"/>
      <c r="Q63" s="178">
        <v>103.0</v>
      </c>
      <c r="R63" s="190">
        <v>29.5</v>
      </c>
      <c r="S63" s="178">
        <f t="shared" si="9"/>
        <v>1.83</v>
      </c>
      <c r="T63" s="162">
        <f t="shared" si="10"/>
        <v>1</v>
      </c>
      <c r="U63" s="162">
        <f t="shared" si="11"/>
        <v>1.83</v>
      </c>
      <c r="V63" s="191">
        <f t="shared" si="12"/>
        <v>104.7309</v>
      </c>
      <c r="W63" s="178">
        <f t="shared" ref="W63:X63" si="50">C63/100</f>
        <v>1</v>
      </c>
      <c r="X63" s="178">
        <f t="shared" si="50"/>
        <v>1.94</v>
      </c>
      <c r="Y63" s="178">
        <f t="shared" si="14"/>
        <v>1.83</v>
      </c>
      <c r="Z63" s="192">
        <f t="shared" si="15"/>
        <v>3.5502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2">
        <v>35.0</v>
      </c>
      <c r="B64" s="193" t="s">
        <v>149</v>
      </c>
      <c r="C64" s="193">
        <v>99.0</v>
      </c>
      <c r="D64" s="193">
        <v>194.0</v>
      </c>
      <c r="E64" s="193">
        <v>2770.0</v>
      </c>
      <c r="F64" s="193">
        <f t="shared" si="5"/>
        <v>0</v>
      </c>
      <c r="G64" s="193">
        <f t="shared" si="6"/>
        <v>1569.41829</v>
      </c>
      <c r="H64" s="194">
        <f t="shared" si="7"/>
        <v>1569.41829</v>
      </c>
      <c r="I64" s="193">
        <v>1.0</v>
      </c>
      <c r="J64" s="195">
        <f t="shared" si="8"/>
        <v>1569.41829</v>
      </c>
      <c r="K64" s="139"/>
      <c r="L64" s="197"/>
      <c r="M64" s="198">
        <f t="shared" si="18"/>
        <v>1</v>
      </c>
      <c r="N64" s="198"/>
      <c r="O64" s="139"/>
      <c r="P64" s="139"/>
      <c r="Q64" s="178">
        <v>1525.0</v>
      </c>
      <c r="R64" s="190">
        <v>29.5</v>
      </c>
      <c r="S64" s="178">
        <f t="shared" si="9"/>
        <v>27.7</v>
      </c>
      <c r="T64" s="162">
        <f t="shared" si="10"/>
        <v>1</v>
      </c>
      <c r="U64" s="162">
        <f t="shared" si="11"/>
        <v>27.7</v>
      </c>
      <c r="V64" s="191">
        <f t="shared" si="12"/>
        <v>1569.41829</v>
      </c>
      <c r="W64" s="178">
        <f t="shared" ref="W64:X64" si="51">C64/100</f>
        <v>0.99</v>
      </c>
      <c r="X64" s="178">
        <f t="shared" si="51"/>
        <v>1.94</v>
      </c>
      <c r="Y64" s="178">
        <f t="shared" si="14"/>
        <v>27.7</v>
      </c>
      <c r="Z64" s="192">
        <f t="shared" si="15"/>
        <v>53.20062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2">
        <v>36.0</v>
      </c>
      <c r="B65" s="193" t="s">
        <v>149</v>
      </c>
      <c r="C65" s="193">
        <v>99.0</v>
      </c>
      <c r="D65" s="193">
        <v>194.0</v>
      </c>
      <c r="E65" s="193">
        <v>2861.0</v>
      </c>
      <c r="F65" s="193">
        <f t="shared" si="5"/>
        <v>0</v>
      </c>
      <c r="G65" s="193">
        <f t="shared" si="6"/>
        <v>1620.976797</v>
      </c>
      <c r="H65" s="194">
        <f t="shared" si="7"/>
        <v>1620.976797</v>
      </c>
      <c r="I65" s="193">
        <v>1.0</v>
      </c>
      <c r="J65" s="195">
        <f t="shared" si="8"/>
        <v>1620.976797</v>
      </c>
      <c r="K65" s="139"/>
      <c r="L65" s="197"/>
      <c r="M65" s="198">
        <f t="shared" si="18"/>
        <v>1</v>
      </c>
      <c r="N65" s="198"/>
      <c r="O65" s="139"/>
      <c r="P65" s="139"/>
      <c r="Q65" s="178">
        <v>1620.0</v>
      </c>
      <c r="R65" s="190">
        <v>29.5</v>
      </c>
      <c r="S65" s="178">
        <f t="shared" si="9"/>
        <v>28.61</v>
      </c>
      <c r="T65" s="162">
        <f t="shared" si="10"/>
        <v>1</v>
      </c>
      <c r="U65" s="162">
        <f t="shared" si="11"/>
        <v>28.61</v>
      </c>
      <c r="V65" s="191">
        <f t="shared" si="12"/>
        <v>1620.976797</v>
      </c>
      <c r="W65" s="178">
        <f t="shared" ref="W65:X65" si="52">C65/100</f>
        <v>0.99</v>
      </c>
      <c r="X65" s="178">
        <f t="shared" si="52"/>
        <v>1.94</v>
      </c>
      <c r="Y65" s="178">
        <f t="shared" si="14"/>
        <v>28.61</v>
      </c>
      <c r="Z65" s="192">
        <f t="shared" si="15"/>
        <v>54.948366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2">
        <v>37.0</v>
      </c>
      <c r="B66" s="183" t="s">
        <v>109</v>
      </c>
      <c r="C66" s="184">
        <v>74.0</v>
      </c>
      <c r="D66" s="184">
        <v>216.0</v>
      </c>
      <c r="E66" s="184">
        <v>195.0</v>
      </c>
      <c r="F66" s="184">
        <f t="shared" si="5"/>
        <v>0.8</v>
      </c>
      <c r="G66" s="184">
        <f t="shared" si="6"/>
        <v>67.01292</v>
      </c>
      <c r="H66" s="185">
        <f t="shared" si="7"/>
        <v>53.610336</v>
      </c>
      <c r="I66" s="184">
        <v>1.0</v>
      </c>
      <c r="J66" s="186">
        <f t="shared" si="8"/>
        <v>53.610336</v>
      </c>
      <c r="K66" s="187"/>
      <c r="L66" s="188"/>
      <c r="M66" s="189">
        <f t="shared" si="18"/>
        <v>1</v>
      </c>
      <c r="N66" s="189"/>
      <c r="O66" s="187"/>
      <c r="P66" s="187"/>
      <c r="Q66" s="188">
        <v>75.0</v>
      </c>
      <c r="R66" s="190">
        <v>21.5</v>
      </c>
      <c r="S66" s="178">
        <f t="shared" si="9"/>
        <v>1.95</v>
      </c>
      <c r="T66" s="162">
        <f t="shared" si="10"/>
        <v>1</v>
      </c>
      <c r="U66" s="162">
        <f t="shared" si="11"/>
        <v>1.95</v>
      </c>
      <c r="V66" s="191">
        <f t="shared" si="12"/>
        <v>67.01292</v>
      </c>
      <c r="W66" s="178">
        <f t="shared" ref="W66:X66" si="53">C66/100</f>
        <v>0.74</v>
      </c>
      <c r="X66" s="178">
        <f t="shared" si="53"/>
        <v>2.16</v>
      </c>
      <c r="Y66" s="178">
        <f t="shared" si="14"/>
        <v>1.95</v>
      </c>
      <c r="Z66" s="192">
        <f t="shared" si="15"/>
        <v>3.11688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2">
        <v>38.0</v>
      </c>
      <c r="B67" s="193" t="s">
        <v>105</v>
      </c>
      <c r="C67" s="193">
        <v>92.0</v>
      </c>
      <c r="D67" s="193">
        <v>216.0</v>
      </c>
      <c r="E67" s="193">
        <v>225.0</v>
      </c>
      <c r="F67" s="193">
        <f t="shared" si="5"/>
        <v>0</v>
      </c>
      <c r="G67" s="193">
        <f t="shared" si="6"/>
        <v>96.1308</v>
      </c>
      <c r="H67" s="194">
        <f t="shared" si="7"/>
        <v>96.1308</v>
      </c>
      <c r="I67" s="193">
        <v>1.0</v>
      </c>
      <c r="J67" s="195">
        <f t="shared" si="8"/>
        <v>96.1308</v>
      </c>
      <c r="K67" s="139"/>
      <c r="L67" s="197"/>
      <c r="M67" s="198">
        <f t="shared" si="18"/>
        <v>1</v>
      </c>
      <c r="N67" s="198"/>
      <c r="O67" s="139"/>
      <c r="P67" s="139"/>
      <c r="Q67" s="178">
        <v>100.0</v>
      </c>
      <c r="R67" s="190">
        <v>21.5</v>
      </c>
      <c r="S67" s="178">
        <f t="shared" si="9"/>
        <v>2.25</v>
      </c>
      <c r="T67" s="162">
        <f t="shared" si="10"/>
        <v>1</v>
      </c>
      <c r="U67" s="162">
        <f t="shared" si="11"/>
        <v>2.25</v>
      </c>
      <c r="V67" s="191">
        <f t="shared" si="12"/>
        <v>96.1308</v>
      </c>
      <c r="W67" s="178">
        <f t="shared" ref="W67:X67" si="54">C67/100</f>
        <v>0.92</v>
      </c>
      <c r="X67" s="178">
        <f t="shared" si="54"/>
        <v>2.16</v>
      </c>
      <c r="Y67" s="178">
        <f t="shared" si="14"/>
        <v>2.25</v>
      </c>
      <c r="Z67" s="192">
        <f t="shared" si="15"/>
        <v>4.4712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2">
        <v>39.0</v>
      </c>
      <c r="B68" s="193" t="s">
        <v>105</v>
      </c>
      <c r="C68" s="193">
        <v>90.0</v>
      </c>
      <c r="D68" s="193">
        <v>216.0</v>
      </c>
      <c r="E68" s="193">
        <v>209.0</v>
      </c>
      <c r="F68" s="193">
        <f t="shared" si="5"/>
        <v>0</v>
      </c>
      <c r="G68" s="193">
        <f t="shared" si="6"/>
        <v>87.35364</v>
      </c>
      <c r="H68" s="194">
        <f t="shared" si="7"/>
        <v>87.35364</v>
      </c>
      <c r="I68" s="193">
        <v>1.0</v>
      </c>
      <c r="J68" s="195">
        <f t="shared" si="8"/>
        <v>87.35364</v>
      </c>
      <c r="K68" s="139"/>
      <c r="L68" s="197"/>
      <c r="M68" s="198"/>
      <c r="N68" s="198"/>
      <c r="O68" s="139"/>
      <c r="P68" s="139"/>
      <c r="Q68" s="178">
        <v>90.0</v>
      </c>
      <c r="R68" s="190">
        <v>21.5</v>
      </c>
      <c r="S68" s="178">
        <f t="shared" si="9"/>
        <v>2.09</v>
      </c>
      <c r="T68" s="162">
        <f t="shared" si="10"/>
        <v>1</v>
      </c>
      <c r="U68" s="162">
        <f t="shared" si="11"/>
        <v>2.09</v>
      </c>
      <c r="V68" s="191">
        <f t="shared" si="12"/>
        <v>87.35364</v>
      </c>
      <c r="W68" s="178">
        <f t="shared" ref="W68:X68" si="55">C68/100</f>
        <v>0.9</v>
      </c>
      <c r="X68" s="178">
        <f t="shared" si="55"/>
        <v>2.16</v>
      </c>
      <c r="Y68" s="178">
        <f t="shared" si="14"/>
        <v>2.09</v>
      </c>
      <c r="Z68" s="192">
        <f t="shared" si="15"/>
        <v>4.06296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2">
        <v>40.0</v>
      </c>
      <c r="B69" s="193" t="s">
        <v>105</v>
      </c>
      <c r="C69" s="193">
        <v>98.0</v>
      </c>
      <c r="D69" s="193">
        <v>216.0</v>
      </c>
      <c r="E69" s="193">
        <v>212.0</v>
      </c>
      <c r="F69" s="193">
        <f t="shared" si="5"/>
        <v>0</v>
      </c>
      <c r="G69" s="193">
        <f t="shared" si="6"/>
        <v>96.483744</v>
      </c>
      <c r="H69" s="194">
        <f t="shared" si="7"/>
        <v>96.483744</v>
      </c>
      <c r="I69" s="193">
        <v>1.0</v>
      </c>
      <c r="J69" s="195">
        <f t="shared" si="8"/>
        <v>96.483744</v>
      </c>
      <c r="K69" s="139"/>
      <c r="L69" s="197"/>
      <c r="M69" s="198"/>
      <c r="N69" s="198"/>
      <c r="O69" s="139"/>
      <c r="P69" s="139"/>
      <c r="Q69" s="178">
        <v>98.0</v>
      </c>
      <c r="R69" s="190">
        <v>21.5</v>
      </c>
      <c r="S69" s="178">
        <f t="shared" si="9"/>
        <v>2.12</v>
      </c>
      <c r="T69" s="162">
        <f t="shared" si="10"/>
        <v>1</v>
      </c>
      <c r="U69" s="162">
        <f t="shared" si="11"/>
        <v>2.12</v>
      </c>
      <c r="V69" s="191">
        <f t="shared" si="12"/>
        <v>96.483744</v>
      </c>
      <c r="W69" s="178">
        <f t="shared" ref="W69:X69" si="56">C69/100</f>
        <v>0.98</v>
      </c>
      <c r="X69" s="178">
        <f t="shared" si="56"/>
        <v>2.16</v>
      </c>
      <c r="Y69" s="178">
        <f t="shared" si="14"/>
        <v>2.12</v>
      </c>
      <c r="Z69" s="192">
        <f t="shared" si="15"/>
        <v>4.487616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2">
        <v>41.0</v>
      </c>
      <c r="B70" s="193" t="s">
        <v>105</v>
      </c>
      <c r="C70" s="193">
        <v>98.0</v>
      </c>
      <c r="D70" s="193">
        <v>216.0</v>
      </c>
      <c r="E70" s="193">
        <v>2875.0</v>
      </c>
      <c r="F70" s="193">
        <f t="shared" si="5"/>
        <v>0</v>
      </c>
      <c r="G70" s="193">
        <f t="shared" si="6"/>
        <v>1308.447</v>
      </c>
      <c r="H70" s="194">
        <f t="shared" si="7"/>
        <v>1308.447</v>
      </c>
      <c r="I70" s="193">
        <v>1.0</v>
      </c>
      <c r="J70" s="195">
        <f t="shared" si="8"/>
        <v>1308.447</v>
      </c>
      <c r="K70" s="139"/>
      <c r="L70" s="197"/>
      <c r="M70" s="198"/>
      <c r="N70" s="198"/>
      <c r="O70" s="139"/>
      <c r="P70" s="139"/>
      <c r="Q70" s="178">
        <v>1315.0</v>
      </c>
      <c r="R70" s="190">
        <v>21.5</v>
      </c>
      <c r="S70" s="178">
        <f t="shared" si="9"/>
        <v>28.75</v>
      </c>
      <c r="T70" s="162">
        <f t="shared" si="10"/>
        <v>1</v>
      </c>
      <c r="U70" s="162">
        <f t="shared" si="11"/>
        <v>28.75</v>
      </c>
      <c r="V70" s="191">
        <f t="shared" si="12"/>
        <v>1308.447</v>
      </c>
      <c r="W70" s="178">
        <f t="shared" ref="W70:X70" si="57">C70/100</f>
        <v>0.98</v>
      </c>
      <c r="X70" s="178">
        <f t="shared" si="57"/>
        <v>2.16</v>
      </c>
      <c r="Y70" s="178">
        <f t="shared" si="14"/>
        <v>28.75</v>
      </c>
      <c r="Z70" s="192">
        <f t="shared" si="15"/>
        <v>60.858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2">
        <v>42.0</v>
      </c>
      <c r="B71" s="193" t="s">
        <v>105</v>
      </c>
      <c r="C71" s="193">
        <v>98.0</v>
      </c>
      <c r="D71" s="193">
        <v>216.0</v>
      </c>
      <c r="E71" s="193">
        <v>2866.0</v>
      </c>
      <c r="F71" s="193">
        <f t="shared" si="5"/>
        <v>0</v>
      </c>
      <c r="G71" s="193">
        <f t="shared" si="6"/>
        <v>1304.350992</v>
      </c>
      <c r="H71" s="194">
        <f t="shared" si="7"/>
        <v>1304.350992</v>
      </c>
      <c r="I71" s="193">
        <v>1.0</v>
      </c>
      <c r="J71" s="195">
        <f t="shared" si="8"/>
        <v>1304.350992</v>
      </c>
      <c r="K71" s="139"/>
      <c r="L71" s="197"/>
      <c r="M71" s="198"/>
      <c r="N71" s="198"/>
      <c r="O71" s="139"/>
      <c r="P71" s="139"/>
      <c r="Q71" s="178">
        <v>1305.0</v>
      </c>
      <c r="R71" s="190">
        <v>21.5</v>
      </c>
      <c r="S71" s="178">
        <f t="shared" si="9"/>
        <v>28.66</v>
      </c>
      <c r="T71" s="162">
        <f t="shared" si="10"/>
        <v>1</v>
      </c>
      <c r="U71" s="162">
        <f t="shared" si="11"/>
        <v>28.66</v>
      </c>
      <c r="V71" s="191">
        <f t="shared" si="12"/>
        <v>1304.350992</v>
      </c>
      <c r="W71" s="178">
        <f t="shared" ref="W71:X71" si="58">C71/100</f>
        <v>0.98</v>
      </c>
      <c r="X71" s="178">
        <f t="shared" si="58"/>
        <v>2.16</v>
      </c>
      <c r="Y71" s="178">
        <f t="shared" si="14"/>
        <v>28.66</v>
      </c>
      <c r="Z71" s="192">
        <f t="shared" si="15"/>
        <v>60.667488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2">
        <v>43.0</v>
      </c>
      <c r="B72" s="193" t="s">
        <v>105</v>
      </c>
      <c r="C72" s="193">
        <v>98.0</v>
      </c>
      <c r="D72" s="193">
        <v>216.0</v>
      </c>
      <c r="E72" s="193">
        <v>2630.0</v>
      </c>
      <c r="F72" s="193">
        <f t="shared" si="5"/>
        <v>0</v>
      </c>
      <c r="G72" s="193">
        <f t="shared" si="6"/>
        <v>1196.94456</v>
      </c>
      <c r="H72" s="194">
        <f t="shared" si="7"/>
        <v>1196.94456</v>
      </c>
      <c r="I72" s="193">
        <v>1.0</v>
      </c>
      <c r="J72" s="195">
        <f t="shared" si="8"/>
        <v>1196.94456</v>
      </c>
      <c r="K72" s="139"/>
      <c r="L72" s="197"/>
      <c r="M72" s="198"/>
      <c r="N72" s="198"/>
      <c r="O72" s="139"/>
      <c r="P72" s="139"/>
      <c r="Q72" s="178">
        <v>1205.0</v>
      </c>
      <c r="R72" s="190">
        <v>21.5</v>
      </c>
      <c r="S72" s="178">
        <f t="shared" si="9"/>
        <v>26.3</v>
      </c>
      <c r="T72" s="162">
        <f t="shared" si="10"/>
        <v>1</v>
      </c>
      <c r="U72" s="162">
        <f t="shared" si="11"/>
        <v>26.3</v>
      </c>
      <c r="V72" s="191">
        <f t="shared" si="12"/>
        <v>1196.94456</v>
      </c>
      <c r="W72" s="178">
        <f t="shared" ref="W72:X72" si="59">C72/100</f>
        <v>0.98</v>
      </c>
      <c r="X72" s="178">
        <f t="shared" si="59"/>
        <v>2.16</v>
      </c>
      <c r="Y72" s="178">
        <f t="shared" si="14"/>
        <v>26.3</v>
      </c>
      <c r="Z72" s="192">
        <f t="shared" si="15"/>
        <v>55.67184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2">
        <v>44.0</v>
      </c>
      <c r="B73" s="183" t="s">
        <v>94</v>
      </c>
      <c r="C73" s="184">
        <v>85.0</v>
      </c>
      <c r="D73" s="184">
        <v>218.0</v>
      </c>
      <c r="E73" s="184">
        <v>206.0</v>
      </c>
      <c r="F73" s="184">
        <f t="shared" si="5"/>
        <v>0.8</v>
      </c>
      <c r="G73" s="184">
        <f t="shared" si="6"/>
        <v>112.60681</v>
      </c>
      <c r="H73" s="185">
        <f t="shared" si="7"/>
        <v>90.085448</v>
      </c>
      <c r="I73" s="184">
        <v>1.0</v>
      </c>
      <c r="J73" s="186">
        <f t="shared" si="8"/>
        <v>90.085448</v>
      </c>
      <c r="K73" s="187"/>
      <c r="L73" s="188"/>
      <c r="M73" s="189"/>
      <c r="N73" s="189"/>
      <c r="O73" s="187"/>
      <c r="P73" s="187"/>
      <c r="Q73" s="188">
        <v>117.0</v>
      </c>
      <c r="R73" s="141">
        <v>29.5</v>
      </c>
      <c r="S73" s="178">
        <f t="shared" si="9"/>
        <v>2.06</v>
      </c>
      <c r="T73" s="162">
        <f t="shared" si="10"/>
        <v>1</v>
      </c>
      <c r="U73" s="162">
        <f t="shared" si="11"/>
        <v>2.06</v>
      </c>
      <c r="V73" s="191">
        <f t="shared" si="12"/>
        <v>112.60681</v>
      </c>
      <c r="W73" s="178">
        <f t="shared" ref="W73:X73" si="60">C73/100</f>
        <v>0.85</v>
      </c>
      <c r="X73" s="178">
        <f t="shared" si="60"/>
        <v>2.18</v>
      </c>
      <c r="Y73" s="178">
        <f t="shared" si="14"/>
        <v>2.06</v>
      </c>
      <c r="Z73" s="192">
        <f t="shared" si="15"/>
        <v>3.81718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2">
        <v>45.0</v>
      </c>
      <c r="B74" s="193" t="s">
        <v>57</v>
      </c>
      <c r="C74" s="193">
        <v>100.0</v>
      </c>
      <c r="D74" s="193">
        <v>218.0</v>
      </c>
      <c r="E74" s="193">
        <v>197.0</v>
      </c>
      <c r="F74" s="193">
        <f t="shared" si="5"/>
        <v>0</v>
      </c>
      <c r="G74" s="193">
        <f t="shared" si="6"/>
        <v>126.6907</v>
      </c>
      <c r="H74" s="194">
        <f t="shared" si="7"/>
        <v>126.6907</v>
      </c>
      <c r="I74" s="193">
        <v>1.0</v>
      </c>
      <c r="J74" s="195">
        <f t="shared" si="8"/>
        <v>126.6907</v>
      </c>
      <c r="K74" s="139"/>
      <c r="L74" s="197"/>
      <c r="M74" s="198"/>
      <c r="N74" s="198"/>
      <c r="O74" s="139"/>
      <c r="P74" s="139"/>
      <c r="Q74" s="178">
        <v>127.0</v>
      </c>
      <c r="R74" s="141">
        <v>29.5</v>
      </c>
      <c r="S74" s="178">
        <f t="shared" si="9"/>
        <v>1.97</v>
      </c>
      <c r="T74" s="162">
        <f t="shared" si="10"/>
        <v>1</v>
      </c>
      <c r="U74" s="162">
        <f t="shared" si="11"/>
        <v>1.97</v>
      </c>
      <c r="V74" s="191">
        <f t="shared" si="12"/>
        <v>126.6907</v>
      </c>
      <c r="W74" s="178">
        <f t="shared" ref="W74:X74" si="61">C74/100</f>
        <v>1</v>
      </c>
      <c r="X74" s="178">
        <f t="shared" si="61"/>
        <v>2.18</v>
      </c>
      <c r="Y74" s="178">
        <f t="shared" si="14"/>
        <v>1.97</v>
      </c>
      <c r="Z74" s="192">
        <f t="shared" si="15"/>
        <v>4.2946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2">
        <v>46.0</v>
      </c>
      <c r="B75" s="193" t="s">
        <v>57</v>
      </c>
      <c r="C75" s="193">
        <v>100.0</v>
      </c>
      <c r="D75" s="193">
        <v>218.0</v>
      </c>
      <c r="E75" s="193">
        <v>2890.0</v>
      </c>
      <c r="F75" s="193">
        <f t="shared" si="5"/>
        <v>0</v>
      </c>
      <c r="G75" s="193">
        <f t="shared" si="6"/>
        <v>1858.559</v>
      </c>
      <c r="H75" s="194">
        <f t="shared" si="7"/>
        <v>1858.559</v>
      </c>
      <c r="I75" s="193">
        <v>1.0</v>
      </c>
      <c r="J75" s="195">
        <f t="shared" si="8"/>
        <v>1858.559</v>
      </c>
      <c r="K75" s="139"/>
      <c r="L75" s="197"/>
      <c r="M75" s="198"/>
      <c r="N75" s="198"/>
      <c r="O75" s="139"/>
      <c r="P75" s="139"/>
      <c r="Q75" s="178">
        <v>1835.0</v>
      </c>
      <c r="R75" s="141">
        <v>29.5</v>
      </c>
      <c r="S75" s="178">
        <f t="shared" si="9"/>
        <v>28.9</v>
      </c>
      <c r="T75" s="162">
        <f t="shared" si="10"/>
        <v>1</v>
      </c>
      <c r="U75" s="162">
        <f t="shared" si="11"/>
        <v>28.9</v>
      </c>
      <c r="V75" s="191">
        <f t="shared" si="12"/>
        <v>1858.559</v>
      </c>
      <c r="W75" s="178">
        <f t="shared" ref="W75:X75" si="62">C75/100</f>
        <v>1</v>
      </c>
      <c r="X75" s="178">
        <f t="shared" si="62"/>
        <v>2.18</v>
      </c>
      <c r="Y75" s="178">
        <f t="shared" si="14"/>
        <v>28.9</v>
      </c>
      <c r="Z75" s="192">
        <f t="shared" si="15"/>
        <v>63.002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customHeight="1">
      <c r="A76" s="162">
        <v>47.0</v>
      </c>
      <c r="B76" s="193" t="s">
        <v>57</v>
      </c>
      <c r="C76" s="193">
        <v>99.0</v>
      </c>
      <c r="D76" s="193">
        <v>218.0</v>
      </c>
      <c r="E76" s="193">
        <v>2889.0</v>
      </c>
      <c r="F76" s="193">
        <f t="shared" si="5"/>
        <v>0</v>
      </c>
      <c r="G76" s="193">
        <f t="shared" si="6"/>
        <v>1839.336741</v>
      </c>
      <c r="H76" s="194">
        <f t="shared" si="7"/>
        <v>1839.336741</v>
      </c>
      <c r="I76" s="193">
        <v>1.0</v>
      </c>
      <c r="J76" s="195">
        <f t="shared" si="8"/>
        <v>1839.336741</v>
      </c>
      <c r="K76" s="139"/>
      <c r="L76" s="197"/>
      <c r="M76" s="198"/>
      <c r="N76" s="198"/>
      <c r="O76" s="139"/>
      <c r="P76" s="139"/>
      <c r="Q76" s="178">
        <v>1825.0</v>
      </c>
      <c r="R76" s="141">
        <v>29.5</v>
      </c>
      <c r="S76" s="178">
        <f t="shared" si="9"/>
        <v>28.89</v>
      </c>
      <c r="T76" s="162">
        <f t="shared" si="10"/>
        <v>1</v>
      </c>
      <c r="U76" s="162">
        <f t="shared" si="11"/>
        <v>28.89</v>
      </c>
      <c r="V76" s="191">
        <f t="shared" si="12"/>
        <v>1839.336741</v>
      </c>
      <c r="W76" s="178">
        <f t="shared" ref="W76:X76" si="63">C76/100</f>
        <v>0.99</v>
      </c>
      <c r="X76" s="178">
        <f t="shared" si="63"/>
        <v>2.18</v>
      </c>
      <c r="Y76" s="178">
        <f t="shared" si="14"/>
        <v>28.89</v>
      </c>
      <c r="Z76" s="192">
        <f t="shared" si="15"/>
        <v>62.350398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customHeight="1">
      <c r="A77" s="162">
        <v>48.0</v>
      </c>
      <c r="B77" s="193" t="s">
        <v>57</v>
      </c>
      <c r="C77" s="193">
        <v>99.0</v>
      </c>
      <c r="D77" s="193">
        <v>218.0</v>
      </c>
      <c r="E77" s="193">
        <v>2880.0</v>
      </c>
      <c r="F77" s="193">
        <f t="shared" si="5"/>
        <v>0</v>
      </c>
      <c r="G77" s="193">
        <f t="shared" si="6"/>
        <v>1833.60672</v>
      </c>
      <c r="H77" s="194">
        <f t="shared" si="7"/>
        <v>1833.60672</v>
      </c>
      <c r="I77" s="193">
        <v>1.0</v>
      </c>
      <c r="J77" s="195">
        <f t="shared" si="8"/>
        <v>1833.60672</v>
      </c>
      <c r="K77" s="139"/>
      <c r="L77" s="197"/>
      <c r="M77" s="198"/>
      <c r="N77" s="198"/>
      <c r="O77" s="139"/>
      <c r="P77" s="139"/>
      <c r="Q77" s="178">
        <v>1800.0</v>
      </c>
      <c r="R77" s="141">
        <v>29.5</v>
      </c>
      <c r="S77" s="178">
        <f t="shared" si="9"/>
        <v>28.8</v>
      </c>
      <c r="T77" s="162">
        <f t="shared" si="10"/>
        <v>1</v>
      </c>
      <c r="U77" s="162">
        <f t="shared" si="11"/>
        <v>28.8</v>
      </c>
      <c r="V77" s="191">
        <f t="shared" si="12"/>
        <v>1833.60672</v>
      </c>
      <c r="W77" s="178">
        <f t="shared" ref="W77:X77" si="64">C77/100</f>
        <v>0.99</v>
      </c>
      <c r="X77" s="178">
        <f t="shared" si="64"/>
        <v>2.18</v>
      </c>
      <c r="Y77" s="178">
        <f t="shared" si="14"/>
        <v>28.8</v>
      </c>
      <c r="Z77" s="192">
        <f t="shared" si="15"/>
        <v>62.15616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customHeight="1">
      <c r="A78" s="162">
        <v>49.0</v>
      </c>
      <c r="B78" s="193" t="s">
        <v>57</v>
      </c>
      <c r="C78" s="193">
        <v>100.0</v>
      </c>
      <c r="D78" s="193">
        <v>218.0</v>
      </c>
      <c r="E78" s="193">
        <v>2888.0</v>
      </c>
      <c r="F78" s="193">
        <f t="shared" si="5"/>
        <v>0</v>
      </c>
      <c r="G78" s="193">
        <f t="shared" si="6"/>
        <v>1857.2728</v>
      </c>
      <c r="H78" s="194">
        <f t="shared" si="7"/>
        <v>1857.2728</v>
      </c>
      <c r="I78" s="193">
        <v>1.0</v>
      </c>
      <c r="J78" s="195">
        <f t="shared" si="8"/>
        <v>1857.2728</v>
      </c>
      <c r="K78" s="139"/>
      <c r="L78" s="197"/>
      <c r="M78" s="198"/>
      <c r="N78" s="198"/>
      <c r="O78" s="139"/>
      <c r="P78" s="139"/>
      <c r="Q78" s="178">
        <v>1820.0</v>
      </c>
      <c r="R78" s="141">
        <v>29.5</v>
      </c>
      <c r="S78" s="178">
        <f t="shared" si="9"/>
        <v>28.88</v>
      </c>
      <c r="T78" s="162">
        <f t="shared" si="10"/>
        <v>1</v>
      </c>
      <c r="U78" s="162">
        <f t="shared" si="11"/>
        <v>28.88</v>
      </c>
      <c r="V78" s="191">
        <f t="shared" si="12"/>
        <v>1857.2728</v>
      </c>
      <c r="W78" s="178">
        <f t="shared" ref="W78:X78" si="65">C78/100</f>
        <v>1</v>
      </c>
      <c r="X78" s="178">
        <f t="shared" si="65"/>
        <v>2.18</v>
      </c>
      <c r="Y78" s="178">
        <f t="shared" si="14"/>
        <v>28.88</v>
      </c>
      <c r="Z78" s="192">
        <f t="shared" si="15"/>
        <v>62.9584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customHeight="1">
      <c r="A79" s="162">
        <v>50.0</v>
      </c>
      <c r="B79" s="193" t="s">
        <v>57</v>
      </c>
      <c r="C79" s="193">
        <v>98.0</v>
      </c>
      <c r="D79" s="193">
        <v>218.0</v>
      </c>
      <c r="E79" s="193">
        <v>2663.0</v>
      </c>
      <c r="F79" s="193">
        <f t="shared" si="5"/>
        <v>0</v>
      </c>
      <c r="G79" s="193">
        <f t="shared" si="6"/>
        <v>1678.323794</v>
      </c>
      <c r="H79" s="194">
        <f t="shared" si="7"/>
        <v>1678.323794</v>
      </c>
      <c r="I79" s="193">
        <v>1.0</v>
      </c>
      <c r="J79" s="195">
        <f t="shared" si="8"/>
        <v>1678.323794</v>
      </c>
      <c r="K79" s="139"/>
      <c r="L79" s="197"/>
      <c r="M79" s="198"/>
      <c r="N79" s="198"/>
      <c r="O79" s="139"/>
      <c r="P79" s="139"/>
      <c r="Q79" s="178">
        <v>1660.0</v>
      </c>
      <c r="R79" s="141">
        <v>29.5</v>
      </c>
      <c r="S79" s="178">
        <f t="shared" si="9"/>
        <v>26.63</v>
      </c>
      <c r="T79" s="162">
        <f t="shared" si="10"/>
        <v>1</v>
      </c>
      <c r="U79" s="162">
        <f t="shared" si="11"/>
        <v>26.63</v>
      </c>
      <c r="V79" s="191">
        <f t="shared" si="12"/>
        <v>1678.323794</v>
      </c>
      <c r="W79" s="178">
        <f t="shared" ref="W79:X79" si="66">C79/100</f>
        <v>0.98</v>
      </c>
      <c r="X79" s="178">
        <f t="shared" si="66"/>
        <v>2.18</v>
      </c>
      <c r="Y79" s="178">
        <f t="shared" si="14"/>
        <v>26.63</v>
      </c>
      <c r="Z79" s="192">
        <f t="shared" si="15"/>
        <v>56.892332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101.0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7">C80/100</f>
        <v>0</v>
      </c>
      <c r="X80" s="199">
        <f t="shared" si="67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102.0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8">C81/100</f>
        <v>0</v>
      </c>
      <c r="X81" s="199">
        <f t="shared" si="68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103.0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69">C82/100</f>
        <v>0</v>
      </c>
      <c r="X82" s="199">
        <f t="shared" si="69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104.0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0">C83/100</f>
        <v>0</v>
      </c>
      <c r="X83" s="199">
        <f t="shared" si="70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105.0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1">C84/100</f>
        <v>0</v>
      </c>
      <c r="X84" s="199">
        <f t="shared" si="71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106.0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2">C85/100</f>
        <v>0</v>
      </c>
      <c r="X85" s="199">
        <f t="shared" si="72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107.0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3">C86/100</f>
        <v>0</v>
      </c>
      <c r="X86" s="199">
        <f t="shared" si="73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108.0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4">C87/100</f>
        <v>0</v>
      </c>
      <c r="X87" s="199">
        <f t="shared" si="74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109.0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5">C88/100</f>
        <v>0</v>
      </c>
      <c r="X88" s="199">
        <f t="shared" si="75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110.0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6">C89/100</f>
        <v>0</v>
      </c>
      <c r="X89" s="199">
        <f t="shared" si="76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111.0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7">C90/100</f>
        <v>0</v>
      </c>
      <c r="X90" s="199">
        <f t="shared" si="77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112.0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8">C91/100</f>
        <v>0</v>
      </c>
      <c r="X91" s="199">
        <f t="shared" si="78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113.0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79">C92/100</f>
        <v>0</v>
      </c>
      <c r="X92" s="199">
        <f t="shared" si="79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114.0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0">C93/100</f>
        <v>0</v>
      </c>
      <c r="X93" s="199">
        <f t="shared" si="80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115.0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1">C94/100</f>
        <v>0</v>
      </c>
      <c r="X94" s="199">
        <f t="shared" si="81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116.0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2">C95/100</f>
        <v>0</v>
      </c>
      <c r="X95" s="199">
        <f t="shared" si="82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117.0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3">C96/100</f>
        <v>0</v>
      </c>
      <c r="X96" s="199">
        <f t="shared" si="83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118.0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4">C97/100</f>
        <v>0</v>
      </c>
      <c r="X97" s="199">
        <f t="shared" si="84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119.0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5">C98/100</f>
        <v>0</v>
      </c>
      <c r="X98" s="199">
        <f t="shared" si="85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120.0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6">C99/100</f>
        <v>0</v>
      </c>
      <c r="X99" s="199">
        <f t="shared" si="86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121.0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7">C100/100</f>
        <v>0</v>
      </c>
      <c r="X100" s="199">
        <f t="shared" si="87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122.0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8">C101/100</f>
        <v>0</v>
      </c>
      <c r="X101" s="199">
        <f t="shared" si="88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123.0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89">C102/100</f>
        <v>0</v>
      </c>
      <c r="X102" s="199">
        <f t="shared" si="89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124.0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0">C103/100</f>
        <v>0</v>
      </c>
      <c r="X103" s="199">
        <f t="shared" si="90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125.0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1">C104/100</f>
        <v>0</v>
      </c>
      <c r="X104" s="199">
        <f t="shared" si="91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126.0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2">C105/100</f>
        <v>0</v>
      </c>
      <c r="X105" s="199">
        <f t="shared" si="92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127.0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3">C106/100</f>
        <v>0</v>
      </c>
      <c r="X106" s="199">
        <f t="shared" si="93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128.0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4">C107/100</f>
        <v>0</v>
      </c>
      <c r="X107" s="199">
        <f t="shared" si="94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129.0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5">C108/100</f>
        <v>0</v>
      </c>
      <c r="X108" s="199">
        <f t="shared" si="95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130.0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6">C109/100</f>
        <v>0</v>
      </c>
      <c r="X109" s="199">
        <f t="shared" si="96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131.0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7">C110/100</f>
        <v>0</v>
      </c>
      <c r="X110" s="199">
        <f t="shared" si="97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132.0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8">C111/100</f>
        <v>0</v>
      </c>
      <c r="X111" s="199">
        <f t="shared" si="98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133.0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99">C112/100</f>
        <v>0</v>
      </c>
      <c r="X112" s="199">
        <f t="shared" si="99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134.0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0">C113/100</f>
        <v>0</v>
      </c>
      <c r="X113" s="199">
        <f t="shared" si="100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135.0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1">C114/100</f>
        <v>0</v>
      </c>
      <c r="X114" s="199">
        <f t="shared" si="101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136.0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2">C115/100</f>
        <v>0</v>
      </c>
      <c r="X115" s="199">
        <f t="shared" si="102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137.0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3">C116/100</f>
        <v>0</v>
      </c>
      <c r="X116" s="199">
        <f t="shared" si="103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138.0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4">C117/100</f>
        <v>0</v>
      </c>
      <c r="X117" s="199">
        <f t="shared" si="104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139.0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5">C118/100</f>
        <v>0</v>
      </c>
      <c r="X118" s="199">
        <f t="shared" si="105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140.0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6">C119/100</f>
        <v>0</v>
      </c>
      <c r="X119" s="199">
        <f t="shared" si="106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141.0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7">C120/100</f>
        <v>0</v>
      </c>
      <c r="X120" s="199">
        <f t="shared" si="107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142.0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8">C121/100</f>
        <v>0</v>
      </c>
      <c r="X121" s="199">
        <f t="shared" si="108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143.0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09">C122/100</f>
        <v>0</v>
      </c>
      <c r="X122" s="199">
        <f t="shared" si="109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144.0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0">C123/100</f>
        <v>0</v>
      </c>
      <c r="X123" s="199">
        <f t="shared" si="110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145.0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1">C124/100</f>
        <v>0</v>
      </c>
      <c r="X124" s="199">
        <f t="shared" si="111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146.0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2">C125/100</f>
        <v>0</v>
      </c>
      <c r="X125" s="199">
        <f t="shared" si="112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147.0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3">C126/100</f>
        <v>0</v>
      </c>
      <c r="X126" s="199">
        <f t="shared" si="113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148.0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4">C127/100</f>
        <v>0</v>
      </c>
      <c r="X127" s="199">
        <f t="shared" si="114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149.0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5">C128/100</f>
        <v>0</v>
      </c>
      <c r="X128" s="199">
        <f t="shared" si="115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150.0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6">C129/100</f>
        <v>0</v>
      </c>
      <c r="X129" s="199">
        <f t="shared" si="116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151.0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7">C130/100</f>
        <v>0</v>
      </c>
      <c r="X130" s="199">
        <f t="shared" si="117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152.0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8">C131/100</f>
        <v>0</v>
      </c>
      <c r="X131" s="199">
        <f t="shared" si="118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153.0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19">C132/100</f>
        <v>0</v>
      </c>
      <c r="X132" s="199">
        <f t="shared" si="119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154.0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0">C133/100</f>
        <v>0</v>
      </c>
      <c r="X133" s="199">
        <f t="shared" si="120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155.0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1">C134/100</f>
        <v>0</v>
      </c>
      <c r="X134" s="199">
        <f t="shared" si="121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156.0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2">C135/100</f>
        <v>0</v>
      </c>
      <c r="X135" s="199">
        <f t="shared" si="122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157.0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3">C136/100</f>
        <v>0</v>
      </c>
      <c r="X136" s="199">
        <f t="shared" si="123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158.0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4">C137/100</f>
        <v>0</v>
      </c>
      <c r="X137" s="199">
        <f t="shared" si="124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159.0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5">C138/100</f>
        <v>0</v>
      </c>
      <c r="X138" s="199">
        <f t="shared" si="125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160.0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6">C139/100</f>
        <v>0</v>
      </c>
      <c r="X139" s="199">
        <f t="shared" si="126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161.0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7">C140/100</f>
        <v>0</v>
      </c>
      <c r="X140" s="199">
        <f t="shared" si="127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162.0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8">C141/100</f>
        <v>0</v>
      </c>
      <c r="X141" s="199">
        <f t="shared" si="128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163.0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29">C142/100</f>
        <v>0</v>
      </c>
      <c r="X142" s="199">
        <f t="shared" si="129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164.0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0">C143/100</f>
        <v>0</v>
      </c>
      <c r="X143" s="199">
        <f t="shared" si="130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165.0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1">C144/100</f>
        <v>0</v>
      </c>
      <c r="X144" s="199">
        <f t="shared" si="131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166.0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2">C145/100</f>
        <v>0</v>
      </c>
      <c r="X145" s="199">
        <f t="shared" si="132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167.0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3">C146/100</f>
        <v>0</v>
      </c>
      <c r="X146" s="199">
        <f t="shared" si="133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168.0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4">C147/100</f>
        <v>0</v>
      </c>
      <c r="X147" s="199">
        <f t="shared" si="134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169.0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5">C148/100</f>
        <v>0</v>
      </c>
      <c r="X148" s="199">
        <f t="shared" si="135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170.0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6">C149/100</f>
        <v>0</v>
      </c>
      <c r="X149" s="199">
        <f t="shared" si="136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171.0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7">C150/100</f>
        <v>0</v>
      </c>
      <c r="X150" s="199">
        <f t="shared" si="137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172.0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8">C151/100</f>
        <v>0</v>
      </c>
      <c r="X151" s="199">
        <f t="shared" si="138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173.0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39">C152/100</f>
        <v>0</v>
      </c>
      <c r="X152" s="199">
        <f t="shared" si="139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174.0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0">C153/100</f>
        <v>0</v>
      </c>
      <c r="X153" s="199">
        <f t="shared" si="140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175.0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1">C154/100</f>
        <v>0</v>
      </c>
      <c r="X154" s="199">
        <f t="shared" si="141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176.0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2">C155/100</f>
        <v>0</v>
      </c>
      <c r="X155" s="199">
        <f t="shared" si="142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177.0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3">C156/100</f>
        <v>0</v>
      </c>
      <c r="X156" s="199">
        <f t="shared" si="143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178.0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4">C157/100</f>
        <v>0</v>
      </c>
      <c r="X157" s="199">
        <f t="shared" si="144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179.0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5">C158/100</f>
        <v>0</v>
      </c>
      <c r="X158" s="199">
        <f t="shared" si="145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180.0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6">C159/100</f>
        <v>0</v>
      </c>
      <c r="X159" s="199">
        <f t="shared" si="146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181.0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7">C160/100</f>
        <v>0</v>
      </c>
      <c r="X160" s="199">
        <f t="shared" si="147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182.0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8">C161/100</f>
        <v>0</v>
      </c>
      <c r="X161" s="199">
        <f t="shared" si="148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183.0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49">C162/100</f>
        <v>0</v>
      </c>
      <c r="X162" s="199">
        <f t="shared" si="149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184.0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0">C163/100</f>
        <v>0</v>
      </c>
      <c r="X163" s="199">
        <f t="shared" si="150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185.0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1">C164/100</f>
        <v>0</v>
      </c>
      <c r="X164" s="199">
        <f t="shared" si="151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186.0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2">C165/100</f>
        <v>0</v>
      </c>
      <c r="X165" s="199">
        <f t="shared" si="152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187.0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3">C166/100</f>
        <v>0</v>
      </c>
      <c r="X166" s="199">
        <f t="shared" si="153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188.0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4">C167/100</f>
        <v>0</v>
      </c>
      <c r="X167" s="199">
        <f t="shared" si="154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189.0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5">C168/100</f>
        <v>0</v>
      </c>
      <c r="X168" s="199">
        <f t="shared" si="155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190.0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6">C169/100</f>
        <v>0</v>
      </c>
      <c r="X169" s="199">
        <f t="shared" si="156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191.0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7">C170/100</f>
        <v>0</v>
      </c>
      <c r="X170" s="199">
        <f t="shared" si="157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192.0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8">C171/100</f>
        <v>0</v>
      </c>
      <c r="X171" s="199">
        <f t="shared" si="158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193.0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59">C172/100</f>
        <v>0</v>
      </c>
      <c r="X172" s="199">
        <f t="shared" si="159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194.0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0">C173/100</f>
        <v>0</v>
      </c>
      <c r="X173" s="199">
        <f t="shared" si="160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195.0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1">C174/100</f>
        <v>0</v>
      </c>
      <c r="X174" s="199">
        <f t="shared" si="161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196.0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2">C175/100</f>
        <v>0</v>
      </c>
      <c r="X175" s="199">
        <f t="shared" si="162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197.0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3">C176/100</f>
        <v>0</v>
      </c>
      <c r="X176" s="199">
        <f t="shared" si="163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198.0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4">C177/100</f>
        <v>0</v>
      </c>
      <c r="X177" s="199">
        <f t="shared" si="164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199.0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5">C178/100</f>
        <v>0</v>
      </c>
      <c r="X178" s="199">
        <f t="shared" si="165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2">
        <v>200.0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6">C179/100</f>
        <v>0</v>
      </c>
      <c r="X179" s="199">
        <f t="shared" si="166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2">
        <v>201.0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7">C180/100</f>
        <v>0</v>
      </c>
      <c r="X180" s="199">
        <f t="shared" si="167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2">
        <v>202.0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8">C181/100</f>
        <v>0</v>
      </c>
      <c r="X181" s="199">
        <f t="shared" si="168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2">
        <v>203.0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69">C182/100</f>
        <v>0</v>
      </c>
      <c r="X182" s="199">
        <f t="shared" si="169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2">
        <v>204.0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0">C183/100</f>
        <v>0</v>
      </c>
      <c r="X183" s="199">
        <f t="shared" si="170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2">
        <v>205.0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1">C184/100</f>
        <v>0</v>
      </c>
      <c r="X184" s="199">
        <f t="shared" si="171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2">
        <v>206.0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2">C185/100</f>
        <v>0</v>
      </c>
      <c r="X185" s="199">
        <f t="shared" si="172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2">
        <v>207.0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3">C186/100</f>
        <v>0</v>
      </c>
      <c r="X186" s="199">
        <f t="shared" si="173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2">
        <v>208.0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4">C187/100</f>
        <v>0</v>
      </c>
      <c r="X187" s="199">
        <f t="shared" si="174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2">
        <v>209.0</v>
      </c>
      <c r="B188" s="193"/>
      <c r="C188" s="193"/>
      <c r="D188" s="193"/>
      <c r="E188" s="193"/>
      <c r="F188" s="193">
        <f t="shared" si="5"/>
        <v>0</v>
      </c>
      <c r="G188" s="193">
        <f t="shared" si="6"/>
        <v>0</v>
      </c>
      <c r="H188" s="194">
        <f t="shared" si="7"/>
        <v>0</v>
      </c>
      <c r="I188" s="193"/>
      <c r="J188" s="195">
        <f t="shared" si="8"/>
        <v>0</v>
      </c>
      <c r="K188" s="139"/>
      <c r="L188" s="197"/>
      <c r="M188" s="198"/>
      <c r="N188" s="198"/>
      <c r="O188" s="139"/>
      <c r="P188" s="139"/>
      <c r="Q188" s="195"/>
      <c r="R188" s="141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5">C188/100</f>
        <v>0</v>
      </c>
      <c r="X188" s="199">
        <f t="shared" si="175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2">
        <v>210.0</v>
      </c>
      <c r="B189" s="193"/>
      <c r="C189" s="193"/>
      <c r="D189" s="193"/>
      <c r="E189" s="193"/>
      <c r="F189" s="193">
        <f t="shared" si="5"/>
        <v>0</v>
      </c>
      <c r="G189" s="193">
        <f t="shared" si="6"/>
        <v>0</v>
      </c>
      <c r="H189" s="194">
        <f t="shared" si="7"/>
        <v>0</v>
      </c>
      <c r="I189" s="193"/>
      <c r="J189" s="195">
        <f t="shared" si="8"/>
        <v>0</v>
      </c>
      <c r="K189" s="139"/>
      <c r="L189" s="197"/>
      <c r="M189" s="198"/>
      <c r="N189" s="198"/>
      <c r="O189" s="139"/>
      <c r="P189" s="139"/>
      <c r="Q189" s="195"/>
      <c r="R189" s="141"/>
      <c r="S189" s="199">
        <f t="shared" si="9"/>
        <v>0</v>
      </c>
      <c r="T189" s="200" t="str">
        <f t="shared" si="10"/>
        <v/>
      </c>
      <c r="U189" s="200">
        <f t="shared" si="11"/>
        <v>0</v>
      </c>
      <c r="V189" s="203"/>
      <c r="W189" s="199">
        <f t="shared" ref="W189:X189" si="176">C189/100</f>
        <v>0</v>
      </c>
      <c r="X189" s="199">
        <f t="shared" si="176"/>
        <v>0</v>
      </c>
      <c r="Y189" s="199">
        <f t="shared" si="14"/>
        <v>0</v>
      </c>
      <c r="Z189" s="202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2">
        <v>211.0</v>
      </c>
      <c r="B190" s="193"/>
      <c r="C190" s="193"/>
      <c r="D190" s="193"/>
      <c r="E190" s="193"/>
      <c r="F190" s="193">
        <f t="shared" si="5"/>
        <v>0</v>
      </c>
      <c r="G190" s="193">
        <f t="shared" si="6"/>
        <v>0</v>
      </c>
      <c r="H190" s="194">
        <f t="shared" si="7"/>
        <v>0</v>
      </c>
      <c r="I190" s="193"/>
      <c r="J190" s="195">
        <f t="shared" si="8"/>
        <v>0</v>
      </c>
      <c r="K190" s="139"/>
      <c r="L190" s="197"/>
      <c r="M190" s="198"/>
      <c r="N190" s="198"/>
      <c r="O190" s="139"/>
      <c r="P190" s="139"/>
      <c r="Q190" s="195"/>
      <c r="R190" s="141"/>
      <c r="S190" s="199">
        <f t="shared" si="9"/>
        <v>0</v>
      </c>
      <c r="T190" s="200" t="str">
        <f t="shared" si="10"/>
        <v/>
      </c>
      <c r="U190" s="200">
        <f t="shared" si="11"/>
        <v>0</v>
      </c>
      <c r="V190" s="203"/>
      <c r="W190" s="199">
        <f t="shared" ref="W190:X190" si="177">C190/100</f>
        <v>0</v>
      </c>
      <c r="X190" s="199">
        <f t="shared" si="177"/>
        <v>0</v>
      </c>
      <c r="Y190" s="199">
        <f t="shared" si="14"/>
        <v>0</v>
      </c>
      <c r="Z190" s="202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2">
        <v>212.0</v>
      </c>
      <c r="B191" s="193"/>
      <c r="C191" s="193"/>
      <c r="D191" s="193"/>
      <c r="E191" s="193"/>
      <c r="F191" s="193">
        <f t="shared" si="5"/>
        <v>0</v>
      </c>
      <c r="G191" s="193">
        <f t="shared" si="6"/>
        <v>0</v>
      </c>
      <c r="H191" s="194">
        <f t="shared" si="7"/>
        <v>0</v>
      </c>
      <c r="I191" s="193"/>
      <c r="J191" s="195">
        <f t="shared" si="8"/>
        <v>0</v>
      </c>
      <c r="K191" s="139"/>
      <c r="L191" s="197"/>
      <c r="M191" s="198"/>
      <c r="N191" s="198"/>
      <c r="O191" s="139"/>
      <c r="P191" s="139"/>
      <c r="Q191" s="195"/>
      <c r="R191" s="141"/>
      <c r="S191" s="199">
        <f t="shared" si="9"/>
        <v>0</v>
      </c>
      <c r="T191" s="200" t="str">
        <f t="shared" si="10"/>
        <v/>
      </c>
      <c r="U191" s="200">
        <f t="shared" si="11"/>
        <v>0</v>
      </c>
      <c r="V191" s="203"/>
      <c r="W191" s="199">
        <f t="shared" ref="W191:X191" si="178">C191/100</f>
        <v>0</v>
      </c>
      <c r="X191" s="199">
        <f t="shared" si="178"/>
        <v>0</v>
      </c>
      <c r="Y191" s="199">
        <f t="shared" si="14"/>
        <v>0</v>
      </c>
      <c r="Z191" s="202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2">
        <v>213.0</v>
      </c>
      <c r="B192" s="193"/>
      <c r="C192" s="193"/>
      <c r="D192" s="193"/>
      <c r="E192" s="193"/>
      <c r="F192" s="193">
        <f t="shared" si="5"/>
        <v>0</v>
      </c>
      <c r="G192" s="193">
        <f t="shared" si="6"/>
        <v>0</v>
      </c>
      <c r="H192" s="194">
        <f t="shared" si="7"/>
        <v>0</v>
      </c>
      <c r="I192" s="193"/>
      <c r="J192" s="195">
        <f t="shared" si="8"/>
        <v>0</v>
      </c>
      <c r="K192" s="139"/>
      <c r="L192" s="197"/>
      <c r="M192" s="198"/>
      <c r="N192" s="198"/>
      <c r="O192" s="139"/>
      <c r="P192" s="139"/>
      <c r="Q192" s="195"/>
      <c r="R192" s="141"/>
      <c r="S192" s="199">
        <f t="shared" si="9"/>
        <v>0</v>
      </c>
      <c r="T192" s="200" t="str">
        <f t="shared" si="10"/>
        <v/>
      </c>
      <c r="U192" s="200">
        <f t="shared" si="11"/>
        <v>0</v>
      </c>
      <c r="V192" s="203"/>
      <c r="W192" s="199">
        <f t="shared" ref="W192:X192" si="179">C192/100</f>
        <v>0</v>
      </c>
      <c r="X192" s="199">
        <f t="shared" si="179"/>
        <v>0</v>
      </c>
      <c r="Y192" s="199">
        <f t="shared" si="14"/>
        <v>0</v>
      </c>
      <c r="Z192" s="202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62">
        <v>214.0</v>
      </c>
      <c r="B193" s="193"/>
      <c r="C193" s="193"/>
      <c r="D193" s="193"/>
      <c r="E193" s="193"/>
      <c r="F193" s="193">
        <f t="shared" si="5"/>
        <v>0</v>
      </c>
      <c r="G193" s="193">
        <f t="shared" si="6"/>
        <v>0</v>
      </c>
      <c r="H193" s="194">
        <f t="shared" si="7"/>
        <v>0</v>
      </c>
      <c r="I193" s="193"/>
      <c r="J193" s="195">
        <f t="shared" si="8"/>
        <v>0</v>
      </c>
      <c r="K193" s="139"/>
      <c r="L193" s="197"/>
      <c r="M193" s="198"/>
      <c r="N193" s="198"/>
      <c r="O193" s="139"/>
      <c r="P193" s="139"/>
      <c r="Q193" s="195"/>
      <c r="R193" s="141"/>
      <c r="S193" s="199">
        <f t="shared" si="9"/>
        <v>0</v>
      </c>
      <c r="T193" s="200" t="str">
        <f t="shared" si="10"/>
        <v/>
      </c>
      <c r="U193" s="200">
        <f t="shared" si="11"/>
        <v>0</v>
      </c>
      <c r="V193" s="203"/>
      <c r="W193" s="199">
        <f t="shared" ref="W193:X193" si="180">C193/100</f>
        <v>0</v>
      </c>
      <c r="X193" s="199">
        <f t="shared" si="180"/>
        <v>0</v>
      </c>
      <c r="Y193" s="199">
        <f t="shared" si="14"/>
        <v>0</v>
      </c>
      <c r="Z193" s="202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62">
        <v>215.0</v>
      </c>
      <c r="B194" s="193"/>
      <c r="C194" s="193"/>
      <c r="D194" s="193"/>
      <c r="E194" s="193"/>
      <c r="F194" s="193">
        <f t="shared" si="5"/>
        <v>0</v>
      </c>
      <c r="G194" s="193">
        <f t="shared" si="6"/>
        <v>0</v>
      </c>
      <c r="H194" s="194">
        <f t="shared" si="7"/>
        <v>0</v>
      </c>
      <c r="I194" s="193"/>
      <c r="J194" s="195">
        <f t="shared" si="8"/>
        <v>0</v>
      </c>
      <c r="K194" s="139"/>
      <c r="L194" s="197"/>
      <c r="M194" s="198"/>
      <c r="N194" s="198"/>
      <c r="O194" s="139"/>
      <c r="P194" s="139"/>
      <c r="Q194" s="195"/>
      <c r="R194" s="141"/>
      <c r="S194" s="199">
        <f t="shared" si="9"/>
        <v>0</v>
      </c>
      <c r="T194" s="200" t="str">
        <f t="shared" si="10"/>
        <v/>
      </c>
      <c r="U194" s="200">
        <f t="shared" si="11"/>
        <v>0</v>
      </c>
      <c r="V194" s="203"/>
      <c r="W194" s="199">
        <f t="shared" ref="W194:X194" si="181">C194/100</f>
        <v>0</v>
      </c>
      <c r="X194" s="199">
        <f t="shared" si="181"/>
        <v>0</v>
      </c>
      <c r="Y194" s="199">
        <f t="shared" si="14"/>
        <v>0</v>
      </c>
      <c r="Z194" s="202">
        <f t="shared" si="15"/>
        <v>0</v>
      </c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62">
        <v>216.0</v>
      </c>
      <c r="B195" s="193"/>
      <c r="C195" s="193"/>
      <c r="D195" s="193"/>
      <c r="E195" s="193"/>
      <c r="F195" s="193">
        <f t="shared" si="5"/>
        <v>0</v>
      </c>
      <c r="G195" s="193">
        <f t="shared" si="6"/>
        <v>0</v>
      </c>
      <c r="H195" s="194">
        <f t="shared" si="7"/>
        <v>0</v>
      </c>
      <c r="I195" s="193"/>
      <c r="J195" s="195">
        <f t="shared" si="8"/>
        <v>0</v>
      </c>
      <c r="K195" s="139"/>
      <c r="L195" s="197"/>
      <c r="M195" s="198"/>
      <c r="N195" s="198"/>
      <c r="O195" s="139"/>
      <c r="P195" s="139"/>
      <c r="Q195" s="195"/>
      <c r="R195" s="141"/>
      <c r="S195" s="199">
        <f t="shared" si="9"/>
        <v>0</v>
      </c>
      <c r="T195" s="200" t="str">
        <f t="shared" si="10"/>
        <v/>
      </c>
      <c r="U195" s="200">
        <f t="shared" si="11"/>
        <v>0</v>
      </c>
      <c r="V195" s="203"/>
      <c r="W195" s="199">
        <f t="shared" ref="W195:X195" si="182">C195/100</f>
        <v>0</v>
      </c>
      <c r="X195" s="199">
        <f t="shared" si="182"/>
        <v>0</v>
      </c>
      <c r="Y195" s="199">
        <f t="shared" si="14"/>
        <v>0</v>
      </c>
      <c r="Z195" s="202">
        <f t="shared" si="15"/>
        <v>0</v>
      </c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62">
        <v>217.0</v>
      </c>
      <c r="B196" s="193"/>
      <c r="C196" s="193"/>
      <c r="D196" s="193"/>
      <c r="E196" s="193"/>
      <c r="F196" s="193">
        <f t="shared" si="5"/>
        <v>0</v>
      </c>
      <c r="G196" s="193">
        <f t="shared" si="6"/>
        <v>0</v>
      </c>
      <c r="H196" s="194">
        <f t="shared" si="7"/>
        <v>0</v>
      </c>
      <c r="I196" s="193"/>
      <c r="J196" s="195">
        <f t="shared" si="8"/>
        <v>0</v>
      </c>
      <c r="K196" s="139"/>
      <c r="L196" s="197"/>
      <c r="M196" s="198"/>
      <c r="N196" s="198"/>
      <c r="O196" s="139"/>
      <c r="P196" s="139"/>
      <c r="Q196" s="195"/>
      <c r="R196" s="141"/>
      <c r="S196" s="199">
        <f t="shared" si="9"/>
        <v>0</v>
      </c>
      <c r="T196" s="200" t="str">
        <f t="shared" si="10"/>
        <v/>
      </c>
      <c r="U196" s="200">
        <f t="shared" si="11"/>
        <v>0</v>
      </c>
      <c r="V196" s="203"/>
      <c r="W196" s="199">
        <f t="shared" ref="W196:X196" si="183">C196/100</f>
        <v>0</v>
      </c>
      <c r="X196" s="199">
        <f t="shared" si="183"/>
        <v>0</v>
      </c>
      <c r="Y196" s="199">
        <f t="shared" si="14"/>
        <v>0</v>
      </c>
      <c r="Z196" s="202">
        <f t="shared" si="15"/>
        <v>0</v>
      </c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customHeight="1">
      <c r="A197" s="162"/>
      <c r="B197" s="178"/>
      <c r="C197" s="178"/>
      <c r="D197" s="178"/>
      <c r="E197" s="178"/>
      <c r="F197" s="178"/>
      <c r="G197" s="178"/>
      <c r="H197" s="181"/>
      <c r="I197" s="162"/>
      <c r="J197" s="204">
        <f>+Q252</f>
        <v>185.2</v>
      </c>
      <c r="K197" s="139"/>
      <c r="L197" s="139"/>
      <c r="M197" s="139"/>
      <c r="N197" s="139"/>
      <c r="O197" s="139"/>
      <c r="P197" s="139"/>
      <c r="Q197" s="139"/>
      <c r="R197" s="205"/>
      <c r="S197" s="199">
        <f t="shared" si="9"/>
        <v>0</v>
      </c>
      <c r="T197" s="200" t="str">
        <f t="shared" si="10"/>
        <v/>
      </c>
      <c r="U197" s="200">
        <f t="shared" si="11"/>
        <v>0</v>
      </c>
      <c r="V197" s="203"/>
      <c r="W197" s="199">
        <f t="shared" ref="W197:X197" si="184">C197/100</f>
        <v>0</v>
      </c>
      <c r="X197" s="199">
        <f t="shared" si="184"/>
        <v>0</v>
      </c>
      <c r="Y197" s="199">
        <f t="shared" si="14"/>
        <v>0</v>
      </c>
      <c r="Z197" s="202">
        <f t="shared" si="15"/>
        <v>0</v>
      </c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customHeight="1">
      <c r="A198" s="162"/>
      <c r="B198" s="206"/>
      <c r="C198" s="206"/>
      <c r="D198" s="206"/>
      <c r="E198" s="206"/>
      <c r="F198" s="206"/>
      <c r="G198" s="206"/>
      <c r="H198" s="207"/>
      <c r="I198" s="208">
        <f>SUM(I30:I196)</f>
        <v>50</v>
      </c>
      <c r="J198" s="209">
        <f>SUM(J30:J197)</f>
        <v>55609.71205</v>
      </c>
      <c r="K198" s="210"/>
      <c r="L198" s="210"/>
      <c r="M198" s="210"/>
      <c r="N198" s="210"/>
      <c r="O198" s="210"/>
      <c r="P198" s="210"/>
      <c r="Q198" s="210"/>
      <c r="R198" s="141"/>
      <c r="S198" s="210">
        <f>SUMIFS($T$30:$T$196,$S$30:$S$196,"&gt;=3")</f>
        <v>32</v>
      </c>
      <c r="T198" s="210">
        <f t="shared" ref="T198:U198" si="185">SUM(T30:T196)</f>
        <v>50</v>
      </c>
      <c r="U198" s="210">
        <f t="shared" si="185"/>
        <v>943.98</v>
      </c>
      <c r="V198" s="210"/>
      <c r="W198" s="210"/>
      <c r="X198" s="210"/>
      <c r="Y198" s="210"/>
      <c r="Z198" s="211">
        <f>SUM(Z30:Z197)</f>
        <v>1883.170542</v>
      </c>
      <c r="AA198" s="210"/>
      <c r="AB198" s="210"/>
      <c r="AC198" s="210"/>
      <c r="AD198" s="210"/>
      <c r="AE198" s="210"/>
      <c r="AF198" s="210"/>
      <c r="AG198" s="210"/>
      <c r="AH198" s="210"/>
      <c r="AI198" s="210"/>
      <c r="AJ198" s="210"/>
      <c r="AK198" s="210"/>
      <c r="AL198" s="210"/>
      <c r="AM198" s="210"/>
      <c r="AN198" s="210"/>
      <c r="AO198" s="210"/>
      <c r="AP198" s="210"/>
      <c r="AQ198" s="210"/>
      <c r="AR198" s="210"/>
      <c r="AS198" s="210"/>
      <c r="AT198" s="210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41"/>
      <c r="S199" s="203"/>
      <c r="T199" s="139">
        <f>+T198-S198</f>
        <v>18</v>
      </c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9.25" customHeight="1">
      <c r="A200" s="139"/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205"/>
      <c r="S200" s="139"/>
      <c r="T200" s="139" t="s">
        <v>48</v>
      </c>
      <c r="U200" s="139" t="s">
        <v>68</v>
      </c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9.2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139" t="s">
        <v>31</v>
      </c>
      <c r="T201" s="212">
        <f>SUMIFS($J$30:$J$196,$S$30:$S$196,"&gt;=3")</f>
        <v>53708.5149</v>
      </c>
      <c r="U201" s="213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9.25" customHeight="1">
      <c r="A202" s="139" t="s">
        <v>32</v>
      </c>
      <c r="B202" s="139"/>
      <c r="C202" s="139"/>
      <c r="D202" s="139" t="s">
        <v>33</v>
      </c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139" t="s">
        <v>34</v>
      </c>
      <c r="T202" s="266">
        <f>J198-T201</f>
        <v>1901.197151</v>
      </c>
      <c r="U202" s="213">
        <f>+SUMIFS($U$30:$U$196,$S$30:$S$196,"&gt;=3")</f>
        <v>908.11</v>
      </c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9.2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05"/>
      <c r="S203" s="139"/>
      <c r="T203" s="214">
        <f>+I198</f>
        <v>50</v>
      </c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39.0" customHeight="1">
      <c r="A204" s="178"/>
      <c r="B204" s="162" t="s">
        <v>12</v>
      </c>
      <c r="C204" s="179" t="s">
        <v>69</v>
      </c>
      <c r="D204" s="52"/>
      <c r="E204" s="53"/>
      <c r="F204" s="180"/>
      <c r="G204" s="180"/>
      <c r="H204" s="181" t="s">
        <v>14</v>
      </c>
      <c r="I204" s="162" t="s">
        <v>15</v>
      </c>
      <c r="J204" s="162" t="s">
        <v>16</v>
      </c>
      <c r="K204" s="139"/>
      <c r="L204" s="139"/>
      <c r="M204" s="139"/>
      <c r="N204" s="139"/>
      <c r="O204" s="139"/>
      <c r="P204" s="139"/>
      <c r="Q204" s="139"/>
      <c r="R204" s="141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5">
        <v>1.0</v>
      </c>
      <c r="B205" s="215" t="s">
        <v>155</v>
      </c>
      <c r="C205" s="215">
        <v>86.0</v>
      </c>
      <c r="D205" s="215">
        <v>195.0</v>
      </c>
      <c r="E205" s="215">
        <v>185.0</v>
      </c>
      <c r="F205" s="215">
        <f t="shared" ref="F205:F212" si="186">1-VALUE(IF(RIGHT(B205, 1)="%", RIGHT(B205, 3), 0))</f>
        <v>0.2</v>
      </c>
      <c r="G205" s="215">
        <f t="shared" ref="G205:G212" si="187">+Q205*C205/100*D205/100*E205/100</f>
        <v>0</v>
      </c>
      <c r="H205" s="216">
        <f t="shared" ref="H205:H212" si="188">IF(F205=0, G205, F205*G205)</f>
        <v>0</v>
      </c>
      <c r="I205" s="215">
        <v>1.0</v>
      </c>
      <c r="J205" s="217">
        <v>93.07350000000001</v>
      </c>
      <c r="K205" s="139"/>
      <c r="L205" s="178">
        <f t="shared" ref="L205:L212" si="189">D205*25.4/1000</f>
        <v>4.953</v>
      </c>
      <c r="M205" s="162">
        <f t="shared" ref="M205:M209" si="190">+I205</f>
        <v>1</v>
      </c>
      <c r="N205" s="162">
        <f t="shared" ref="N205:N209" si="191">M205*L205</f>
        <v>4.953</v>
      </c>
      <c r="O205" s="139"/>
      <c r="P205" s="139"/>
      <c r="Q205" s="139"/>
      <c r="R205" s="141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5">
        <v>2.0</v>
      </c>
      <c r="B206" s="215" t="s">
        <v>63</v>
      </c>
      <c r="C206" s="215">
        <v>94.0</v>
      </c>
      <c r="D206" s="215">
        <v>184.0</v>
      </c>
      <c r="E206" s="215">
        <v>178.0</v>
      </c>
      <c r="F206" s="215">
        <f t="shared" si="186"/>
        <v>0.2</v>
      </c>
      <c r="G206" s="215">
        <f t="shared" si="187"/>
        <v>0</v>
      </c>
      <c r="H206" s="216">
        <f t="shared" si="188"/>
        <v>0</v>
      </c>
      <c r="I206" s="215">
        <v>1.0</v>
      </c>
      <c r="J206" s="217">
        <v>95.439328</v>
      </c>
      <c r="K206" s="139"/>
      <c r="L206" s="178">
        <f t="shared" si="189"/>
        <v>4.6736</v>
      </c>
      <c r="M206" s="162">
        <f t="shared" si="190"/>
        <v>1</v>
      </c>
      <c r="N206" s="162">
        <f t="shared" si="191"/>
        <v>4.6736</v>
      </c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5">
        <v>3.0</v>
      </c>
      <c r="B207" s="218" t="s">
        <v>98</v>
      </c>
      <c r="C207" s="218">
        <v>85.0</v>
      </c>
      <c r="D207" s="218">
        <v>203.0</v>
      </c>
      <c r="E207" s="218">
        <v>197.0</v>
      </c>
      <c r="F207" s="218">
        <f t="shared" si="186"/>
        <v>0.2</v>
      </c>
      <c r="G207" s="218">
        <f t="shared" si="187"/>
        <v>0</v>
      </c>
      <c r="H207" s="219">
        <f t="shared" si="188"/>
        <v>0</v>
      </c>
      <c r="I207" s="218">
        <v>1.0</v>
      </c>
      <c r="J207" s="195">
        <v>96.8781975</v>
      </c>
      <c r="K207" s="139"/>
      <c r="L207" s="178">
        <f t="shared" si="189"/>
        <v>5.1562</v>
      </c>
      <c r="M207" s="162">
        <f t="shared" si="190"/>
        <v>1</v>
      </c>
      <c r="N207" s="162">
        <f t="shared" si="191"/>
        <v>5.1562</v>
      </c>
      <c r="O207" s="139"/>
      <c r="P207" s="139"/>
      <c r="Q207" s="139"/>
      <c r="R207" s="139"/>
      <c r="S207" s="220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5">
        <v>4.0</v>
      </c>
      <c r="B208" s="218" t="s">
        <v>85</v>
      </c>
      <c r="C208" s="218">
        <v>83.0</v>
      </c>
      <c r="D208" s="218">
        <v>204.0</v>
      </c>
      <c r="E208" s="218">
        <v>185.0</v>
      </c>
      <c r="F208" s="218">
        <f t="shared" si="186"/>
        <v>0.2</v>
      </c>
      <c r="G208" s="218">
        <f t="shared" si="187"/>
        <v>0</v>
      </c>
      <c r="H208" s="219">
        <f t="shared" si="188"/>
        <v>0</v>
      </c>
      <c r="I208" s="218">
        <v>1.0</v>
      </c>
      <c r="J208" s="195">
        <v>78.31049999999999</v>
      </c>
      <c r="K208" s="139"/>
      <c r="L208" s="178">
        <f t="shared" si="189"/>
        <v>5.1816</v>
      </c>
      <c r="M208" s="162">
        <f t="shared" si="190"/>
        <v>1</v>
      </c>
      <c r="N208" s="162">
        <f t="shared" si="191"/>
        <v>5.1816</v>
      </c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customHeight="1">
      <c r="A209" s="155">
        <v>5.0</v>
      </c>
      <c r="B209" s="218" t="s">
        <v>140</v>
      </c>
      <c r="C209" s="218">
        <v>73.0</v>
      </c>
      <c r="D209" s="218">
        <v>203.0</v>
      </c>
      <c r="E209" s="218">
        <v>205.0</v>
      </c>
      <c r="F209" s="218">
        <f t="shared" si="186"/>
        <v>0.2</v>
      </c>
      <c r="G209" s="218">
        <f t="shared" si="187"/>
        <v>0</v>
      </c>
      <c r="H209" s="219">
        <f t="shared" si="188"/>
        <v>0</v>
      </c>
      <c r="I209" s="218">
        <v>1.0</v>
      </c>
      <c r="J209" s="195">
        <v>121.5158</v>
      </c>
      <c r="K209" s="139"/>
      <c r="L209" s="178">
        <f t="shared" si="189"/>
        <v>5.1562</v>
      </c>
      <c r="M209" s="162">
        <f t="shared" si="190"/>
        <v>1</v>
      </c>
      <c r="N209" s="162">
        <f t="shared" si="191"/>
        <v>5.1562</v>
      </c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customHeight="1">
      <c r="A210" s="155">
        <v>6.0</v>
      </c>
      <c r="B210" s="218" t="s">
        <v>151</v>
      </c>
      <c r="C210" s="218">
        <v>82.0</v>
      </c>
      <c r="D210" s="218">
        <v>194.0</v>
      </c>
      <c r="E210" s="218">
        <v>190.0</v>
      </c>
      <c r="F210" s="218">
        <f t="shared" si="186"/>
        <v>0.2</v>
      </c>
      <c r="G210" s="218">
        <f t="shared" si="187"/>
        <v>0</v>
      </c>
      <c r="H210" s="219">
        <f t="shared" si="188"/>
        <v>0</v>
      </c>
      <c r="I210" s="218">
        <v>1.0</v>
      </c>
      <c r="J210" s="195">
        <v>89.16434000000001</v>
      </c>
      <c r="K210" s="139"/>
      <c r="L210" s="139">
        <f t="shared" si="189"/>
        <v>4.9276</v>
      </c>
      <c r="M210" s="221"/>
      <c r="N210" s="221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customHeight="1">
      <c r="A211" s="155">
        <v>7.0</v>
      </c>
      <c r="B211" s="218" t="s">
        <v>109</v>
      </c>
      <c r="C211" s="218">
        <v>74.0</v>
      </c>
      <c r="D211" s="218">
        <v>216.0</v>
      </c>
      <c r="E211" s="218">
        <v>195.0</v>
      </c>
      <c r="F211" s="218">
        <f t="shared" si="186"/>
        <v>0.2</v>
      </c>
      <c r="G211" s="218">
        <f t="shared" si="187"/>
        <v>0</v>
      </c>
      <c r="H211" s="219">
        <f t="shared" si="188"/>
        <v>0</v>
      </c>
      <c r="I211" s="218">
        <v>1.0</v>
      </c>
      <c r="J211" s="195">
        <v>67.01292000000001</v>
      </c>
      <c r="K211" s="139"/>
      <c r="L211" s="139">
        <f t="shared" si="189"/>
        <v>5.4864</v>
      </c>
      <c r="M211" s="221"/>
      <c r="N211" s="221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customHeight="1">
      <c r="A212" s="155">
        <v>8.0</v>
      </c>
      <c r="B212" s="218" t="s">
        <v>94</v>
      </c>
      <c r="C212" s="218">
        <v>85.0</v>
      </c>
      <c r="D212" s="218">
        <v>218.0</v>
      </c>
      <c r="E212" s="218">
        <v>206.0</v>
      </c>
      <c r="F212" s="218">
        <f t="shared" si="186"/>
        <v>0.2</v>
      </c>
      <c r="G212" s="218">
        <f t="shared" si="187"/>
        <v>0</v>
      </c>
      <c r="H212" s="219">
        <f t="shared" si="188"/>
        <v>0</v>
      </c>
      <c r="I212" s="218">
        <v>1.0</v>
      </c>
      <c r="J212" s="195">
        <v>112.60680999999998</v>
      </c>
      <c r="K212" s="139"/>
      <c r="L212" s="139">
        <f t="shared" si="189"/>
        <v>5.5372</v>
      </c>
      <c r="M212" s="221"/>
      <c r="N212" s="221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/>
      <c r="B213" s="197"/>
      <c r="C213" s="197"/>
      <c r="D213" s="197"/>
      <c r="E213" s="197"/>
      <c r="F213" s="197"/>
      <c r="G213" s="197"/>
      <c r="H213" s="222" t="s">
        <v>38</v>
      </c>
      <c r="I213" s="197"/>
      <c r="J213" s="223">
        <f>SUM(J205:J212)</f>
        <v>754.0013955</v>
      </c>
      <c r="K213" s="139"/>
      <c r="L213" s="139"/>
      <c r="M213" s="139"/>
      <c r="N213" s="139"/>
      <c r="O213" s="139"/>
      <c r="P213" s="139"/>
      <c r="Q213" s="139"/>
      <c r="R213" s="141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76"/>
      <c r="B214" s="144"/>
      <c r="C214" s="144"/>
      <c r="D214" s="144"/>
      <c r="E214" s="144"/>
      <c r="F214" s="144"/>
      <c r="G214" s="144"/>
      <c r="H214" s="145"/>
      <c r="I214" s="144"/>
      <c r="J214" s="177"/>
      <c r="K214" s="139"/>
      <c r="L214" s="139"/>
      <c r="M214" s="139"/>
      <c r="N214" s="139"/>
      <c r="O214" s="139"/>
      <c r="P214" s="139"/>
      <c r="Q214" s="139"/>
      <c r="R214" s="141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41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24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18.75" customHeight="1">
      <c r="A217" s="139" t="s">
        <v>39</v>
      </c>
      <c r="B217" s="139"/>
      <c r="C217" s="139"/>
      <c r="D217" s="139"/>
      <c r="E217" s="139"/>
      <c r="F217" s="139"/>
      <c r="G217" s="139"/>
      <c r="H217" s="140"/>
      <c r="I217" s="139"/>
      <c r="J217" s="139"/>
      <c r="K217" s="139"/>
      <c r="L217" s="139"/>
      <c r="M217" s="139"/>
      <c r="N217" s="139"/>
      <c r="O217" s="139"/>
      <c r="P217" s="139"/>
      <c r="Q217" s="139"/>
      <c r="R217" s="224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139"/>
      <c r="B218" s="139"/>
      <c r="C218" s="139"/>
      <c r="D218" s="139"/>
      <c r="E218" s="139"/>
      <c r="F218" s="139"/>
      <c r="G218" s="139"/>
      <c r="H218" s="140"/>
      <c r="I218" s="139"/>
      <c r="J218" s="139"/>
      <c r="K218" s="139"/>
      <c r="L218" s="139"/>
      <c r="M218" s="139"/>
      <c r="N218" s="139"/>
      <c r="O218" s="139"/>
      <c r="P218" s="139"/>
      <c r="Q218" s="139"/>
      <c r="R218" s="224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42.0" customHeight="1">
      <c r="A219" s="178"/>
      <c r="B219" s="162" t="s">
        <v>12</v>
      </c>
      <c r="C219" s="179" t="s">
        <v>75</v>
      </c>
      <c r="D219" s="52"/>
      <c r="E219" s="53"/>
      <c r="F219" s="225"/>
      <c r="G219" s="225"/>
      <c r="H219" s="181" t="s">
        <v>14</v>
      </c>
      <c r="I219" s="226" t="s">
        <v>15</v>
      </c>
      <c r="J219" s="162" t="s">
        <v>16</v>
      </c>
      <c r="K219" s="139"/>
      <c r="L219" s="139"/>
      <c r="M219" s="139"/>
      <c r="N219" s="139"/>
      <c r="O219" s="139"/>
      <c r="P219" s="139"/>
      <c r="Q219" s="139"/>
      <c r="R219" s="224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customHeight="1">
      <c r="A220" s="162">
        <v>1.0</v>
      </c>
      <c r="B220" s="183" t="s">
        <v>55</v>
      </c>
      <c r="C220" s="200"/>
      <c r="D220" s="200"/>
      <c r="E220" s="200"/>
      <c r="F220" s="200"/>
      <c r="G220" s="200"/>
      <c r="H220" s="227">
        <v>33.0</v>
      </c>
      <c r="I220" s="200">
        <v>1.0</v>
      </c>
      <c r="J220" s="195">
        <f t="shared" ref="J220:J250" si="192">+I220*H220</f>
        <v>33</v>
      </c>
      <c r="K220" s="178"/>
      <c r="L220" s="178"/>
      <c r="M220" s="178"/>
      <c r="N220" s="178"/>
      <c r="O220" s="178"/>
      <c r="P220" s="178"/>
      <c r="Q220" s="228"/>
      <c r="R220" s="224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customHeight="1">
      <c r="A221" s="162">
        <v>2.0</v>
      </c>
      <c r="B221" s="193" t="s">
        <v>55</v>
      </c>
      <c r="C221" s="200"/>
      <c r="D221" s="200"/>
      <c r="E221" s="200"/>
      <c r="F221" s="200"/>
      <c r="G221" s="200"/>
      <c r="H221" s="227">
        <v>26.0</v>
      </c>
      <c r="I221" s="200">
        <v>1.0</v>
      </c>
      <c r="J221" s="195">
        <f t="shared" si="192"/>
        <v>26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customHeight="1">
      <c r="A222" s="162">
        <v>3.0</v>
      </c>
      <c r="B222" s="183" t="s">
        <v>55</v>
      </c>
      <c r="C222" s="200"/>
      <c r="D222" s="200"/>
      <c r="E222" s="200"/>
      <c r="F222" s="200"/>
      <c r="G222" s="200"/>
      <c r="H222" s="227">
        <v>31.0</v>
      </c>
      <c r="I222" s="200">
        <v>1.0</v>
      </c>
      <c r="J222" s="195">
        <f t="shared" si="192"/>
        <v>31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customHeight="1">
      <c r="A223" s="162">
        <v>4.0</v>
      </c>
      <c r="B223" s="193" t="s">
        <v>55</v>
      </c>
      <c r="C223" s="200"/>
      <c r="D223" s="200"/>
      <c r="E223" s="200"/>
      <c r="F223" s="200"/>
      <c r="G223" s="200"/>
      <c r="H223" s="227">
        <v>29.0</v>
      </c>
      <c r="I223" s="200">
        <v>1.0</v>
      </c>
      <c r="J223" s="195">
        <f t="shared" si="192"/>
        <v>29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customHeight="1">
      <c r="A224" s="162">
        <v>5.0</v>
      </c>
      <c r="B224" s="183" t="s">
        <v>92</v>
      </c>
      <c r="C224" s="200"/>
      <c r="D224" s="200"/>
      <c r="E224" s="200"/>
      <c r="F224" s="200"/>
      <c r="G224" s="200"/>
      <c r="H224" s="227">
        <v>32.0</v>
      </c>
      <c r="I224" s="200">
        <v>1.0</v>
      </c>
      <c r="J224" s="195">
        <f t="shared" si="192"/>
        <v>32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2">
        <v>6.0</v>
      </c>
      <c r="B225" s="193" t="s">
        <v>92</v>
      </c>
      <c r="C225" s="200"/>
      <c r="D225" s="200"/>
      <c r="E225" s="200"/>
      <c r="F225" s="200"/>
      <c r="G225" s="200"/>
      <c r="H225" s="227">
        <v>27.0</v>
      </c>
      <c r="I225" s="200">
        <v>1.0</v>
      </c>
      <c r="J225" s="195">
        <f t="shared" si="192"/>
        <v>27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2">
        <v>7.0</v>
      </c>
      <c r="B226" s="183" t="s">
        <v>78</v>
      </c>
      <c r="C226" s="200"/>
      <c r="D226" s="200"/>
      <c r="E226" s="200"/>
      <c r="F226" s="200"/>
      <c r="G226" s="200"/>
      <c r="H226" s="227">
        <v>35.0</v>
      </c>
      <c r="I226" s="200">
        <v>1.0</v>
      </c>
      <c r="J226" s="195">
        <f t="shared" si="192"/>
        <v>35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2">
        <v>8.0</v>
      </c>
      <c r="B227" s="193" t="s">
        <v>78</v>
      </c>
      <c r="C227" s="200"/>
      <c r="D227" s="200"/>
      <c r="E227" s="200"/>
      <c r="F227" s="200"/>
      <c r="G227" s="200"/>
      <c r="H227" s="227">
        <v>16.0</v>
      </c>
      <c r="I227" s="200">
        <v>1.0</v>
      </c>
      <c r="J227" s="195">
        <f t="shared" si="192"/>
        <v>16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2">
        <v>9.0</v>
      </c>
      <c r="B228" s="183" t="s">
        <v>138</v>
      </c>
      <c r="C228" s="200"/>
      <c r="D228" s="200"/>
      <c r="E228" s="200"/>
      <c r="F228" s="200"/>
      <c r="G228" s="200"/>
      <c r="H228" s="227">
        <v>37.0</v>
      </c>
      <c r="I228" s="200">
        <v>1.0</v>
      </c>
      <c r="J228" s="195">
        <f t="shared" si="192"/>
        <v>37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2">
        <v>10.0</v>
      </c>
      <c r="B229" s="193" t="s">
        <v>138</v>
      </c>
      <c r="C229" s="200"/>
      <c r="D229" s="200"/>
      <c r="E229" s="200"/>
      <c r="F229" s="200"/>
      <c r="G229" s="200"/>
      <c r="H229" s="227">
        <v>25.0</v>
      </c>
      <c r="I229" s="200">
        <v>1.0</v>
      </c>
      <c r="J229" s="195">
        <f t="shared" si="192"/>
        <v>25</v>
      </c>
      <c r="K229" s="178"/>
      <c r="L229" s="178"/>
      <c r="M229" s="178"/>
      <c r="N229" s="178"/>
      <c r="O229" s="178"/>
      <c r="P229" s="178"/>
      <c r="Q229" s="228"/>
      <c r="R229" s="224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2">
        <v>11.0</v>
      </c>
      <c r="B230" s="183" t="s">
        <v>149</v>
      </c>
      <c r="C230" s="200"/>
      <c r="D230" s="200"/>
      <c r="E230" s="200"/>
      <c r="F230" s="200"/>
      <c r="G230" s="200"/>
      <c r="H230" s="227">
        <v>35.0</v>
      </c>
      <c r="I230" s="200">
        <v>1.0</v>
      </c>
      <c r="J230" s="195">
        <f t="shared" si="192"/>
        <v>35</v>
      </c>
      <c r="K230" s="178"/>
      <c r="L230" s="178"/>
      <c r="M230" s="178"/>
      <c r="N230" s="178"/>
      <c r="O230" s="178"/>
      <c r="P230" s="178"/>
      <c r="Q230" s="228"/>
      <c r="R230" s="224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2">
        <v>12.0</v>
      </c>
      <c r="B231" s="193" t="s">
        <v>149</v>
      </c>
      <c r="C231" s="200"/>
      <c r="D231" s="200"/>
      <c r="E231" s="200"/>
      <c r="F231" s="200"/>
      <c r="G231" s="200"/>
      <c r="H231" s="227">
        <v>19.0</v>
      </c>
      <c r="I231" s="200">
        <v>1.0</v>
      </c>
      <c r="J231" s="195">
        <f t="shared" si="192"/>
        <v>19</v>
      </c>
      <c r="K231" s="178"/>
      <c r="L231" s="178"/>
      <c r="M231" s="178"/>
      <c r="N231" s="178"/>
      <c r="O231" s="178"/>
      <c r="P231" s="178"/>
      <c r="Q231" s="228"/>
      <c r="R231" s="224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2">
        <v>13.0</v>
      </c>
      <c r="B232" s="183" t="s">
        <v>105</v>
      </c>
      <c r="C232" s="200"/>
      <c r="D232" s="200"/>
      <c r="E232" s="200"/>
      <c r="F232" s="200"/>
      <c r="G232" s="200"/>
      <c r="H232" s="227">
        <v>24.0</v>
      </c>
      <c r="I232" s="200">
        <v>1.0</v>
      </c>
      <c r="J232" s="195">
        <f t="shared" si="192"/>
        <v>24</v>
      </c>
      <c r="K232" s="178"/>
      <c r="L232" s="178"/>
      <c r="M232" s="178"/>
      <c r="N232" s="178"/>
      <c r="O232" s="178"/>
      <c r="P232" s="178"/>
      <c r="Q232" s="228"/>
      <c r="R232" s="224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2">
        <v>14.0</v>
      </c>
      <c r="B233" s="193" t="s">
        <v>105</v>
      </c>
      <c r="C233" s="200"/>
      <c r="D233" s="200"/>
      <c r="E233" s="200"/>
      <c r="F233" s="200"/>
      <c r="G233" s="200"/>
      <c r="H233" s="227">
        <v>23.0</v>
      </c>
      <c r="I233" s="200">
        <v>1.0</v>
      </c>
      <c r="J233" s="195">
        <f t="shared" si="192"/>
        <v>23</v>
      </c>
      <c r="K233" s="178"/>
      <c r="L233" s="178"/>
      <c r="M233" s="178"/>
      <c r="N233" s="178"/>
      <c r="O233" s="178"/>
      <c r="P233" s="178"/>
      <c r="Q233" s="228"/>
      <c r="R233" s="224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2">
        <v>15.0</v>
      </c>
      <c r="B234" s="183" t="s">
        <v>57</v>
      </c>
      <c r="C234" s="200"/>
      <c r="D234" s="200"/>
      <c r="E234" s="200"/>
      <c r="F234" s="200"/>
      <c r="G234" s="200"/>
      <c r="H234" s="227">
        <v>39.0</v>
      </c>
      <c r="I234" s="200">
        <v>1.0</v>
      </c>
      <c r="J234" s="195">
        <f t="shared" si="192"/>
        <v>39</v>
      </c>
      <c r="K234" s="178"/>
      <c r="L234" s="178"/>
      <c r="M234" s="178"/>
      <c r="N234" s="178"/>
      <c r="O234" s="178"/>
      <c r="P234" s="178"/>
      <c r="Q234" s="228"/>
      <c r="R234" s="224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2">
        <v>16.0</v>
      </c>
      <c r="B235" s="193" t="s">
        <v>57</v>
      </c>
      <c r="C235" s="200"/>
      <c r="D235" s="200"/>
      <c r="E235" s="200"/>
      <c r="F235" s="200"/>
      <c r="G235" s="200"/>
      <c r="H235" s="227">
        <v>32.0</v>
      </c>
      <c r="I235" s="200">
        <v>1.0</v>
      </c>
      <c r="J235" s="195">
        <f t="shared" si="192"/>
        <v>32</v>
      </c>
      <c r="K235" s="178"/>
      <c r="L235" s="178"/>
      <c r="M235" s="178"/>
      <c r="N235" s="178"/>
      <c r="O235" s="178"/>
      <c r="P235" s="178"/>
      <c r="Q235" s="228"/>
      <c r="R235" s="224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hidden="1" customHeight="1">
      <c r="A236" s="162">
        <v>21.0</v>
      </c>
      <c r="B236" s="229"/>
      <c r="C236" s="200"/>
      <c r="D236" s="200"/>
      <c r="E236" s="200"/>
      <c r="F236" s="200"/>
      <c r="G236" s="200"/>
      <c r="H236" s="227"/>
      <c r="I236" s="200"/>
      <c r="J236" s="195">
        <f t="shared" si="192"/>
        <v>0</v>
      </c>
      <c r="K236" s="178"/>
      <c r="L236" s="178"/>
      <c r="M236" s="178"/>
      <c r="N236" s="178"/>
      <c r="O236" s="178"/>
      <c r="P236" s="178"/>
      <c r="Q236" s="228"/>
      <c r="R236" s="224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hidden="1" customHeight="1">
      <c r="A237" s="162">
        <v>22.0</v>
      </c>
      <c r="B237" s="229"/>
      <c r="C237" s="200"/>
      <c r="D237" s="200"/>
      <c r="E237" s="200"/>
      <c r="F237" s="200"/>
      <c r="G237" s="200"/>
      <c r="H237" s="227"/>
      <c r="I237" s="200"/>
      <c r="J237" s="195">
        <f t="shared" si="192"/>
        <v>0</v>
      </c>
      <c r="K237" s="178"/>
      <c r="L237" s="178"/>
      <c r="M237" s="178"/>
      <c r="N237" s="178"/>
      <c r="O237" s="178"/>
      <c r="P237" s="178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hidden="1" customHeight="1">
      <c r="A238" s="162">
        <v>23.0</v>
      </c>
      <c r="B238" s="229"/>
      <c r="C238" s="200"/>
      <c r="D238" s="200"/>
      <c r="E238" s="200"/>
      <c r="F238" s="200"/>
      <c r="G238" s="200"/>
      <c r="H238" s="227"/>
      <c r="I238" s="200"/>
      <c r="J238" s="195">
        <f t="shared" si="192"/>
        <v>0</v>
      </c>
      <c r="K238" s="178"/>
      <c r="L238" s="178"/>
      <c r="M238" s="178"/>
      <c r="N238" s="178"/>
      <c r="O238" s="178"/>
      <c r="P238" s="178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hidden="1" customHeight="1">
      <c r="A239" s="162">
        <v>24.0</v>
      </c>
      <c r="B239" s="229"/>
      <c r="C239" s="200"/>
      <c r="D239" s="200"/>
      <c r="E239" s="200"/>
      <c r="F239" s="200"/>
      <c r="G239" s="200"/>
      <c r="H239" s="227"/>
      <c r="I239" s="200"/>
      <c r="J239" s="195">
        <f t="shared" si="192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hidden="1" customHeight="1">
      <c r="A240" s="162">
        <v>25.0</v>
      </c>
      <c r="B240" s="229"/>
      <c r="C240" s="200"/>
      <c r="D240" s="200"/>
      <c r="E240" s="200"/>
      <c r="F240" s="200"/>
      <c r="G240" s="200"/>
      <c r="H240" s="227"/>
      <c r="I240" s="200"/>
      <c r="J240" s="195">
        <f t="shared" si="192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2">
        <v>26.0</v>
      </c>
      <c r="B241" s="229"/>
      <c r="C241" s="200"/>
      <c r="D241" s="200"/>
      <c r="E241" s="200"/>
      <c r="F241" s="200"/>
      <c r="G241" s="200"/>
      <c r="H241" s="227"/>
      <c r="I241" s="200"/>
      <c r="J241" s="195">
        <f t="shared" si="192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2">
        <v>27.0</v>
      </c>
      <c r="B242" s="229"/>
      <c r="C242" s="200"/>
      <c r="D242" s="200"/>
      <c r="E242" s="200"/>
      <c r="F242" s="200"/>
      <c r="G242" s="200"/>
      <c r="H242" s="200"/>
      <c r="I242" s="200"/>
      <c r="J242" s="195">
        <f t="shared" si="192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2">
        <v>28.0</v>
      </c>
      <c r="B243" s="229"/>
      <c r="C243" s="200"/>
      <c r="D243" s="200"/>
      <c r="E243" s="200"/>
      <c r="F243" s="200"/>
      <c r="G243" s="200"/>
      <c r="H243" s="200"/>
      <c r="I243" s="200"/>
      <c r="J243" s="195">
        <f t="shared" si="192"/>
        <v>0</v>
      </c>
      <c r="K243" s="178"/>
      <c r="L243" s="178"/>
      <c r="M243" s="178"/>
      <c r="N243" s="178"/>
      <c r="O243" s="178"/>
      <c r="P243" s="178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2">
        <v>29.0</v>
      </c>
      <c r="B244" s="230"/>
      <c r="C244" s="200"/>
      <c r="D244" s="200"/>
      <c r="E244" s="200"/>
      <c r="F244" s="200"/>
      <c r="G244" s="200"/>
      <c r="H244" s="200"/>
      <c r="I244" s="200"/>
      <c r="J244" s="195">
        <f t="shared" si="192"/>
        <v>0</v>
      </c>
      <c r="K244" s="178"/>
      <c r="L244" s="178"/>
      <c r="M244" s="178"/>
      <c r="N244" s="178"/>
      <c r="O244" s="178"/>
      <c r="P244" s="178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2">
        <v>30.0</v>
      </c>
      <c r="B245" s="230"/>
      <c r="C245" s="200"/>
      <c r="D245" s="200"/>
      <c r="E245" s="200"/>
      <c r="F245" s="200"/>
      <c r="G245" s="200"/>
      <c r="H245" s="227"/>
      <c r="I245" s="200"/>
      <c r="J245" s="195">
        <f t="shared" si="192"/>
        <v>0</v>
      </c>
      <c r="K245" s="178"/>
      <c r="L245" s="178"/>
      <c r="M245" s="178"/>
      <c r="N245" s="178"/>
      <c r="O245" s="178"/>
      <c r="P245" s="178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2">
        <v>31.0</v>
      </c>
      <c r="B246" s="218"/>
      <c r="C246" s="200"/>
      <c r="D246" s="200"/>
      <c r="E246" s="200"/>
      <c r="F246" s="200"/>
      <c r="G246" s="200"/>
      <c r="H246" s="227"/>
      <c r="I246" s="200"/>
      <c r="J246" s="195">
        <f t="shared" si="192"/>
        <v>0</v>
      </c>
      <c r="K246" s="178"/>
      <c r="L246" s="178"/>
      <c r="M246" s="178"/>
      <c r="N246" s="178"/>
      <c r="O246" s="178"/>
      <c r="P246" s="178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2">
        <v>32.0</v>
      </c>
      <c r="B247" s="218"/>
      <c r="C247" s="162"/>
      <c r="D247" s="162"/>
      <c r="E247" s="162"/>
      <c r="F247" s="162"/>
      <c r="G247" s="162"/>
      <c r="H247" s="162"/>
      <c r="I247" s="162"/>
      <c r="J247" s="195">
        <f t="shared" si="192"/>
        <v>0</v>
      </c>
      <c r="K247" s="178"/>
      <c r="L247" s="178"/>
      <c r="M247" s="178"/>
      <c r="N247" s="178"/>
      <c r="O247" s="178"/>
      <c r="P247" s="178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2">
        <v>33.0</v>
      </c>
      <c r="B248" s="230"/>
      <c r="C248" s="162"/>
      <c r="D248" s="162"/>
      <c r="E248" s="162"/>
      <c r="F248" s="162"/>
      <c r="G248" s="162"/>
      <c r="H248" s="162"/>
      <c r="I248" s="162"/>
      <c r="J248" s="195">
        <f t="shared" si="192"/>
        <v>0</v>
      </c>
      <c r="K248" s="178"/>
      <c r="L248" s="178"/>
      <c r="M248" s="178"/>
      <c r="N248" s="178"/>
      <c r="O248" s="178"/>
      <c r="P248" s="178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2">
        <v>34.0</v>
      </c>
      <c r="B249" s="231"/>
      <c r="C249" s="162"/>
      <c r="D249" s="162"/>
      <c r="E249" s="162"/>
      <c r="F249" s="162"/>
      <c r="G249" s="162"/>
      <c r="H249" s="162"/>
      <c r="I249" s="162"/>
      <c r="J249" s="195">
        <f t="shared" si="192"/>
        <v>0</v>
      </c>
      <c r="K249" s="178"/>
      <c r="L249" s="178"/>
      <c r="M249" s="178"/>
      <c r="N249" s="178"/>
      <c r="O249" s="178"/>
      <c r="P249" s="178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2">
        <v>35.0</v>
      </c>
      <c r="B250" s="232"/>
      <c r="C250" s="162"/>
      <c r="D250" s="162"/>
      <c r="E250" s="162"/>
      <c r="F250" s="162"/>
      <c r="G250" s="162"/>
      <c r="H250" s="162"/>
      <c r="I250" s="162"/>
      <c r="J250" s="195">
        <f t="shared" si="192"/>
        <v>0</v>
      </c>
      <c r="K250" s="178"/>
      <c r="L250" s="178"/>
      <c r="M250" s="178"/>
      <c r="N250" s="178"/>
      <c r="O250" s="178"/>
      <c r="P250" s="178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18.75" customHeight="1">
      <c r="A251" s="139"/>
      <c r="B251" s="139"/>
      <c r="C251" s="139"/>
      <c r="D251" s="139"/>
      <c r="E251" s="139"/>
      <c r="F251" s="139"/>
      <c r="G251" s="139"/>
      <c r="H251" s="140" t="s">
        <v>38</v>
      </c>
      <c r="I251" s="139"/>
      <c r="J251" s="233">
        <f>SUM(J220:J250)</f>
        <v>463</v>
      </c>
      <c r="K251" s="234"/>
      <c r="L251" s="234"/>
      <c r="M251" s="234"/>
      <c r="N251" s="234"/>
      <c r="O251" s="234"/>
      <c r="P251" s="234"/>
      <c r="Q251" s="234"/>
      <c r="R251" s="139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18.75" customHeight="1">
      <c r="A252" s="144"/>
      <c r="B252" s="144"/>
      <c r="C252" s="144"/>
      <c r="D252" s="144"/>
      <c r="E252" s="144"/>
      <c r="F252" s="144"/>
      <c r="G252" s="144"/>
      <c r="H252" s="145"/>
      <c r="I252" s="175"/>
      <c r="J252" s="206">
        <f>+J251*60%</f>
        <v>277.8</v>
      </c>
      <c r="K252" s="206"/>
      <c r="L252" s="206"/>
      <c r="M252" s="206"/>
      <c r="N252" s="206"/>
      <c r="O252" s="206"/>
      <c r="P252" s="206"/>
      <c r="Q252" s="206">
        <f>+J251*40%</f>
        <v>185.2</v>
      </c>
      <c r="R252" s="139"/>
      <c r="S252" s="224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18.75" customHeight="1">
      <c r="A253" s="139"/>
      <c r="B253" s="139"/>
      <c r="C253" s="139"/>
      <c r="D253" s="139"/>
      <c r="E253" s="139"/>
      <c r="F253" s="139"/>
      <c r="G253" s="139"/>
      <c r="H253" s="140"/>
      <c r="I253" s="139"/>
      <c r="J253" s="139"/>
      <c r="K253" s="139"/>
      <c r="L253" s="139"/>
      <c r="M253" s="139"/>
      <c r="N253" s="139"/>
      <c r="O253" s="139"/>
      <c r="P253" s="139"/>
      <c r="Q253" s="139"/>
      <c r="R253" s="139"/>
      <c r="S253" s="224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18.75" customHeight="1">
      <c r="A254" s="139"/>
      <c r="B254" s="139"/>
      <c r="C254" s="139"/>
      <c r="D254" s="139"/>
      <c r="E254" s="139"/>
      <c r="F254" s="139"/>
      <c r="G254" s="139"/>
      <c r="H254" s="140"/>
      <c r="I254" s="139"/>
      <c r="J254" s="139"/>
      <c r="K254" s="139"/>
      <c r="L254" s="139"/>
      <c r="M254" s="139"/>
      <c r="N254" s="139"/>
      <c r="O254" s="139"/>
      <c r="P254" s="139"/>
      <c r="Q254" s="139"/>
      <c r="R254" s="139"/>
      <c r="S254" s="224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19.5" customHeight="1">
      <c r="A255" s="235" t="s">
        <v>41</v>
      </c>
      <c r="B255" s="139"/>
      <c r="C255" s="139"/>
      <c r="D255" s="139"/>
      <c r="E255" s="139"/>
      <c r="F255" s="139"/>
      <c r="G255" s="139"/>
      <c r="H255" s="140"/>
      <c r="I255" s="139"/>
      <c r="J255" s="139"/>
      <c r="K255" s="139"/>
      <c r="L255" s="139"/>
      <c r="M255" s="139"/>
      <c r="N255" s="139"/>
      <c r="O255" s="139"/>
      <c r="P255" s="139"/>
      <c r="Q255" s="139"/>
      <c r="R255" s="139"/>
      <c r="S255" s="224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57.0" customHeight="1">
      <c r="A256" s="236"/>
      <c r="B256" s="237" t="s">
        <v>42</v>
      </c>
      <c r="C256" s="237" t="s">
        <v>43</v>
      </c>
      <c r="D256" s="237" t="s">
        <v>44</v>
      </c>
      <c r="E256" s="237" t="s">
        <v>45</v>
      </c>
      <c r="F256" s="237"/>
      <c r="G256" s="237"/>
      <c r="H256" s="238" t="s">
        <v>46</v>
      </c>
      <c r="I256" s="239" t="s">
        <v>47</v>
      </c>
      <c r="J256" s="139"/>
      <c r="K256" s="139"/>
      <c r="L256" s="139"/>
      <c r="M256" s="139"/>
      <c r="N256" s="139"/>
      <c r="O256" s="139"/>
      <c r="P256" s="139"/>
      <c r="Q256" s="139"/>
      <c r="R256" s="141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240" t="s">
        <v>48</v>
      </c>
      <c r="B257" s="241">
        <f>+E23</f>
        <v>59740.1166</v>
      </c>
      <c r="C257" s="242">
        <f>+J198</f>
        <v>55609.71205</v>
      </c>
      <c r="D257" s="242">
        <f>+J213</f>
        <v>754.0013955</v>
      </c>
      <c r="E257" s="243">
        <f>J252</f>
        <v>277.8</v>
      </c>
      <c r="F257" s="243"/>
      <c r="G257" s="243"/>
      <c r="H257" s="244">
        <f>+I23</f>
        <v>2190.8064</v>
      </c>
      <c r="I257" s="245">
        <f>+B257-C257-D257-E257-H257</f>
        <v>907.7967536</v>
      </c>
      <c r="J257" s="139"/>
      <c r="K257" s="139"/>
      <c r="L257" s="139"/>
      <c r="M257" s="139"/>
      <c r="N257" s="139"/>
      <c r="O257" s="139"/>
      <c r="P257" s="139"/>
      <c r="Q257" s="139"/>
      <c r="R257" s="141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9.5" customHeight="1">
      <c r="A258" s="246" t="s">
        <v>49</v>
      </c>
      <c r="B258" s="247"/>
      <c r="C258" s="248">
        <f>+C257/B257</f>
        <v>0.9308604538</v>
      </c>
      <c r="D258" s="248">
        <f>+D257/B257</f>
        <v>0.01262135795</v>
      </c>
      <c r="E258" s="248">
        <f>+E257/B257</f>
        <v>0.004650141577</v>
      </c>
      <c r="F258" s="248"/>
      <c r="G258" s="248"/>
      <c r="H258" s="249">
        <f>+H257/B257</f>
        <v>0.03667228196</v>
      </c>
      <c r="I258" s="250">
        <f>+I257/B257</f>
        <v>0.01519576468</v>
      </c>
      <c r="J258" s="139"/>
      <c r="K258" s="139"/>
      <c r="L258" s="139"/>
      <c r="M258" s="139"/>
      <c r="N258" s="139"/>
      <c r="O258" s="139"/>
      <c r="P258" s="139"/>
      <c r="Q258" s="139"/>
      <c r="R258" s="141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9.5" customHeight="1">
      <c r="A259" s="165"/>
      <c r="B259" s="221"/>
      <c r="C259" s="251"/>
      <c r="D259" s="251"/>
      <c r="E259" s="251"/>
      <c r="F259" s="251"/>
      <c r="G259" s="251"/>
      <c r="H259" s="252"/>
      <c r="I259" s="253"/>
      <c r="J259" s="139"/>
      <c r="K259" s="139"/>
      <c r="L259" s="139"/>
      <c r="M259" s="139"/>
      <c r="N259" s="139"/>
      <c r="O259" s="139"/>
      <c r="P259" s="139"/>
      <c r="Q259" s="139"/>
      <c r="R259" s="141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8.75" customHeight="1">
      <c r="A260" s="254"/>
      <c r="B260" s="255"/>
      <c r="C260" s="255"/>
      <c r="D260" s="255" t="s">
        <v>50</v>
      </c>
      <c r="E260" s="255" t="s">
        <v>48</v>
      </c>
      <c r="F260" s="255"/>
      <c r="G260" s="255"/>
      <c r="H260" s="256">
        <f>+D257+E257+H257+I257</f>
        <v>4130.404549</v>
      </c>
      <c r="I260" s="257"/>
      <c r="J260" s="139"/>
      <c r="K260" s="139"/>
      <c r="L260" s="139"/>
      <c r="M260" s="139"/>
      <c r="N260" s="139"/>
      <c r="O260" s="139"/>
      <c r="P260" s="139"/>
      <c r="Q260" s="139"/>
      <c r="R260" s="141"/>
      <c r="S260" s="140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18.75" customHeight="1">
      <c r="A261" s="258"/>
      <c r="B261" s="139"/>
      <c r="C261" s="139"/>
      <c r="D261" s="139"/>
      <c r="E261" s="139" t="s">
        <v>49</v>
      </c>
      <c r="F261" s="139"/>
      <c r="G261" s="139"/>
      <c r="H261" s="252">
        <f>+H260/B257</f>
        <v>0.06913954616</v>
      </c>
      <c r="I261" s="259"/>
      <c r="J261" s="139"/>
      <c r="K261" s="139"/>
      <c r="L261" s="139"/>
      <c r="M261" s="139"/>
      <c r="N261" s="139"/>
      <c r="O261" s="139"/>
      <c r="P261" s="139"/>
      <c r="Q261" s="139"/>
      <c r="R261" s="141"/>
      <c r="S261" s="140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58"/>
      <c r="B262" s="139"/>
      <c r="C262" s="139" t="s">
        <v>51</v>
      </c>
      <c r="D262" s="139"/>
      <c r="E262" s="139"/>
      <c r="F262" s="139"/>
      <c r="G262" s="139"/>
      <c r="H262" s="140"/>
      <c r="I262" s="259"/>
      <c r="J262" s="139"/>
      <c r="K262" s="139"/>
      <c r="L262" s="139"/>
      <c r="M262" s="139"/>
      <c r="N262" s="139"/>
      <c r="O262" s="139"/>
      <c r="P262" s="139"/>
      <c r="Q262" s="139"/>
      <c r="R262" s="141"/>
      <c r="S262" s="140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8.75" customHeight="1">
      <c r="A263" s="258"/>
      <c r="B263" s="139"/>
      <c r="C263" s="139"/>
      <c r="D263" s="139" t="s">
        <v>52</v>
      </c>
      <c r="E263" s="139"/>
      <c r="F263" s="139"/>
      <c r="G263" s="139"/>
      <c r="H263" s="140">
        <f>+H262*(H260-H257)</f>
        <v>0</v>
      </c>
      <c r="I263" s="259"/>
      <c r="J263" s="139"/>
      <c r="K263" s="139"/>
      <c r="L263" s="139"/>
      <c r="M263" s="139"/>
      <c r="N263" s="139"/>
      <c r="O263" s="139"/>
      <c r="P263" s="139"/>
      <c r="Q263" s="139"/>
      <c r="R263" s="141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260"/>
      <c r="B264" s="261"/>
      <c r="C264" s="261"/>
      <c r="D264" s="261"/>
      <c r="E264" s="261"/>
      <c r="F264" s="261"/>
      <c r="G264" s="261"/>
      <c r="H264" s="262"/>
      <c r="I264" s="263"/>
      <c r="J264" s="139"/>
      <c r="K264" s="139"/>
      <c r="L264" s="139"/>
      <c r="M264" s="139"/>
      <c r="N264" s="139"/>
      <c r="O264" s="139"/>
      <c r="P264" s="139"/>
      <c r="Q264" s="139"/>
      <c r="R264" s="141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139"/>
      <c r="B265" s="139"/>
      <c r="C265" s="139"/>
      <c r="D265" s="139"/>
      <c r="E265" s="139"/>
      <c r="F265" s="139"/>
      <c r="G265" s="139"/>
      <c r="H265" s="140"/>
      <c r="I265" s="139"/>
      <c r="J265" s="139"/>
      <c r="K265" s="139"/>
      <c r="L265" s="139"/>
      <c r="M265" s="139"/>
      <c r="N265" s="139"/>
      <c r="O265" s="139"/>
      <c r="P265" s="139"/>
      <c r="Q265" s="139"/>
      <c r="R265" s="141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139"/>
      <c r="B266" s="139"/>
      <c r="C266" s="139"/>
      <c r="D266" s="139"/>
      <c r="E266" s="139"/>
      <c r="F266" s="139"/>
      <c r="G266" s="139"/>
      <c r="H266" s="140"/>
      <c r="I266" s="139"/>
      <c r="J266" s="139"/>
      <c r="K266" s="139"/>
      <c r="L266" s="139"/>
      <c r="M266" s="139"/>
      <c r="N266" s="139"/>
      <c r="O266" s="139"/>
      <c r="P266" s="139"/>
      <c r="Q266" s="139"/>
      <c r="R266" s="141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139"/>
      <c r="B267" s="139"/>
      <c r="C267" s="139"/>
      <c r="D267" s="139"/>
      <c r="E267" s="139"/>
      <c r="F267" s="139"/>
      <c r="G267" s="139"/>
      <c r="H267" s="140"/>
      <c r="I267" s="139"/>
      <c r="J267" s="139"/>
      <c r="K267" s="139"/>
      <c r="L267" s="139"/>
      <c r="M267" s="139"/>
      <c r="N267" s="139"/>
      <c r="O267" s="139"/>
      <c r="P267" s="139"/>
      <c r="Q267" s="139"/>
      <c r="R267" s="141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3:D23"/>
    <mergeCell ref="E24:H24"/>
    <mergeCell ref="C29:E29"/>
    <mergeCell ref="C204:E204"/>
    <mergeCell ref="C219:E219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44548.0</v>
      </c>
      <c r="J4" s="139" t="str">
        <f>+B8&amp;"/"&amp;B9&amp;"/"&amp;B10&amp;"/"&amp;B11&amp;"/"&amp;B12&amp;"/"&amp;B13&amp;"/"&amp;B14&amp;"/"&amp;B15&amp;"/"&amp;B16</f>
        <v>HRD2930/HRD2940/HRD2940/D2470CC/////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156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+I219</f>
        <v>0.01755768042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57</v>
      </c>
      <c r="C8" s="155">
        <v>29.5</v>
      </c>
      <c r="D8" s="156">
        <v>0.0155</v>
      </c>
      <c r="E8" s="157">
        <f>224.209*14.5</f>
        <v>3251.0305</v>
      </c>
      <c r="F8" s="157"/>
      <c r="G8" s="157"/>
      <c r="H8" s="158">
        <v>14.5</v>
      </c>
      <c r="I8" s="159">
        <f t="shared" ref="I8:I18" si="1">+D8*E8</f>
        <v>50.39097275</v>
      </c>
      <c r="J8" s="160">
        <f t="shared" ref="J8:J18" si="2">E8-I8</f>
        <v>3200.639527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245.579*14.2</f>
        <v>3487.2218</v>
      </c>
      <c r="F9" s="157"/>
      <c r="G9" s="157"/>
      <c r="H9" s="158">
        <v>14.2</v>
      </c>
      <c r="I9" s="159">
        <f t="shared" si="1"/>
        <v>50.91343828</v>
      </c>
      <c r="J9" s="160">
        <f t="shared" si="2"/>
        <v>3436.308362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252.81*29</f>
        <v>7331.49</v>
      </c>
      <c r="F10" s="157"/>
      <c r="G10" s="157"/>
      <c r="H10" s="158">
        <v>29.0</v>
      </c>
      <c r="I10" s="159">
        <f t="shared" si="1"/>
        <v>107.039754</v>
      </c>
      <c r="J10" s="160">
        <f t="shared" si="2"/>
        <v>7224.450246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119</v>
      </c>
      <c r="C11" s="155">
        <v>24.5</v>
      </c>
      <c r="D11" s="163">
        <v>0.0545</v>
      </c>
      <c r="E11" s="164">
        <f>236.948*14.7</f>
        <v>3483.1356</v>
      </c>
      <c r="F11" s="164"/>
      <c r="G11" s="164"/>
      <c r="H11" s="158">
        <v>14.7</v>
      </c>
      <c r="I11" s="159">
        <f t="shared" si="1"/>
        <v>189.8308902</v>
      </c>
      <c r="J11" s="160">
        <f t="shared" si="2"/>
        <v>3293.30471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11.0</v>
      </c>
      <c r="B12" s="162"/>
      <c r="C12" s="162"/>
      <c r="D12" s="163"/>
      <c r="E12" s="164"/>
      <c r="F12" s="164"/>
      <c r="G12" s="164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12.0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13.0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14.0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15.0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16.0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17.0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65"/>
      <c r="B19" s="166"/>
      <c r="C19" s="167"/>
      <c r="D19" s="168"/>
      <c r="E19" s="169">
        <f>SUM(E8:E18)</f>
        <v>17552.8779</v>
      </c>
      <c r="F19" s="170"/>
      <c r="G19" s="170"/>
      <c r="H19" s="171"/>
      <c r="I19" s="172">
        <f t="shared" ref="I19:J19" si="3">SUM(I8:I18)</f>
        <v>398.1750552</v>
      </c>
      <c r="J19" s="173">
        <f t="shared" si="3"/>
        <v>17154.70284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74"/>
      <c r="B20" s="144"/>
      <c r="C20" s="144"/>
      <c r="D20" s="175"/>
      <c r="E20" s="176"/>
      <c r="F20" s="151"/>
      <c r="G20" s="151"/>
      <c r="H20" s="147"/>
      <c r="I20" s="177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 t="s">
        <v>11</v>
      </c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40.5" customHeight="1">
      <c r="A25" s="178"/>
      <c r="B25" s="162" t="s">
        <v>12</v>
      </c>
      <c r="C25" s="179" t="s">
        <v>60</v>
      </c>
      <c r="D25" s="52"/>
      <c r="E25" s="53"/>
      <c r="F25" s="180"/>
      <c r="G25" s="180"/>
      <c r="H25" s="181" t="s">
        <v>14</v>
      </c>
      <c r="I25" s="162" t="s">
        <v>15</v>
      </c>
      <c r="J25" s="162" t="s">
        <v>16</v>
      </c>
      <c r="K25" s="139"/>
      <c r="L25" s="162" t="s">
        <v>17</v>
      </c>
      <c r="M25" s="162" t="s">
        <v>15</v>
      </c>
      <c r="N25" s="178" t="s">
        <v>18</v>
      </c>
      <c r="O25" s="139"/>
      <c r="P25" s="139"/>
      <c r="Q25" s="178" t="s">
        <v>61</v>
      </c>
      <c r="R25" s="182"/>
      <c r="S25" s="162" t="s">
        <v>17</v>
      </c>
      <c r="T25" s="162" t="s">
        <v>15</v>
      </c>
      <c r="U25" s="178" t="s">
        <v>18</v>
      </c>
      <c r="V25" s="139"/>
      <c r="W25" s="178" t="s">
        <v>19</v>
      </c>
      <c r="X25" s="178" t="s">
        <v>20</v>
      </c>
      <c r="Y25" s="178" t="s">
        <v>21</v>
      </c>
      <c r="Z25" s="178" t="s">
        <v>157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2">
        <v>1.0</v>
      </c>
      <c r="B26" s="183" t="s">
        <v>94</v>
      </c>
      <c r="C26" s="184">
        <v>87.0</v>
      </c>
      <c r="D26" s="184">
        <v>163.0</v>
      </c>
      <c r="E26" s="184">
        <v>168.0</v>
      </c>
      <c r="F26" s="184">
        <f t="shared" ref="F26:F160" si="5">VALUE(IF(RIGHT(B26, 1)="%", RIGHT(B26, 3), 0))</f>
        <v>0.8</v>
      </c>
      <c r="G26" s="184">
        <f t="shared" ref="G26:G160" si="6">+R26*C26/100*D26/100*E26/100</f>
        <v>71.47224</v>
      </c>
      <c r="H26" s="185">
        <f t="shared" ref="H26:H160" si="7">IF(F26=0, G26, F26*G26)</f>
        <v>57.177792</v>
      </c>
      <c r="I26" s="184">
        <v>1.0</v>
      </c>
      <c r="J26" s="186">
        <f t="shared" ref="J26:J160" si="8">+I26*H26</f>
        <v>57.177792</v>
      </c>
      <c r="K26" s="187"/>
      <c r="L26" s="188">
        <f>D26*25.4/1000</f>
        <v>4.1402</v>
      </c>
      <c r="M26" s="189">
        <f>+I26</f>
        <v>1</v>
      </c>
      <c r="N26" s="189">
        <f>M26*L26</f>
        <v>4.1402</v>
      </c>
      <c r="O26" s="187"/>
      <c r="P26" s="187"/>
      <c r="Q26" s="188">
        <v>78.0</v>
      </c>
      <c r="R26" s="190">
        <v>30.0</v>
      </c>
      <c r="S26" s="178">
        <f t="shared" ref="S26:S161" si="9">E26/100</f>
        <v>1.68</v>
      </c>
      <c r="T26" s="162">
        <f t="shared" ref="T26:T161" si="10">I26</f>
        <v>1</v>
      </c>
      <c r="U26" s="162">
        <f t="shared" ref="U26:U161" si="11">T26*S26</f>
        <v>1.68</v>
      </c>
      <c r="V26" s="191">
        <f t="shared" ref="V26:V43" si="12">R26*C26/100*D26/100*E26/100</f>
        <v>71.47224</v>
      </c>
      <c r="W26" s="178">
        <f t="shared" ref="W26:X26" si="4">C26/100</f>
        <v>0.87</v>
      </c>
      <c r="X26" s="178">
        <f t="shared" si="4"/>
        <v>1.63</v>
      </c>
      <c r="Y26" s="178">
        <f t="shared" ref="Y26:Y161" si="14">U26</f>
        <v>1.68</v>
      </c>
      <c r="Z26" s="192">
        <f t="shared" ref="Z26:Z161" si="15">W26*X26*Y26</f>
        <v>2.382408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2.0</v>
      </c>
      <c r="B27" s="193" t="s">
        <v>57</v>
      </c>
      <c r="C27" s="193">
        <v>104.0</v>
      </c>
      <c r="D27" s="193">
        <v>163.0</v>
      </c>
      <c r="E27" s="193">
        <v>186.0</v>
      </c>
      <c r="F27" s="193">
        <f t="shared" si="5"/>
        <v>0</v>
      </c>
      <c r="G27" s="193">
        <f t="shared" si="6"/>
        <v>94.59216</v>
      </c>
      <c r="H27" s="194">
        <f t="shared" si="7"/>
        <v>94.59216</v>
      </c>
      <c r="I27" s="193">
        <v>1.0</v>
      </c>
      <c r="J27" s="195">
        <f t="shared" si="8"/>
        <v>94.59216</v>
      </c>
      <c r="K27" s="139"/>
      <c r="L27" s="178"/>
      <c r="M27" s="162"/>
      <c r="N27" s="162"/>
      <c r="O27" s="139"/>
      <c r="P27" s="139"/>
      <c r="Q27" s="178">
        <v>94.0</v>
      </c>
      <c r="R27" s="190">
        <v>30.0</v>
      </c>
      <c r="S27" s="178">
        <f t="shared" si="9"/>
        <v>1.86</v>
      </c>
      <c r="T27" s="162">
        <f t="shared" si="10"/>
        <v>1</v>
      </c>
      <c r="U27" s="162">
        <f t="shared" si="11"/>
        <v>1.86</v>
      </c>
      <c r="V27" s="191">
        <f t="shared" si="12"/>
        <v>94.59216</v>
      </c>
      <c r="W27" s="178">
        <f t="shared" ref="W27:X27" si="13">C27/100</f>
        <v>1.04</v>
      </c>
      <c r="X27" s="178">
        <f t="shared" si="13"/>
        <v>1.63</v>
      </c>
      <c r="Y27" s="178">
        <f t="shared" si="14"/>
        <v>1.86</v>
      </c>
      <c r="Z27" s="192">
        <f t="shared" si="15"/>
        <v>3.153072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3.0</v>
      </c>
      <c r="B28" s="193" t="s">
        <v>57</v>
      </c>
      <c r="C28" s="193">
        <v>103.0</v>
      </c>
      <c r="D28" s="193">
        <v>163.0</v>
      </c>
      <c r="E28" s="193">
        <v>2732.0</v>
      </c>
      <c r="F28" s="193">
        <f t="shared" si="5"/>
        <v>0</v>
      </c>
      <c r="G28" s="193">
        <f t="shared" si="6"/>
        <v>1376.02644</v>
      </c>
      <c r="H28" s="194">
        <f t="shared" si="7"/>
        <v>1376.02644</v>
      </c>
      <c r="I28" s="193">
        <v>1.0</v>
      </c>
      <c r="J28" s="195">
        <f t="shared" si="8"/>
        <v>1376.02644</v>
      </c>
      <c r="K28" s="139"/>
      <c r="L28" s="178">
        <f t="shared" ref="L28:L43" si="17">D28*25.4/1000</f>
        <v>4.1402</v>
      </c>
      <c r="M28" s="162">
        <f t="shared" ref="M28:M43" si="18">+I28</f>
        <v>1</v>
      </c>
      <c r="N28" s="162">
        <f t="shared" ref="N28:N43" si="19">M28*L28</f>
        <v>4.1402</v>
      </c>
      <c r="O28" s="139"/>
      <c r="P28" s="139"/>
      <c r="Q28" s="178">
        <v>1355.0</v>
      </c>
      <c r="R28" s="190">
        <v>30.0</v>
      </c>
      <c r="S28" s="178">
        <f t="shared" si="9"/>
        <v>27.32</v>
      </c>
      <c r="T28" s="162">
        <f t="shared" si="10"/>
        <v>1</v>
      </c>
      <c r="U28" s="162">
        <f t="shared" si="11"/>
        <v>27.32</v>
      </c>
      <c r="V28" s="191">
        <f t="shared" si="12"/>
        <v>1376.02644</v>
      </c>
      <c r="W28" s="178">
        <f t="shared" ref="W28:X28" si="16">C28/100</f>
        <v>1.03</v>
      </c>
      <c r="X28" s="178">
        <f t="shared" si="16"/>
        <v>1.63</v>
      </c>
      <c r="Y28" s="178">
        <f t="shared" si="14"/>
        <v>27.32</v>
      </c>
      <c r="Z28" s="192">
        <f t="shared" si="15"/>
        <v>45.867548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4.0</v>
      </c>
      <c r="B29" s="193" t="s">
        <v>57</v>
      </c>
      <c r="C29" s="193">
        <v>103.0</v>
      </c>
      <c r="D29" s="193">
        <v>163.0</v>
      </c>
      <c r="E29" s="193">
        <v>2866.0</v>
      </c>
      <c r="F29" s="193">
        <f t="shared" si="5"/>
        <v>0</v>
      </c>
      <c r="G29" s="193">
        <f t="shared" si="6"/>
        <v>1443.51822</v>
      </c>
      <c r="H29" s="194">
        <f t="shared" si="7"/>
        <v>1443.51822</v>
      </c>
      <c r="I29" s="193">
        <v>1.0</v>
      </c>
      <c r="J29" s="195">
        <f t="shared" si="8"/>
        <v>1443.51822</v>
      </c>
      <c r="K29" s="139"/>
      <c r="L29" s="178">
        <f t="shared" si="17"/>
        <v>4.1402</v>
      </c>
      <c r="M29" s="162">
        <f t="shared" si="18"/>
        <v>1</v>
      </c>
      <c r="N29" s="162">
        <f t="shared" si="19"/>
        <v>4.1402</v>
      </c>
      <c r="O29" s="139"/>
      <c r="P29" s="139"/>
      <c r="Q29" s="178">
        <v>1445.0</v>
      </c>
      <c r="R29" s="190">
        <v>30.0</v>
      </c>
      <c r="S29" s="178">
        <f t="shared" si="9"/>
        <v>28.66</v>
      </c>
      <c r="T29" s="162">
        <f t="shared" si="10"/>
        <v>1</v>
      </c>
      <c r="U29" s="162">
        <f t="shared" si="11"/>
        <v>28.66</v>
      </c>
      <c r="V29" s="191">
        <f t="shared" si="12"/>
        <v>1443.51822</v>
      </c>
      <c r="W29" s="178">
        <f t="shared" ref="W29:X29" si="20">C29/100</f>
        <v>1.03</v>
      </c>
      <c r="X29" s="178">
        <f t="shared" si="20"/>
        <v>1.63</v>
      </c>
      <c r="Y29" s="178">
        <f t="shared" si="14"/>
        <v>28.66</v>
      </c>
      <c r="Z29" s="192">
        <f t="shared" si="15"/>
        <v>48.117274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5.0</v>
      </c>
      <c r="B30" s="183" t="s">
        <v>63</v>
      </c>
      <c r="C30" s="184">
        <v>91.0</v>
      </c>
      <c r="D30" s="184">
        <v>178.0</v>
      </c>
      <c r="E30" s="184">
        <v>178.0</v>
      </c>
      <c r="F30" s="184">
        <f t="shared" si="5"/>
        <v>0.8</v>
      </c>
      <c r="G30" s="184">
        <f t="shared" si="6"/>
        <v>89.380564</v>
      </c>
      <c r="H30" s="185">
        <f t="shared" si="7"/>
        <v>71.5044512</v>
      </c>
      <c r="I30" s="184">
        <v>1.0</v>
      </c>
      <c r="J30" s="186">
        <f t="shared" si="8"/>
        <v>71.5044512</v>
      </c>
      <c r="K30" s="187"/>
      <c r="L30" s="188">
        <f t="shared" si="17"/>
        <v>4.5212</v>
      </c>
      <c r="M30" s="189">
        <f t="shared" si="18"/>
        <v>1</v>
      </c>
      <c r="N30" s="189">
        <f t="shared" si="19"/>
        <v>4.5212</v>
      </c>
      <c r="O30" s="187"/>
      <c r="P30" s="187"/>
      <c r="Q30" s="188">
        <v>90.0</v>
      </c>
      <c r="R30" s="190">
        <v>31.0</v>
      </c>
      <c r="S30" s="178">
        <f t="shared" si="9"/>
        <v>1.78</v>
      </c>
      <c r="T30" s="162">
        <f t="shared" si="10"/>
        <v>1</v>
      </c>
      <c r="U30" s="162">
        <f t="shared" si="11"/>
        <v>1.78</v>
      </c>
      <c r="V30" s="191">
        <f t="shared" si="12"/>
        <v>89.380564</v>
      </c>
      <c r="W30" s="178">
        <f t="shared" ref="W30:X30" si="21">C30/100</f>
        <v>0.91</v>
      </c>
      <c r="X30" s="178">
        <f t="shared" si="21"/>
        <v>1.78</v>
      </c>
      <c r="Y30" s="178">
        <f t="shared" si="14"/>
        <v>1.78</v>
      </c>
      <c r="Z30" s="192">
        <f t="shared" si="15"/>
        <v>2.883244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6.0</v>
      </c>
      <c r="B31" s="193" t="s">
        <v>55</v>
      </c>
      <c r="C31" s="193">
        <v>100.0</v>
      </c>
      <c r="D31" s="193">
        <v>178.0</v>
      </c>
      <c r="E31" s="193">
        <v>196.0</v>
      </c>
      <c r="F31" s="193">
        <f t="shared" si="5"/>
        <v>0</v>
      </c>
      <c r="G31" s="193">
        <f t="shared" si="6"/>
        <v>108.1528</v>
      </c>
      <c r="H31" s="194">
        <f t="shared" si="7"/>
        <v>108.1528</v>
      </c>
      <c r="I31" s="193">
        <v>1.0</v>
      </c>
      <c r="J31" s="195">
        <f t="shared" si="8"/>
        <v>108.1528</v>
      </c>
      <c r="K31" s="139"/>
      <c r="L31" s="178">
        <f t="shared" si="17"/>
        <v>4.5212</v>
      </c>
      <c r="M31" s="162">
        <f t="shared" si="18"/>
        <v>1</v>
      </c>
      <c r="N31" s="162">
        <f t="shared" si="19"/>
        <v>4.5212</v>
      </c>
      <c r="O31" s="139"/>
      <c r="P31" s="139"/>
      <c r="Q31" s="178">
        <v>109.0</v>
      </c>
      <c r="R31" s="190">
        <v>31.0</v>
      </c>
      <c r="S31" s="178">
        <f t="shared" si="9"/>
        <v>1.96</v>
      </c>
      <c r="T31" s="162">
        <f t="shared" si="10"/>
        <v>1</v>
      </c>
      <c r="U31" s="162">
        <f t="shared" si="11"/>
        <v>1.96</v>
      </c>
      <c r="V31" s="191">
        <f t="shared" si="12"/>
        <v>108.1528</v>
      </c>
      <c r="W31" s="178">
        <f t="shared" ref="W31:X31" si="22">C31/100</f>
        <v>1</v>
      </c>
      <c r="X31" s="178">
        <f t="shared" si="22"/>
        <v>1.78</v>
      </c>
      <c r="Y31" s="178">
        <f t="shared" si="14"/>
        <v>1.96</v>
      </c>
      <c r="Z31" s="192">
        <f t="shared" si="15"/>
        <v>3.4888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7.0</v>
      </c>
      <c r="B32" s="193" t="s">
        <v>55</v>
      </c>
      <c r="C32" s="193">
        <v>100.0</v>
      </c>
      <c r="D32" s="193">
        <v>178.0</v>
      </c>
      <c r="E32" s="193">
        <v>2693.0</v>
      </c>
      <c r="F32" s="193">
        <f t="shared" si="5"/>
        <v>0</v>
      </c>
      <c r="G32" s="193">
        <f t="shared" si="6"/>
        <v>1485.9974</v>
      </c>
      <c r="H32" s="194">
        <f t="shared" si="7"/>
        <v>1485.9974</v>
      </c>
      <c r="I32" s="193">
        <v>1.0</v>
      </c>
      <c r="J32" s="195">
        <f t="shared" si="8"/>
        <v>1485.9974</v>
      </c>
      <c r="K32" s="139"/>
      <c r="L32" s="178">
        <f t="shared" si="17"/>
        <v>4.5212</v>
      </c>
      <c r="M32" s="162">
        <f t="shared" si="18"/>
        <v>1</v>
      </c>
      <c r="N32" s="162">
        <f t="shared" si="19"/>
        <v>4.5212</v>
      </c>
      <c r="O32" s="139"/>
      <c r="P32" s="139"/>
      <c r="Q32" s="178">
        <v>1470.0</v>
      </c>
      <c r="R32" s="190">
        <v>31.0</v>
      </c>
      <c r="S32" s="178">
        <f t="shared" si="9"/>
        <v>26.93</v>
      </c>
      <c r="T32" s="162">
        <f t="shared" si="10"/>
        <v>1</v>
      </c>
      <c r="U32" s="162">
        <f t="shared" si="11"/>
        <v>26.93</v>
      </c>
      <c r="V32" s="191">
        <f t="shared" si="12"/>
        <v>1485.9974</v>
      </c>
      <c r="W32" s="178">
        <f t="shared" ref="W32:X32" si="23">C32/100</f>
        <v>1</v>
      </c>
      <c r="X32" s="178">
        <f t="shared" si="23"/>
        <v>1.78</v>
      </c>
      <c r="Y32" s="178">
        <f t="shared" si="14"/>
        <v>26.93</v>
      </c>
      <c r="Z32" s="192">
        <f t="shared" si="15"/>
        <v>47.9354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8.0</v>
      </c>
      <c r="B33" s="193" t="s">
        <v>55</v>
      </c>
      <c r="C33" s="193">
        <v>100.0</v>
      </c>
      <c r="D33" s="193">
        <v>178.0</v>
      </c>
      <c r="E33" s="193">
        <v>2864.0</v>
      </c>
      <c r="F33" s="193">
        <f t="shared" si="5"/>
        <v>0</v>
      </c>
      <c r="G33" s="193">
        <f t="shared" si="6"/>
        <v>1580.3552</v>
      </c>
      <c r="H33" s="194">
        <f t="shared" si="7"/>
        <v>1580.3552</v>
      </c>
      <c r="I33" s="193">
        <v>1.0</v>
      </c>
      <c r="J33" s="195">
        <f t="shared" si="8"/>
        <v>1580.3552</v>
      </c>
      <c r="K33" s="139"/>
      <c r="L33" s="178">
        <f t="shared" si="17"/>
        <v>4.5212</v>
      </c>
      <c r="M33" s="162">
        <f t="shared" si="18"/>
        <v>1</v>
      </c>
      <c r="N33" s="162">
        <f t="shared" si="19"/>
        <v>4.5212</v>
      </c>
      <c r="O33" s="139"/>
      <c r="P33" s="139"/>
      <c r="Q33" s="178">
        <v>1580.0</v>
      </c>
      <c r="R33" s="190">
        <v>31.0</v>
      </c>
      <c r="S33" s="178">
        <f t="shared" si="9"/>
        <v>28.64</v>
      </c>
      <c r="T33" s="162">
        <f t="shared" si="10"/>
        <v>1</v>
      </c>
      <c r="U33" s="162">
        <f t="shared" si="11"/>
        <v>28.64</v>
      </c>
      <c r="V33" s="191">
        <f t="shared" si="12"/>
        <v>1580.3552</v>
      </c>
      <c r="W33" s="178">
        <f t="shared" ref="W33:X33" si="24">C33/100</f>
        <v>1</v>
      </c>
      <c r="X33" s="178">
        <f t="shared" si="24"/>
        <v>1.78</v>
      </c>
      <c r="Y33" s="178">
        <f t="shared" si="14"/>
        <v>28.64</v>
      </c>
      <c r="Z33" s="192">
        <f t="shared" si="15"/>
        <v>50.9792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9.0</v>
      </c>
      <c r="B34" s="183" t="s">
        <v>63</v>
      </c>
      <c r="C34" s="184">
        <v>91.0</v>
      </c>
      <c r="D34" s="184">
        <v>195.0</v>
      </c>
      <c r="E34" s="184">
        <v>180.0</v>
      </c>
      <c r="F34" s="184">
        <f t="shared" si="5"/>
        <v>0.8</v>
      </c>
      <c r="G34" s="184">
        <f t="shared" si="6"/>
        <v>99.0171</v>
      </c>
      <c r="H34" s="185">
        <f t="shared" si="7"/>
        <v>79.21368</v>
      </c>
      <c r="I34" s="184">
        <v>1.0</v>
      </c>
      <c r="J34" s="186">
        <f t="shared" si="8"/>
        <v>79.21368</v>
      </c>
      <c r="K34" s="187"/>
      <c r="L34" s="188">
        <f t="shared" si="17"/>
        <v>4.953</v>
      </c>
      <c r="M34" s="189">
        <f t="shared" si="18"/>
        <v>1</v>
      </c>
      <c r="N34" s="189">
        <f t="shared" si="19"/>
        <v>4.953</v>
      </c>
      <c r="O34" s="187"/>
      <c r="P34" s="187"/>
      <c r="Q34" s="188">
        <v>102.0</v>
      </c>
      <c r="R34" s="190">
        <v>31.0</v>
      </c>
      <c r="S34" s="178">
        <f t="shared" si="9"/>
        <v>1.8</v>
      </c>
      <c r="T34" s="162">
        <f t="shared" si="10"/>
        <v>1</v>
      </c>
      <c r="U34" s="162">
        <f t="shared" si="11"/>
        <v>1.8</v>
      </c>
      <c r="V34" s="191">
        <f t="shared" si="12"/>
        <v>99.0171</v>
      </c>
      <c r="W34" s="178">
        <f t="shared" ref="W34:X34" si="25">C34/100</f>
        <v>0.91</v>
      </c>
      <c r="X34" s="178">
        <f t="shared" si="25"/>
        <v>1.95</v>
      </c>
      <c r="Y34" s="178">
        <f t="shared" si="14"/>
        <v>1.8</v>
      </c>
      <c r="Z34" s="192">
        <f t="shared" si="15"/>
        <v>3.1941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10.0</v>
      </c>
      <c r="B35" s="193" t="s">
        <v>55</v>
      </c>
      <c r="C35" s="193">
        <v>96.0</v>
      </c>
      <c r="D35" s="193">
        <v>195.0</v>
      </c>
      <c r="E35" s="193">
        <v>195.0</v>
      </c>
      <c r="F35" s="193">
        <f t="shared" si="5"/>
        <v>0</v>
      </c>
      <c r="G35" s="193">
        <f t="shared" si="6"/>
        <v>113.1624</v>
      </c>
      <c r="H35" s="194">
        <f t="shared" si="7"/>
        <v>113.1624</v>
      </c>
      <c r="I35" s="193">
        <v>1.0</v>
      </c>
      <c r="J35" s="195">
        <f t="shared" si="8"/>
        <v>113.1624</v>
      </c>
      <c r="K35" s="139"/>
      <c r="L35" s="178">
        <f t="shared" si="17"/>
        <v>4.953</v>
      </c>
      <c r="M35" s="162">
        <f t="shared" si="18"/>
        <v>1</v>
      </c>
      <c r="N35" s="162">
        <f t="shared" si="19"/>
        <v>4.953</v>
      </c>
      <c r="O35" s="139"/>
      <c r="P35" s="139"/>
      <c r="Q35" s="178">
        <v>113.0</v>
      </c>
      <c r="R35" s="190">
        <v>31.0</v>
      </c>
      <c r="S35" s="178">
        <f t="shared" si="9"/>
        <v>1.95</v>
      </c>
      <c r="T35" s="162">
        <f t="shared" si="10"/>
        <v>1</v>
      </c>
      <c r="U35" s="162">
        <f t="shared" si="11"/>
        <v>1.95</v>
      </c>
      <c r="V35" s="191">
        <f t="shared" si="12"/>
        <v>113.1624</v>
      </c>
      <c r="W35" s="178">
        <f t="shared" ref="W35:X35" si="26">C35/100</f>
        <v>0.96</v>
      </c>
      <c r="X35" s="178">
        <f t="shared" si="26"/>
        <v>1.95</v>
      </c>
      <c r="Y35" s="178">
        <f t="shared" si="14"/>
        <v>1.95</v>
      </c>
      <c r="Z35" s="192">
        <f t="shared" si="15"/>
        <v>3.6504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11.0</v>
      </c>
      <c r="B36" s="193" t="s">
        <v>55</v>
      </c>
      <c r="C36" s="193">
        <v>99.0</v>
      </c>
      <c r="D36" s="193">
        <v>195.0</v>
      </c>
      <c r="E36" s="193">
        <v>2877.0</v>
      </c>
      <c r="F36" s="193">
        <f t="shared" si="5"/>
        <v>0</v>
      </c>
      <c r="G36" s="193">
        <f t="shared" si="6"/>
        <v>1721.755035</v>
      </c>
      <c r="H36" s="194">
        <f t="shared" si="7"/>
        <v>1721.755035</v>
      </c>
      <c r="I36" s="193">
        <v>1.0</v>
      </c>
      <c r="J36" s="195">
        <f t="shared" si="8"/>
        <v>1721.755035</v>
      </c>
      <c r="K36" s="139"/>
      <c r="L36" s="178">
        <f t="shared" si="17"/>
        <v>4.953</v>
      </c>
      <c r="M36" s="162">
        <f t="shared" si="18"/>
        <v>1</v>
      </c>
      <c r="N36" s="162">
        <f t="shared" si="19"/>
        <v>4.953</v>
      </c>
      <c r="O36" s="139"/>
      <c r="P36" s="139"/>
      <c r="Q36" s="178">
        <v>1695.0</v>
      </c>
      <c r="R36" s="190">
        <v>31.0</v>
      </c>
      <c r="S36" s="178">
        <f t="shared" si="9"/>
        <v>28.77</v>
      </c>
      <c r="T36" s="162">
        <f t="shared" si="10"/>
        <v>1</v>
      </c>
      <c r="U36" s="162">
        <f t="shared" si="11"/>
        <v>28.77</v>
      </c>
      <c r="V36" s="191">
        <f t="shared" si="12"/>
        <v>1721.755035</v>
      </c>
      <c r="W36" s="178">
        <f t="shared" ref="W36:X36" si="27">C36/100</f>
        <v>0.99</v>
      </c>
      <c r="X36" s="178">
        <f t="shared" si="27"/>
        <v>1.95</v>
      </c>
      <c r="Y36" s="178">
        <f t="shared" si="14"/>
        <v>28.77</v>
      </c>
      <c r="Z36" s="192">
        <f t="shared" si="15"/>
        <v>55.540485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12.0</v>
      </c>
      <c r="B37" s="193" t="s">
        <v>55</v>
      </c>
      <c r="C37" s="193">
        <v>99.0</v>
      </c>
      <c r="D37" s="193">
        <v>195.0</v>
      </c>
      <c r="E37" s="193">
        <v>2880.0</v>
      </c>
      <c r="F37" s="193">
        <f t="shared" si="5"/>
        <v>0</v>
      </c>
      <c r="G37" s="193">
        <f t="shared" si="6"/>
        <v>1723.5504</v>
      </c>
      <c r="H37" s="194">
        <f t="shared" si="7"/>
        <v>1723.5504</v>
      </c>
      <c r="I37" s="193">
        <v>1.0</v>
      </c>
      <c r="J37" s="195">
        <f t="shared" si="8"/>
        <v>1723.5504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1705.0</v>
      </c>
      <c r="R37" s="190">
        <v>31.0</v>
      </c>
      <c r="S37" s="178">
        <f t="shared" si="9"/>
        <v>28.8</v>
      </c>
      <c r="T37" s="162">
        <f t="shared" si="10"/>
        <v>1</v>
      </c>
      <c r="U37" s="162">
        <f t="shared" si="11"/>
        <v>28.8</v>
      </c>
      <c r="V37" s="191">
        <f t="shared" si="12"/>
        <v>1723.5504</v>
      </c>
      <c r="W37" s="178">
        <f t="shared" ref="W37:X37" si="28">C37/100</f>
        <v>0.99</v>
      </c>
      <c r="X37" s="178">
        <f t="shared" si="28"/>
        <v>1.95</v>
      </c>
      <c r="Y37" s="178">
        <f t="shared" si="14"/>
        <v>28.8</v>
      </c>
      <c r="Z37" s="192">
        <f t="shared" si="15"/>
        <v>55.5984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13.0</v>
      </c>
      <c r="B38" s="193" t="s">
        <v>55</v>
      </c>
      <c r="C38" s="193">
        <v>98.0</v>
      </c>
      <c r="D38" s="193">
        <v>195.0</v>
      </c>
      <c r="E38" s="193">
        <v>2768.0</v>
      </c>
      <c r="F38" s="193">
        <f t="shared" si="5"/>
        <v>0</v>
      </c>
      <c r="G38" s="193">
        <f t="shared" si="6"/>
        <v>1639.79088</v>
      </c>
      <c r="H38" s="194">
        <f t="shared" si="7"/>
        <v>1639.79088</v>
      </c>
      <c r="I38" s="193">
        <v>1.0</v>
      </c>
      <c r="J38" s="195">
        <f t="shared" si="8"/>
        <v>1639.79088</v>
      </c>
      <c r="K38" s="139"/>
      <c r="L38" s="178">
        <f t="shared" si="17"/>
        <v>4.953</v>
      </c>
      <c r="M38" s="162">
        <f t="shared" si="18"/>
        <v>1</v>
      </c>
      <c r="N38" s="162">
        <f t="shared" si="19"/>
        <v>4.953</v>
      </c>
      <c r="O38" s="139"/>
      <c r="P38" s="139"/>
      <c r="Q38" s="178">
        <v>1590.0</v>
      </c>
      <c r="R38" s="190">
        <v>31.0</v>
      </c>
      <c r="S38" s="178">
        <f t="shared" si="9"/>
        <v>27.68</v>
      </c>
      <c r="T38" s="162">
        <f t="shared" si="10"/>
        <v>1</v>
      </c>
      <c r="U38" s="162">
        <f t="shared" si="11"/>
        <v>27.68</v>
      </c>
      <c r="V38" s="191">
        <f t="shared" si="12"/>
        <v>1639.79088</v>
      </c>
      <c r="W38" s="178">
        <f t="shared" ref="W38:X38" si="29">C38/100</f>
        <v>0.98</v>
      </c>
      <c r="X38" s="178">
        <f t="shared" si="29"/>
        <v>1.95</v>
      </c>
      <c r="Y38" s="178">
        <f t="shared" si="14"/>
        <v>27.68</v>
      </c>
      <c r="Z38" s="192">
        <f t="shared" si="15"/>
        <v>52.89648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14.0</v>
      </c>
      <c r="B39" s="193" t="s">
        <v>55</v>
      </c>
      <c r="C39" s="193">
        <v>98.0</v>
      </c>
      <c r="D39" s="193">
        <v>195.0</v>
      </c>
      <c r="E39" s="193">
        <v>2879.0</v>
      </c>
      <c r="F39" s="193">
        <f t="shared" si="5"/>
        <v>0</v>
      </c>
      <c r="G39" s="193">
        <f t="shared" si="6"/>
        <v>1705.54839</v>
      </c>
      <c r="H39" s="194">
        <f t="shared" si="7"/>
        <v>1705.54839</v>
      </c>
      <c r="I39" s="193">
        <v>1.0</v>
      </c>
      <c r="J39" s="195">
        <f t="shared" si="8"/>
        <v>1705.54839</v>
      </c>
      <c r="K39" s="139"/>
      <c r="L39" s="178">
        <f t="shared" si="17"/>
        <v>4.953</v>
      </c>
      <c r="M39" s="162">
        <f t="shared" si="18"/>
        <v>1</v>
      </c>
      <c r="N39" s="162">
        <f t="shared" si="19"/>
        <v>4.953</v>
      </c>
      <c r="O39" s="139"/>
      <c r="P39" s="139"/>
      <c r="Q39" s="178">
        <v>1680.0</v>
      </c>
      <c r="R39" s="190">
        <v>31.0</v>
      </c>
      <c r="S39" s="178">
        <f t="shared" si="9"/>
        <v>28.79</v>
      </c>
      <c r="T39" s="162">
        <f t="shared" si="10"/>
        <v>1</v>
      </c>
      <c r="U39" s="162">
        <f t="shared" si="11"/>
        <v>28.79</v>
      </c>
      <c r="V39" s="191">
        <f t="shared" si="12"/>
        <v>1705.54839</v>
      </c>
      <c r="W39" s="178">
        <f t="shared" ref="W39:X39" si="30">C39/100</f>
        <v>0.98</v>
      </c>
      <c r="X39" s="178">
        <f t="shared" si="30"/>
        <v>1.95</v>
      </c>
      <c r="Y39" s="178">
        <f t="shared" si="14"/>
        <v>28.79</v>
      </c>
      <c r="Z39" s="192">
        <f t="shared" si="15"/>
        <v>55.01769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15.0</v>
      </c>
      <c r="B40" s="183" t="s">
        <v>122</v>
      </c>
      <c r="C40" s="184">
        <v>80.0</v>
      </c>
      <c r="D40" s="184">
        <v>199.0</v>
      </c>
      <c r="E40" s="184">
        <v>183.0</v>
      </c>
      <c r="F40" s="184">
        <f t="shared" si="5"/>
        <v>0.8</v>
      </c>
      <c r="G40" s="184">
        <f t="shared" si="6"/>
        <v>77.20404</v>
      </c>
      <c r="H40" s="185">
        <f t="shared" si="7"/>
        <v>61.763232</v>
      </c>
      <c r="I40" s="184">
        <v>1.0</v>
      </c>
      <c r="J40" s="186">
        <f t="shared" si="8"/>
        <v>61.763232</v>
      </c>
      <c r="K40" s="187"/>
      <c r="L40" s="188">
        <f t="shared" si="17"/>
        <v>5.0546</v>
      </c>
      <c r="M40" s="189">
        <f t="shared" si="18"/>
        <v>1</v>
      </c>
      <c r="N40" s="189">
        <f t="shared" si="19"/>
        <v>5.0546</v>
      </c>
      <c r="O40" s="187"/>
      <c r="P40" s="187"/>
      <c r="Q40" s="188">
        <v>86.0</v>
      </c>
      <c r="R40" s="190">
        <v>26.5</v>
      </c>
      <c r="S40" s="178">
        <f t="shared" si="9"/>
        <v>1.83</v>
      </c>
      <c r="T40" s="162">
        <f t="shared" si="10"/>
        <v>1</v>
      </c>
      <c r="U40" s="162">
        <f t="shared" si="11"/>
        <v>1.83</v>
      </c>
      <c r="V40" s="191">
        <f t="shared" si="12"/>
        <v>77.20404</v>
      </c>
      <c r="W40" s="178">
        <f t="shared" ref="W40:X40" si="31">C40/100</f>
        <v>0.8</v>
      </c>
      <c r="X40" s="178">
        <f t="shared" si="31"/>
        <v>1.99</v>
      </c>
      <c r="Y40" s="178">
        <f t="shared" si="14"/>
        <v>1.83</v>
      </c>
      <c r="Z40" s="192">
        <f t="shared" si="15"/>
        <v>2.91336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16.0</v>
      </c>
      <c r="B41" s="193" t="s">
        <v>119</v>
      </c>
      <c r="C41" s="193">
        <v>100.0</v>
      </c>
      <c r="D41" s="193">
        <v>199.0</v>
      </c>
      <c r="E41" s="193">
        <v>203.0</v>
      </c>
      <c r="F41" s="193">
        <f t="shared" si="5"/>
        <v>0</v>
      </c>
      <c r="G41" s="193">
        <f t="shared" si="6"/>
        <v>107.05205</v>
      </c>
      <c r="H41" s="194">
        <f t="shared" si="7"/>
        <v>107.05205</v>
      </c>
      <c r="I41" s="193">
        <v>1.0</v>
      </c>
      <c r="J41" s="195">
        <f t="shared" si="8"/>
        <v>107.05205</v>
      </c>
      <c r="K41" s="139"/>
      <c r="L41" s="178">
        <f t="shared" si="17"/>
        <v>5.0546</v>
      </c>
      <c r="M41" s="162">
        <f t="shared" si="18"/>
        <v>1</v>
      </c>
      <c r="N41" s="162">
        <f t="shared" si="19"/>
        <v>5.0546</v>
      </c>
      <c r="O41" s="139"/>
      <c r="P41" s="139"/>
      <c r="Q41" s="178">
        <v>110.0</v>
      </c>
      <c r="R41" s="190">
        <v>26.5</v>
      </c>
      <c r="S41" s="178">
        <f t="shared" si="9"/>
        <v>2.03</v>
      </c>
      <c r="T41" s="162">
        <f t="shared" si="10"/>
        <v>1</v>
      </c>
      <c r="U41" s="162">
        <f t="shared" si="11"/>
        <v>2.03</v>
      </c>
      <c r="V41" s="191">
        <f t="shared" si="12"/>
        <v>107.05205</v>
      </c>
      <c r="W41" s="178">
        <f t="shared" ref="W41:X41" si="32">C41/100</f>
        <v>1</v>
      </c>
      <c r="X41" s="178">
        <f t="shared" si="32"/>
        <v>1.99</v>
      </c>
      <c r="Y41" s="178">
        <f t="shared" si="14"/>
        <v>2.03</v>
      </c>
      <c r="Z41" s="192">
        <f t="shared" si="15"/>
        <v>4.0397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17.0</v>
      </c>
      <c r="B42" s="193" t="s">
        <v>119</v>
      </c>
      <c r="C42" s="193">
        <v>100.0</v>
      </c>
      <c r="D42" s="193">
        <v>199.0</v>
      </c>
      <c r="E42" s="193">
        <v>2656.0</v>
      </c>
      <c r="F42" s="193">
        <f t="shared" si="5"/>
        <v>0</v>
      </c>
      <c r="G42" s="193">
        <f t="shared" si="6"/>
        <v>1400.6416</v>
      </c>
      <c r="H42" s="194">
        <f t="shared" si="7"/>
        <v>1400.6416</v>
      </c>
      <c r="I42" s="193">
        <v>1.0</v>
      </c>
      <c r="J42" s="195">
        <f t="shared" si="8"/>
        <v>1400.6416</v>
      </c>
      <c r="K42" s="139"/>
      <c r="L42" s="178">
        <f t="shared" si="17"/>
        <v>5.0546</v>
      </c>
      <c r="M42" s="162">
        <f t="shared" si="18"/>
        <v>1</v>
      </c>
      <c r="N42" s="162">
        <f t="shared" si="19"/>
        <v>5.0546</v>
      </c>
      <c r="O42" s="139"/>
      <c r="P42" s="139"/>
      <c r="Q42" s="178">
        <v>1440.0</v>
      </c>
      <c r="R42" s="190">
        <v>26.5</v>
      </c>
      <c r="S42" s="178">
        <f t="shared" si="9"/>
        <v>26.56</v>
      </c>
      <c r="T42" s="162">
        <f t="shared" si="10"/>
        <v>1</v>
      </c>
      <c r="U42" s="162">
        <f t="shared" si="11"/>
        <v>26.56</v>
      </c>
      <c r="V42" s="191">
        <f t="shared" si="12"/>
        <v>1400.6416</v>
      </c>
      <c r="W42" s="178">
        <f t="shared" ref="W42:X42" si="33">C42/100</f>
        <v>1</v>
      </c>
      <c r="X42" s="178">
        <f t="shared" si="33"/>
        <v>1.99</v>
      </c>
      <c r="Y42" s="178">
        <f t="shared" si="14"/>
        <v>26.56</v>
      </c>
      <c r="Z42" s="192">
        <f t="shared" si="15"/>
        <v>52.8544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18.0</v>
      </c>
      <c r="B43" s="193" t="s">
        <v>119</v>
      </c>
      <c r="C43" s="193">
        <v>100.0</v>
      </c>
      <c r="D43" s="193">
        <v>199.0</v>
      </c>
      <c r="E43" s="193">
        <v>2857.0</v>
      </c>
      <c r="F43" s="193">
        <f t="shared" si="5"/>
        <v>0</v>
      </c>
      <c r="G43" s="193">
        <f t="shared" si="6"/>
        <v>1506.63895</v>
      </c>
      <c r="H43" s="194">
        <f t="shared" si="7"/>
        <v>1506.63895</v>
      </c>
      <c r="I43" s="193">
        <v>1.0</v>
      </c>
      <c r="J43" s="195">
        <f t="shared" si="8"/>
        <v>1506.63895</v>
      </c>
      <c r="K43" s="139"/>
      <c r="L43" s="178">
        <f t="shared" si="17"/>
        <v>5.0546</v>
      </c>
      <c r="M43" s="162">
        <f t="shared" si="18"/>
        <v>1</v>
      </c>
      <c r="N43" s="162">
        <f t="shared" si="19"/>
        <v>5.0546</v>
      </c>
      <c r="O43" s="139"/>
      <c r="P43" s="139"/>
      <c r="Q43" s="178">
        <v>1510.0</v>
      </c>
      <c r="R43" s="190">
        <v>26.5</v>
      </c>
      <c r="S43" s="178">
        <f t="shared" si="9"/>
        <v>28.57</v>
      </c>
      <c r="T43" s="162">
        <f t="shared" si="10"/>
        <v>1</v>
      </c>
      <c r="U43" s="162">
        <f t="shared" si="11"/>
        <v>28.57</v>
      </c>
      <c r="V43" s="191">
        <f t="shared" si="12"/>
        <v>1506.63895</v>
      </c>
      <c r="W43" s="178">
        <f t="shared" ref="W43:X43" si="34">C43/100</f>
        <v>1</v>
      </c>
      <c r="X43" s="178">
        <f t="shared" si="34"/>
        <v>1.99</v>
      </c>
      <c r="Y43" s="178">
        <f t="shared" si="14"/>
        <v>28.57</v>
      </c>
      <c r="Z43" s="192">
        <f t="shared" si="15"/>
        <v>56.8543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2">
        <v>101.0</v>
      </c>
      <c r="B44" s="193"/>
      <c r="C44" s="193"/>
      <c r="D44" s="193"/>
      <c r="E44" s="193"/>
      <c r="F44" s="193">
        <f t="shared" si="5"/>
        <v>0</v>
      </c>
      <c r="G44" s="193">
        <f t="shared" si="6"/>
        <v>0</v>
      </c>
      <c r="H44" s="194">
        <f t="shared" si="7"/>
        <v>0</v>
      </c>
      <c r="I44" s="193"/>
      <c r="J44" s="195">
        <f t="shared" si="8"/>
        <v>0</v>
      </c>
      <c r="K44" s="139"/>
      <c r="L44" s="197"/>
      <c r="M44" s="198"/>
      <c r="N44" s="198"/>
      <c r="O44" s="139"/>
      <c r="P44" s="139"/>
      <c r="Q44" s="195"/>
      <c r="R44" s="141"/>
      <c r="S44" s="199">
        <f t="shared" si="9"/>
        <v>0</v>
      </c>
      <c r="T44" s="200" t="str">
        <f t="shared" si="10"/>
        <v/>
      </c>
      <c r="U44" s="200">
        <f t="shared" si="11"/>
        <v>0</v>
      </c>
      <c r="V44" s="203"/>
      <c r="W44" s="199">
        <f t="shared" ref="W44:X44" si="35">C44/100</f>
        <v>0</v>
      </c>
      <c r="X44" s="199">
        <f t="shared" si="35"/>
        <v>0</v>
      </c>
      <c r="Y44" s="199">
        <f t="shared" si="14"/>
        <v>0</v>
      </c>
      <c r="Z44" s="202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2">
        <v>102.0</v>
      </c>
      <c r="B45" s="193"/>
      <c r="C45" s="193"/>
      <c r="D45" s="193"/>
      <c r="E45" s="193"/>
      <c r="F45" s="193">
        <f t="shared" si="5"/>
        <v>0</v>
      </c>
      <c r="G45" s="193">
        <f t="shared" si="6"/>
        <v>0</v>
      </c>
      <c r="H45" s="194">
        <f t="shared" si="7"/>
        <v>0</v>
      </c>
      <c r="I45" s="193"/>
      <c r="J45" s="195">
        <f t="shared" si="8"/>
        <v>0</v>
      </c>
      <c r="K45" s="139"/>
      <c r="L45" s="197"/>
      <c r="M45" s="198"/>
      <c r="N45" s="198"/>
      <c r="O45" s="139"/>
      <c r="P45" s="139"/>
      <c r="Q45" s="195"/>
      <c r="R45" s="141"/>
      <c r="S45" s="199">
        <f t="shared" si="9"/>
        <v>0</v>
      </c>
      <c r="T45" s="200" t="str">
        <f t="shared" si="10"/>
        <v/>
      </c>
      <c r="U45" s="200">
        <f t="shared" si="11"/>
        <v>0</v>
      </c>
      <c r="V45" s="203"/>
      <c r="W45" s="199">
        <f t="shared" ref="W45:X45" si="36">C45/100</f>
        <v>0</v>
      </c>
      <c r="X45" s="199">
        <f t="shared" si="36"/>
        <v>0</v>
      </c>
      <c r="Y45" s="199">
        <f t="shared" si="14"/>
        <v>0</v>
      </c>
      <c r="Z45" s="202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2">
        <v>103.0</v>
      </c>
      <c r="B46" s="193"/>
      <c r="C46" s="193"/>
      <c r="D46" s="193"/>
      <c r="E46" s="193"/>
      <c r="F46" s="193">
        <f t="shared" si="5"/>
        <v>0</v>
      </c>
      <c r="G46" s="193">
        <f t="shared" si="6"/>
        <v>0</v>
      </c>
      <c r="H46" s="194">
        <f t="shared" si="7"/>
        <v>0</v>
      </c>
      <c r="I46" s="193"/>
      <c r="J46" s="195">
        <f t="shared" si="8"/>
        <v>0</v>
      </c>
      <c r="K46" s="139"/>
      <c r="L46" s="197"/>
      <c r="M46" s="198"/>
      <c r="N46" s="198"/>
      <c r="O46" s="139"/>
      <c r="P46" s="139"/>
      <c r="Q46" s="195"/>
      <c r="R46" s="141"/>
      <c r="S46" s="199">
        <f t="shared" si="9"/>
        <v>0</v>
      </c>
      <c r="T46" s="200" t="str">
        <f t="shared" si="10"/>
        <v/>
      </c>
      <c r="U46" s="200">
        <f t="shared" si="11"/>
        <v>0</v>
      </c>
      <c r="V46" s="203"/>
      <c r="W46" s="199">
        <f t="shared" ref="W46:X46" si="37">C46/100</f>
        <v>0</v>
      </c>
      <c r="X46" s="199">
        <f t="shared" si="37"/>
        <v>0</v>
      </c>
      <c r="Y46" s="199">
        <f t="shared" si="14"/>
        <v>0</v>
      </c>
      <c r="Z46" s="202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2">
        <v>104.0</v>
      </c>
      <c r="B47" s="193"/>
      <c r="C47" s="193"/>
      <c r="D47" s="193"/>
      <c r="E47" s="193"/>
      <c r="F47" s="193">
        <f t="shared" si="5"/>
        <v>0</v>
      </c>
      <c r="G47" s="193">
        <f t="shared" si="6"/>
        <v>0</v>
      </c>
      <c r="H47" s="194">
        <f t="shared" si="7"/>
        <v>0</v>
      </c>
      <c r="I47" s="193"/>
      <c r="J47" s="195">
        <f t="shared" si="8"/>
        <v>0</v>
      </c>
      <c r="K47" s="139"/>
      <c r="L47" s="197"/>
      <c r="M47" s="198"/>
      <c r="N47" s="198"/>
      <c r="O47" s="139"/>
      <c r="P47" s="139"/>
      <c r="Q47" s="195"/>
      <c r="R47" s="141"/>
      <c r="S47" s="199">
        <f t="shared" si="9"/>
        <v>0</v>
      </c>
      <c r="T47" s="200" t="str">
        <f t="shared" si="10"/>
        <v/>
      </c>
      <c r="U47" s="200">
        <f t="shared" si="11"/>
        <v>0</v>
      </c>
      <c r="V47" s="203"/>
      <c r="W47" s="199">
        <f t="shared" ref="W47:X47" si="38">C47/100</f>
        <v>0</v>
      </c>
      <c r="X47" s="199">
        <f t="shared" si="38"/>
        <v>0</v>
      </c>
      <c r="Y47" s="199">
        <f t="shared" si="14"/>
        <v>0</v>
      </c>
      <c r="Z47" s="202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2">
        <v>105.0</v>
      </c>
      <c r="B48" s="193"/>
      <c r="C48" s="193"/>
      <c r="D48" s="193"/>
      <c r="E48" s="193"/>
      <c r="F48" s="193">
        <f t="shared" si="5"/>
        <v>0</v>
      </c>
      <c r="G48" s="193">
        <f t="shared" si="6"/>
        <v>0</v>
      </c>
      <c r="H48" s="194">
        <f t="shared" si="7"/>
        <v>0</v>
      </c>
      <c r="I48" s="193"/>
      <c r="J48" s="195">
        <f t="shared" si="8"/>
        <v>0</v>
      </c>
      <c r="K48" s="139"/>
      <c r="L48" s="197"/>
      <c r="M48" s="198"/>
      <c r="N48" s="198"/>
      <c r="O48" s="139"/>
      <c r="P48" s="139"/>
      <c r="Q48" s="195"/>
      <c r="R48" s="141"/>
      <c r="S48" s="199">
        <f t="shared" si="9"/>
        <v>0</v>
      </c>
      <c r="T48" s="200" t="str">
        <f t="shared" si="10"/>
        <v/>
      </c>
      <c r="U48" s="200">
        <f t="shared" si="11"/>
        <v>0</v>
      </c>
      <c r="V48" s="203"/>
      <c r="W48" s="199">
        <f t="shared" ref="W48:X48" si="39">C48/100</f>
        <v>0</v>
      </c>
      <c r="X48" s="199">
        <f t="shared" si="39"/>
        <v>0</v>
      </c>
      <c r="Y48" s="199">
        <f t="shared" si="14"/>
        <v>0</v>
      </c>
      <c r="Z48" s="202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2">
        <v>106.0</v>
      </c>
      <c r="B49" s="193"/>
      <c r="C49" s="193"/>
      <c r="D49" s="193"/>
      <c r="E49" s="193"/>
      <c r="F49" s="193">
        <f t="shared" si="5"/>
        <v>0</v>
      </c>
      <c r="G49" s="193">
        <f t="shared" si="6"/>
        <v>0</v>
      </c>
      <c r="H49" s="194">
        <f t="shared" si="7"/>
        <v>0</v>
      </c>
      <c r="I49" s="193"/>
      <c r="J49" s="195">
        <f t="shared" si="8"/>
        <v>0</v>
      </c>
      <c r="K49" s="139"/>
      <c r="L49" s="197"/>
      <c r="M49" s="198"/>
      <c r="N49" s="198"/>
      <c r="O49" s="139"/>
      <c r="P49" s="139"/>
      <c r="Q49" s="195"/>
      <c r="R49" s="141"/>
      <c r="S49" s="199">
        <f t="shared" si="9"/>
        <v>0</v>
      </c>
      <c r="T49" s="200" t="str">
        <f t="shared" si="10"/>
        <v/>
      </c>
      <c r="U49" s="200">
        <f t="shared" si="11"/>
        <v>0</v>
      </c>
      <c r="V49" s="203"/>
      <c r="W49" s="199">
        <f t="shared" ref="W49:X49" si="40">C49/100</f>
        <v>0</v>
      </c>
      <c r="X49" s="199">
        <f t="shared" si="40"/>
        <v>0</v>
      </c>
      <c r="Y49" s="199">
        <f t="shared" si="14"/>
        <v>0</v>
      </c>
      <c r="Z49" s="202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2">
        <v>107.0</v>
      </c>
      <c r="B50" s="193"/>
      <c r="C50" s="193"/>
      <c r="D50" s="193"/>
      <c r="E50" s="193"/>
      <c r="F50" s="193">
        <f t="shared" si="5"/>
        <v>0</v>
      </c>
      <c r="G50" s="193">
        <f t="shared" si="6"/>
        <v>0</v>
      </c>
      <c r="H50" s="194">
        <f t="shared" si="7"/>
        <v>0</v>
      </c>
      <c r="I50" s="193"/>
      <c r="J50" s="195">
        <f t="shared" si="8"/>
        <v>0</v>
      </c>
      <c r="K50" s="139"/>
      <c r="L50" s="197"/>
      <c r="M50" s="198"/>
      <c r="N50" s="198"/>
      <c r="O50" s="139"/>
      <c r="P50" s="139"/>
      <c r="Q50" s="195"/>
      <c r="R50" s="141"/>
      <c r="S50" s="199">
        <f t="shared" si="9"/>
        <v>0</v>
      </c>
      <c r="T50" s="200" t="str">
        <f t="shared" si="10"/>
        <v/>
      </c>
      <c r="U50" s="200">
        <f t="shared" si="11"/>
        <v>0</v>
      </c>
      <c r="V50" s="203"/>
      <c r="W50" s="199">
        <f t="shared" ref="W50:X50" si="41">C50/100</f>
        <v>0</v>
      </c>
      <c r="X50" s="199">
        <f t="shared" si="41"/>
        <v>0</v>
      </c>
      <c r="Y50" s="199">
        <f t="shared" si="14"/>
        <v>0</v>
      </c>
      <c r="Z50" s="202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2">
        <v>108.0</v>
      </c>
      <c r="B51" s="193"/>
      <c r="C51" s="193"/>
      <c r="D51" s="193"/>
      <c r="E51" s="193"/>
      <c r="F51" s="193">
        <f t="shared" si="5"/>
        <v>0</v>
      </c>
      <c r="G51" s="193">
        <f t="shared" si="6"/>
        <v>0</v>
      </c>
      <c r="H51" s="194">
        <f t="shared" si="7"/>
        <v>0</v>
      </c>
      <c r="I51" s="193"/>
      <c r="J51" s="195">
        <f t="shared" si="8"/>
        <v>0</v>
      </c>
      <c r="K51" s="139"/>
      <c r="L51" s="197"/>
      <c r="M51" s="198"/>
      <c r="N51" s="198"/>
      <c r="O51" s="139"/>
      <c r="P51" s="139"/>
      <c r="Q51" s="195"/>
      <c r="R51" s="141"/>
      <c r="S51" s="199">
        <f t="shared" si="9"/>
        <v>0</v>
      </c>
      <c r="T51" s="200" t="str">
        <f t="shared" si="10"/>
        <v/>
      </c>
      <c r="U51" s="200">
        <f t="shared" si="11"/>
        <v>0</v>
      </c>
      <c r="V51" s="203"/>
      <c r="W51" s="199">
        <f t="shared" ref="W51:X51" si="42">C51/100</f>
        <v>0</v>
      </c>
      <c r="X51" s="199">
        <f t="shared" si="42"/>
        <v>0</v>
      </c>
      <c r="Y51" s="199">
        <f t="shared" si="14"/>
        <v>0</v>
      </c>
      <c r="Z51" s="202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2">
        <v>109.0</v>
      </c>
      <c r="B52" s="193"/>
      <c r="C52" s="193"/>
      <c r="D52" s="193"/>
      <c r="E52" s="193"/>
      <c r="F52" s="193">
        <f t="shared" si="5"/>
        <v>0</v>
      </c>
      <c r="G52" s="193">
        <f t="shared" si="6"/>
        <v>0</v>
      </c>
      <c r="H52" s="194">
        <f t="shared" si="7"/>
        <v>0</v>
      </c>
      <c r="I52" s="193"/>
      <c r="J52" s="195">
        <f t="shared" si="8"/>
        <v>0</v>
      </c>
      <c r="K52" s="139"/>
      <c r="L52" s="197"/>
      <c r="M52" s="198"/>
      <c r="N52" s="198"/>
      <c r="O52" s="139"/>
      <c r="P52" s="139"/>
      <c r="Q52" s="195"/>
      <c r="R52" s="141"/>
      <c r="S52" s="199">
        <f t="shared" si="9"/>
        <v>0</v>
      </c>
      <c r="T52" s="200" t="str">
        <f t="shared" si="10"/>
        <v/>
      </c>
      <c r="U52" s="200">
        <f t="shared" si="11"/>
        <v>0</v>
      </c>
      <c r="V52" s="203"/>
      <c r="W52" s="199">
        <f t="shared" ref="W52:X52" si="43">C52/100</f>
        <v>0</v>
      </c>
      <c r="X52" s="199">
        <f t="shared" si="43"/>
        <v>0</v>
      </c>
      <c r="Y52" s="199">
        <f t="shared" si="14"/>
        <v>0</v>
      </c>
      <c r="Z52" s="202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2">
        <v>110.0</v>
      </c>
      <c r="B53" s="193"/>
      <c r="C53" s="193"/>
      <c r="D53" s="193"/>
      <c r="E53" s="193"/>
      <c r="F53" s="193">
        <f t="shared" si="5"/>
        <v>0</v>
      </c>
      <c r="G53" s="193">
        <f t="shared" si="6"/>
        <v>0</v>
      </c>
      <c r="H53" s="194">
        <f t="shared" si="7"/>
        <v>0</v>
      </c>
      <c r="I53" s="193"/>
      <c r="J53" s="195">
        <f t="shared" si="8"/>
        <v>0</v>
      </c>
      <c r="K53" s="139"/>
      <c r="L53" s="197"/>
      <c r="M53" s="198"/>
      <c r="N53" s="198"/>
      <c r="O53" s="139"/>
      <c r="P53" s="139"/>
      <c r="Q53" s="195"/>
      <c r="R53" s="141"/>
      <c r="S53" s="199">
        <f t="shared" si="9"/>
        <v>0</v>
      </c>
      <c r="T53" s="200" t="str">
        <f t="shared" si="10"/>
        <v/>
      </c>
      <c r="U53" s="200">
        <f t="shared" si="11"/>
        <v>0</v>
      </c>
      <c r="V53" s="203"/>
      <c r="W53" s="199">
        <f t="shared" ref="W53:X53" si="44">C53/100</f>
        <v>0</v>
      </c>
      <c r="X53" s="199">
        <f t="shared" si="44"/>
        <v>0</v>
      </c>
      <c r="Y53" s="199">
        <f t="shared" si="14"/>
        <v>0</v>
      </c>
      <c r="Z53" s="202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2">
        <v>111.0</v>
      </c>
      <c r="B54" s="193"/>
      <c r="C54" s="193"/>
      <c r="D54" s="193"/>
      <c r="E54" s="193"/>
      <c r="F54" s="193">
        <f t="shared" si="5"/>
        <v>0</v>
      </c>
      <c r="G54" s="193">
        <f t="shared" si="6"/>
        <v>0</v>
      </c>
      <c r="H54" s="194">
        <f t="shared" si="7"/>
        <v>0</v>
      </c>
      <c r="I54" s="193"/>
      <c r="J54" s="195">
        <f t="shared" si="8"/>
        <v>0</v>
      </c>
      <c r="K54" s="139"/>
      <c r="L54" s="197"/>
      <c r="M54" s="198"/>
      <c r="N54" s="198"/>
      <c r="O54" s="139"/>
      <c r="P54" s="139"/>
      <c r="Q54" s="195"/>
      <c r="R54" s="141"/>
      <c r="S54" s="199">
        <f t="shared" si="9"/>
        <v>0</v>
      </c>
      <c r="T54" s="200" t="str">
        <f t="shared" si="10"/>
        <v/>
      </c>
      <c r="U54" s="200">
        <f t="shared" si="11"/>
        <v>0</v>
      </c>
      <c r="V54" s="203"/>
      <c r="W54" s="199">
        <f t="shared" ref="W54:X54" si="45">C54/100</f>
        <v>0</v>
      </c>
      <c r="X54" s="199">
        <f t="shared" si="45"/>
        <v>0</v>
      </c>
      <c r="Y54" s="199">
        <f t="shared" si="14"/>
        <v>0</v>
      </c>
      <c r="Z54" s="202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2">
        <v>112.0</v>
      </c>
      <c r="B55" s="193"/>
      <c r="C55" s="193"/>
      <c r="D55" s="193"/>
      <c r="E55" s="193"/>
      <c r="F55" s="193">
        <f t="shared" si="5"/>
        <v>0</v>
      </c>
      <c r="G55" s="193">
        <f t="shared" si="6"/>
        <v>0</v>
      </c>
      <c r="H55" s="194">
        <f t="shared" si="7"/>
        <v>0</v>
      </c>
      <c r="I55" s="193"/>
      <c r="J55" s="195">
        <f t="shared" si="8"/>
        <v>0</v>
      </c>
      <c r="K55" s="139"/>
      <c r="L55" s="197"/>
      <c r="M55" s="198"/>
      <c r="N55" s="198"/>
      <c r="O55" s="139"/>
      <c r="P55" s="139"/>
      <c r="Q55" s="195"/>
      <c r="R55" s="141"/>
      <c r="S55" s="199">
        <f t="shared" si="9"/>
        <v>0</v>
      </c>
      <c r="T55" s="200" t="str">
        <f t="shared" si="10"/>
        <v/>
      </c>
      <c r="U55" s="200">
        <f t="shared" si="11"/>
        <v>0</v>
      </c>
      <c r="V55" s="203"/>
      <c r="W55" s="199">
        <f t="shared" ref="W55:X55" si="46">C55/100</f>
        <v>0</v>
      </c>
      <c r="X55" s="199">
        <f t="shared" si="46"/>
        <v>0</v>
      </c>
      <c r="Y55" s="199">
        <f t="shared" si="14"/>
        <v>0</v>
      </c>
      <c r="Z55" s="202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2">
        <v>113.0</v>
      </c>
      <c r="B56" s="193"/>
      <c r="C56" s="193"/>
      <c r="D56" s="193"/>
      <c r="E56" s="193"/>
      <c r="F56" s="193">
        <f t="shared" si="5"/>
        <v>0</v>
      </c>
      <c r="G56" s="193">
        <f t="shared" si="6"/>
        <v>0</v>
      </c>
      <c r="H56" s="194">
        <f t="shared" si="7"/>
        <v>0</v>
      </c>
      <c r="I56" s="193"/>
      <c r="J56" s="195">
        <f t="shared" si="8"/>
        <v>0</v>
      </c>
      <c r="K56" s="139"/>
      <c r="L56" s="197"/>
      <c r="M56" s="198"/>
      <c r="N56" s="198"/>
      <c r="O56" s="139"/>
      <c r="P56" s="139"/>
      <c r="Q56" s="195"/>
      <c r="R56" s="141"/>
      <c r="S56" s="199">
        <f t="shared" si="9"/>
        <v>0</v>
      </c>
      <c r="T56" s="200" t="str">
        <f t="shared" si="10"/>
        <v/>
      </c>
      <c r="U56" s="200">
        <f t="shared" si="11"/>
        <v>0</v>
      </c>
      <c r="V56" s="203"/>
      <c r="W56" s="199">
        <f t="shared" ref="W56:X56" si="47">C56/100</f>
        <v>0</v>
      </c>
      <c r="X56" s="199">
        <f t="shared" si="47"/>
        <v>0</v>
      </c>
      <c r="Y56" s="199">
        <f t="shared" si="14"/>
        <v>0</v>
      </c>
      <c r="Z56" s="202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2">
        <v>114.0</v>
      </c>
      <c r="B57" s="193"/>
      <c r="C57" s="193"/>
      <c r="D57" s="193"/>
      <c r="E57" s="193"/>
      <c r="F57" s="193">
        <f t="shared" si="5"/>
        <v>0</v>
      </c>
      <c r="G57" s="193">
        <f t="shared" si="6"/>
        <v>0</v>
      </c>
      <c r="H57" s="194">
        <f t="shared" si="7"/>
        <v>0</v>
      </c>
      <c r="I57" s="193"/>
      <c r="J57" s="195">
        <f t="shared" si="8"/>
        <v>0</v>
      </c>
      <c r="K57" s="139"/>
      <c r="L57" s="197"/>
      <c r="M57" s="198"/>
      <c r="N57" s="198"/>
      <c r="O57" s="139"/>
      <c r="P57" s="139"/>
      <c r="Q57" s="195"/>
      <c r="R57" s="141"/>
      <c r="S57" s="199">
        <f t="shared" si="9"/>
        <v>0</v>
      </c>
      <c r="T57" s="200" t="str">
        <f t="shared" si="10"/>
        <v/>
      </c>
      <c r="U57" s="200">
        <f t="shared" si="11"/>
        <v>0</v>
      </c>
      <c r="V57" s="203"/>
      <c r="W57" s="199">
        <f t="shared" ref="W57:X57" si="48">C57/100</f>
        <v>0</v>
      </c>
      <c r="X57" s="199">
        <f t="shared" si="48"/>
        <v>0</v>
      </c>
      <c r="Y57" s="199">
        <f t="shared" si="14"/>
        <v>0</v>
      </c>
      <c r="Z57" s="202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2">
        <v>115.0</v>
      </c>
      <c r="B58" s="193"/>
      <c r="C58" s="193"/>
      <c r="D58" s="193"/>
      <c r="E58" s="193"/>
      <c r="F58" s="193">
        <f t="shared" si="5"/>
        <v>0</v>
      </c>
      <c r="G58" s="193">
        <f t="shared" si="6"/>
        <v>0</v>
      </c>
      <c r="H58" s="194">
        <f t="shared" si="7"/>
        <v>0</v>
      </c>
      <c r="I58" s="193"/>
      <c r="J58" s="195">
        <f t="shared" si="8"/>
        <v>0</v>
      </c>
      <c r="K58" s="139"/>
      <c r="L58" s="197"/>
      <c r="M58" s="198"/>
      <c r="N58" s="198"/>
      <c r="O58" s="139"/>
      <c r="P58" s="139"/>
      <c r="Q58" s="195"/>
      <c r="R58" s="141"/>
      <c r="S58" s="199">
        <f t="shared" si="9"/>
        <v>0</v>
      </c>
      <c r="T58" s="200" t="str">
        <f t="shared" si="10"/>
        <v/>
      </c>
      <c r="U58" s="200">
        <f t="shared" si="11"/>
        <v>0</v>
      </c>
      <c r="V58" s="203"/>
      <c r="W58" s="199">
        <f t="shared" ref="W58:X58" si="49">C58/100</f>
        <v>0</v>
      </c>
      <c r="X58" s="199">
        <f t="shared" si="49"/>
        <v>0</v>
      </c>
      <c r="Y58" s="199">
        <f t="shared" si="14"/>
        <v>0</v>
      </c>
      <c r="Z58" s="202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2">
        <v>116.0</v>
      </c>
      <c r="B59" s="193"/>
      <c r="C59" s="193"/>
      <c r="D59" s="193"/>
      <c r="E59" s="193"/>
      <c r="F59" s="193">
        <f t="shared" si="5"/>
        <v>0</v>
      </c>
      <c r="G59" s="193">
        <f t="shared" si="6"/>
        <v>0</v>
      </c>
      <c r="H59" s="194">
        <f t="shared" si="7"/>
        <v>0</v>
      </c>
      <c r="I59" s="193"/>
      <c r="J59" s="195">
        <f t="shared" si="8"/>
        <v>0</v>
      </c>
      <c r="K59" s="139"/>
      <c r="L59" s="197"/>
      <c r="M59" s="198"/>
      <c r="N59" s="198"/>
      <c r="O59" s="139"/>
      <c r="P59" s="139"/>
      <c r="Q59" s="195"/>
      <c r="R59" s="141"/>
      <c r="S59" s="199">
        <f t="shared" si="9"/>
        <v>0</v>
      </c>
      <c r="T59" s="200" t="str">
        <f t="shared" si="10"/>
        <v/>
      </c>
      <c r="U59" s="200">
        <f t="shared" si="11"/>
        <v>0</v>
      </c>
      <c r="V59" s="203"/>
      <c r="W59" s="199">
        <f t="shared" ref="W59:X59" si="50">C59/100</f>
        <v>0</v>
      </c>
      <c r="X59" s="199">
        <f t="shared" si="50"/>
        <v>0</v>
      </c>
      <c r="Y59" s="199">
        <f t="shared" si="14"/>
        <v>0</v>
      </c>
      <c r="Z59" s="202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117.0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1">C60/100</f>
        <v>0</v>
      </c>
      <c r="X60" s="199">
        <f t="shared" si="51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118.0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2">C61/100</f>
        <v>0</v>
      </c>
      <c r="X61" s="199">
        <f t="shared" si="52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119.0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3">C62/100</f>
        <v>0</v>
      </c>
      <c r="X62" s="199">
        <f t="shared" si="53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120.0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4">C63/100</f>
        <v>0</v>
      </c>
      <c r="X63" s="199">
        <f t="shared" si="54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121.0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5">C64/100</f>
        <v>0</v>
      </c>
      <c r="X64" s="199">
        <f t="shared" si="55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122.0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6">C65/100</f>
        <v>0</v>
      </c>
      <c r="X65" s="199">
        <f t="shared" si="56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123.0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7">C66/100</f>
        <v>0</v>
      </c>
      <c r="X66" s="199">
        <f t="shared" si="57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124.0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8">C67/100</f>
        <v>0</v>
      </c>
      <c r="X67" s="199">
        <f t="shared" si="58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125.0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9">C68/100</f>
        <v>0</v>
      </c>
      <c r="X68" s="199">
        <f t="shared" si="59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126.0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60">C69/100</f>
        <v>0</v>
      </c>
      <c r="X69" s="199">
        <f t="shared" si="60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127.0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1">C70/100</f>
        <v>0</v>
      </c>
      <c r="X70" s="199">
        <f t="shared" si="61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128.0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2">C71/100</f>
        <v>0</v>
      </c>
      <c r="X71" s="199">
        <f t="shared" si="62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129.0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3">C72/100</f>
        <v>0</v>
      </c>
      <c r="X72" s="199">
        <f t="shared" si="63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130.0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4">C73/100</f>
        <v>0</v>
      </c>
      <c r="X73" s="199">
        <f t="shared" si="64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131.0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5">C74/100</f>
        <v>0</v>
      </c>
      <c r="X74" s="199">
        <f t="shared" si="65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132.0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6">C75/100</f>
        <v>0</v>
      </c>
      <c r="X75" s="199">
        <f t="shared" si="66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133.0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7">C76/100</f>
        <v>0</v>
      </c>
      <c r="X76" s="199">
        <f t="shared" si="67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134.0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8">C77/100</f>
        <v>0</v>
      </c>
      <c r="X77" s="199">
        <f t="shared" si="68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135.0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9">C78/100</f>
        <v>0</v>
      </c>
      <c r="X78" s="199">
        <f t="shared" si="69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136.0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70">C79/100</f>
        <v>0</v>
      </c>
      <c r="X79" s="199">
        <f t="shared" si="70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137.0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1">C80/100</f>
        <v>0</v>
      </c>
      <c r="X80" s="199">
        <f t="shared" si="71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138.0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2">C81/100</f>
        <v>0</v>
      </c>
      <c r="X81" s="199">
        <f t="shared" si="72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139.0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3">C82/100</f>
        <v>0</v>
      </c>
      <c r="X82" s="199">
        <f t="shared" si="73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140.0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4">C83/100</f>
        <v>0</v>
      </c>
      <c r="X83" s="199">
        <f t="shared" si="74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141.0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5">C84/100</f>
        <v>0</v>
      </c>
      <c r="X84" s="199">
        <f t="shared" si="75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142.0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6">C85/100</f>
        <v>0</v>
      </c>
      <c r="X85" s="199">
        <f t="shared" si="76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143.0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7">C86/100</f>
        <v>0</v>
      </c>
      <c r="X86" s="199">
        <f t="shared" si="77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144.0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8">C87/100</f>
        <v>0</v>
      </c>
      <c r="X87" s="199">
        <f t="shared" si="78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145.0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9">C88/100</f>
        <v>0</v>
      </c>
      <c r="X88" s="199">
        <f t="shared" si="79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146.0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80">C89/100</f>
        <v>0</v>
      </c>
      <c r="X89" s="199">
        <f t="shared" si="80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147.0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1">C90/100</f>
        <v>0</v>
      </c>
      <c r="X90" s="199">
        <f t="shared" si="81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148.0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2">C91/100</f>
        <v>0</v>
      </c>
      <c r="X91" s="199">
        <f t="shared" si="82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149.0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3">C92/100</f>
        <v>0</v>
      </c>
      <c r="X92" s="199">
        <f t="shared" si="83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150.0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4">C93/100</f>
        <v>0</v>
      </c>
      <c r="X93" s="199">
        <f t="shared" si="84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151.0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5">C94/100</f>
        <v>0</v>
      </c>
      <c r="X94" s="199">
        <f t="shared" si="85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152.0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6">C95/100</f>
        <v>0</v>
      </c>
      <c r="X95" s="199">
        <f t="shared" si="86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153.0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7">C96/100</f>
        <v>0</v>
      </c>
      <c r="X96" s="199">
        <f t="shared" si="87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154.0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8">C97/100</f>
        <v>0</v>
      </c>
      <c r="X97" s="199">
        <f t="shared" si="88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155.0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9">C98/100</f>
        <v>0</v>
      </c>
      <c r="X98" s="199">
        <f t="shared" si="89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156.0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90">C99/100</f>
        <v>0</v>
      </c>
      <c r="X99" s="199">
        <f t="shared" si="90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157.0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1">C100/100</f>
        <v>0</v>
      </c>
      <c r="X100" s="199">
        <f t="shared" si="91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158.0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2">C101/100</f>
        <v>0</v>
      </c>
      <c r="X101" s="199">
        <f t="shared" si="92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159.0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3">C102/100</f>
        <v>0</v>
      </c>
      <c r="X102" s="199">
        <f t="shared" si="93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160.0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4">C103/100</f>
        <v>0</v>
      </c>
      <c r="X103" s="199">
        <f t="shared" si="94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161.0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5">C104/100</f>
        <v>0</v>
      </c>
      <c r="X104" s="199">
        <f t="shared" si="95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162.0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6">C105/100</f>
        <v>0</v>
      </c>
      <c r="X105" s="199">
        <f t="shared" si="96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163.0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7">C106/100</f>
        <v>0</v>
      </c>
      <c r="X106" s="199">
        <f t="shared" si="97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164.0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8">C107/100</f>
        <v>0</v>
      </c>
      <c r="X107" s="199">
        <f t="shared" si="98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165.0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9">C108/100</f>
        <v>0</v>
      </c>
      <c r="X108" s="199">
        <f t="shared" si="99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166.0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100">C109/100</f>
        <v>0</v>
      </c>
      <c r="X109" s="199">
        <f t="shared" si="100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167.0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1">C110/100</f>
        <v>0</v>
      </c>
      <c r="X110" s="199">
        <f t="shared" si="101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168.0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2">C111/100</f>
        <v>0</v>
      </c>
      <c r="X111" s="199">
        <f t="shared" si="102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169.0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3">C112/100</f>
        <v>0</v>
      </c>
      <c r="X112" s="199">
        <f t="shared" si="103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170.0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4">C113/100</f>
        <v>0</v>
      </c>
      <c r="X113" s="199">
        <f t="shared" si="104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171.0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5">C114/100</f>
        <v>0</v>
      </c>
      <c r="X114" s="199">
        <f t="shared" si="105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172.0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6">C115/100</f>
        <v>0</v>
      </c>
      <c r="X115" s="199">
        <f t="shared" si="106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173.0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7">C116/100</f>
        <v>0</v>
      </c>
      <c r="X116" s="199">
        <f t="shared" si="107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174.0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8">C117/100</f>
        <v>0</v>
      </c>
      <c r="X117" s="199">
        <f t="shared" si="108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175.0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9">C118/100</f>
        <v>0</v>
      </c>
      <c r="X118" s="199">
        <f t="shared" si="109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176.0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10">C119/100</f>
        <v>0</v>
      </c>
      <c r="X119" s="199">
        <f t="shared" si="110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177.0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1">C120/100</f>
        <v>0</v>
      </c>
      <c r="X120" s="199">
        <f t="shared" si="111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178.0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2">C121/100</f>
        <v>0</v>
      </c>
      <c r="X121" s="199">
        <f t="shared" si="112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179.0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3">C122/100</f>
        <v>0</v>
      </c>
      <c r="X122" s="199">
        <f t="shared" si="113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180.0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4">C123/100</f>
        <v>0</v>
      </c>
      <c r="X123" s="199">
        <f t="shared" si="114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181.0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5">C124/100</f>
        <v>0</v>
      </c>
      <c r="X124" s="199">
        <f t="shared" si="115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182.0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6">C125/100</f>
        <v>0</v>
      </c>
      <c r="X125" s="199">
        <f t="shared" si="116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183.0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7">C126/100</f>
        <v>0</v>
      </c>
      <c r="X126" s="199">
        <f t="shared" si="117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184.0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8">C127/100</f>
        <v>0</v>
      </c>
      <c r="X127" s="199">
        <f t="shared" si="118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185.0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9">C128/100</f>
        <v>0</v>
      </c>
      <c r="X128" s="199">
        <f t="shared" si="119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186.0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20">C129/100</f>
        <v>0</v>
      </c>
      <c r="X129" s="199">
        <f t="shared" si="120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187.0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1">C130/100</f>
        <v>0</v>
      </c>
      <c r="X130" s="199">
        <f t="shared" si="121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188.0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2">C131/100</f>
        <v>0</v>
      </c>
      <c r="X131" s="199">
        <f t="shared" si="122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189.0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3">C132/100</f>
        <v>0</v>
      </c>
      <c r="X132" s="199">
        <f t="shared" si="123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190.0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4">C133/100</f>
        <v>0</v>
      </c>
      <c r="X133" s="199">
        <f t="shared" si="124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191.0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5">C134/100</f>
        <v>0</v>
      </c>
      <c r="X134" s="199">
        <f t="shared" si="125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192.0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6">C135/100</f>
        <v>0</v>
      </c>
      <c r="X135" s="199">
        <f t="shared" si="126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193.0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7">C136/100</f>
        <v>0</v>
      </c>
      <c r="X136" s="199">
        <f t="shared" si="127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194.0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8">C137/100</f>
        <v>0</v>
      </c>
      <c r="X137" s="199">
        <f t="shared" si="128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195.0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9">C138/100</f>
        <v>0</v>
      </c>
      <c r="X138" s="199">
        <f t="shared" si="129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196.0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30">C139/100</f>
        <v>0</v>
      </c>
      <c r="X139" s="199">
        <f t="shared" si="130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197.0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1">C140/100</f>
        <v>0</v>
      </c>
      <c r="X140" s="199">
        <f t="shared" si="131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198.0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2">C141/100</f>
        <v>0</v>
      </c>
      <c r="X141" s="199">
        <f t="shared" si="132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199.0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3">C142/100</f>
        <v>0</v>
      </c>
      <c r="X142" s="199">
        <f t="shared" si="133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200.0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4">C143/100</f>
        <v>0</v>
      </c>
      <c r="X143" s="199">
        <f t="shared" si="134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201.0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5">C144/100</f>
        <v>0</v>
      </c>
      <c r="X144" s="199">
        <f t="shared" si="135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202.0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6">C145/100</f>
        <v>0</v>
      </c>
      <c r="X145" s="199">
        <f t="shared" si="136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203.0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7">C146/100</f>
        <v>0</v>
      </c>
      <c r="X146" s="199">
        <f t="shared" si="137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204.0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8">C147/100</f>
        <v>0</v>
      </c>
      <c r="X147" s="199">
        <f t="shared" si="138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205.0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9">C148/100</f>
        <v>0</v>
      </c>
      <c r="X148" s="199">
        <f t="shared" si="139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206.0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40">C149/100</f>
        <v>0</v>
      </c>
      <c r="X149" s="199">
        <f t="shared" si="140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207.0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1">C150/100</f>
        <v>0</v>
      </c>
      <c r="X150" s="199">
        <f t="shared" si="141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208.0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2">C151/100</f>
        <v>0</v>
      </c>
      <c r="X151" s="199">
        <f t="shared" si="142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209.0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3">C152/100</f>
        <v>0</v>
      </c>
      <c r="X152" s="199">
        <f t="shared" si="143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210.0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4">C153/100</f>
        <v>0</v>
      </c>
      <c r="X153" s="199">
        <f t="shared" si="144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211.0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5">C154/100</f>
        <v>0</v>
      </c>
      <c r="X154" s="199">
        <f t="shared" si="145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212.0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6">C155/100</f>
        <v>0</v>
      </c>
      <c r="X155" s="199">
        <f t="shared" si="146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213.0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7">C156/100</f>
        <v>0</v>
      </c>
      <c r="X156" s="199">
        <f t="shared" si="147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214.0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8">C157/100</f>
        <v>0</v>
      </c>
      <c r="X157" s="199">
        <f t="shared" si="148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215.0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9">C158/100</f>
        <v>0</v>
      </c>
      <c r="X158" s="199">
        <f t="shared" si="149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216.0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50">C159/100</f>
        <v>0</v>
      </c>
      <c r="X159" s="199">
        <f t="shared" si="150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217.0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1">C160/100</f>
        <v>0</v>
      </c>
      <c r="X160" s="199">
        <f t="shared" si="151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customHeight="1">
      <c r="A161" s="162"/>
      <c r="B161" s="178"/>
      <c r="C161" s="178"/>
      <c r="D161" s="178"/>
      <c r="E161" s="178"/>
      <c r="F161" s="178"/>
      <c r="G161" s="178"/>
      <c r="H161" s="181"/>
      <c r="I161" s="162"/>
      <c r="J161" s="204">
        <f>+Q213</f>
        <v>93.2</v>
      </c>
      <c r="K161" s="139"/>
      <c r="L161" s="139"/>
      <c r="M161" s="139"/>
      <c r="N161" s="139"/>
      <c r="O161" s="139"/>
      <c r="P161" s="139"/>
      <c r="Q161" s="139"/>
      <c r="R161" s="205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2">C161/100</f>
        <v>0</v>
      </c>
      <c r="X161" s="199">
        <f t="shared" si="152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customHeight="1">
      <c r="A162" s="162"/>
      <c r="B162" s="206"/>
      <c r="C162" s="206"/>
      <c r="D162" s="206"/>
      <c r="E162" s="206"/>
      <c r="F162" s="206"/>
      <c r="G162" s="206"/>
      <c r="H162" s="207"/>
      <c r="I162" s="208">
        <f>SUM(I26:I160)</f>
        <v>18</v>
      </c>
      <c r="J162" s="209">
        <f>SUM(J26:J161)</f>
        <v>16369.64108</v>
      </c>
      <c r="K162" s="210"/>
      <c r="L162" s="210"/>
      <c r="M162" s="210"/>
      <c r="N162" s="210"/>
      <c r="O162" s="210"/>
      <c r="P162" s="210"/>
      <c r="Q162" s="210"/>
      <c r="R162" s="141"/>
      <c r="S162" s="210">
        <f>SUMIFS($T$26:$T$160,$S$26:$S$160,"&gt;=3")</f>
        <v>10</v>
      </c>
      <c r="T162" s="210">
        <f t="shared" ref="T162:U162" si="153">SUM(T26:T160)</f>
        <v>18</v>
      </c>
      <c r="U162" s="210">
        <f t="shared" si="153"/>
        <v>295.61</v>
      </c>
      <c r="V162" s="210"/>
      <c r="W162" s="210"/>
      <c r="X162" s="210"/>
      <c r="Y162" s="210"/>
      <c r="Z162" s="211">
        <f>SUM(Z26:Z161)</f>
        <v>547.366261</v>
      </c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</row>
    <row r="163" ht="29.25" customHeight="1">
      <c r="A163" s="139"/>
      <c r="B163" s="139"/>
      <c r="C163" s="139"/>
      <c r="D163" s="139"/>
      <c r="E163" s="139"/>
      <c r="F163" s="139"/>
      <c r="G163" s="139"/>
      <c r="H163" s="140"/>
      <c r="I163" s="139"/>
      <c r="J163" s="139"/>
      <c r="K163" s="139"/>
      <c r="L163" s="139"/>
      <c r="M163" s="139"/>
      <c r="N163" s="139"/>
      <c r="O163" s="139"/>
      <c r="P163" s="139"/>
      <c r="Q163" s="139"/>
      <c r="R163" s="141"/>
      <c r="S163" s="203"/>
      <c r="T163" s="139">
        <f>+T162-S162</f>
        <v>8</v>
      </c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9.25" customHeight="1">
      <c r="A164" s="139"/>
      <c r="B164" s="139"/>
      <c r="C164" s="139"/>
      <c r="D164" s="139"/>
      <c r="E164" s="139"/>
      <c r="F164" s="139"/>
      <c r="G164" s="139"/>
      <c r="H164" s="140"/>
      <c r="I164" s="139"/>
      <c r="J164" s="139"/>
      <c r="K164" s="139"/>
      <c r="L164" s="139"/>
      <c r="M164" s="139"/>
      <c r="N164" s="139"/>
      <c r="O164" s="139"/>
      <c r="P164" s="139"/>
      <c r="Q164" s="139"/>
      <c r="R164" s="205"/>
      <c r="S164" s="139"/>
      <c r="T164" s="139" t="s">
        <v>48</v>
      </c>
      <c r="U164" s="139" t="s">
        <v>68</v>
      </c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9.25" customHeight="1">
      <c r="A165" s="139"/>
      <c r="B165" s="139"/>
      <c r="C165" s="139"/>
      <c r="D165" s="139"/>
      <c r="E165" s="139"/>
      <c r="F165" s="139"/>
      <c r="G165" s="139"/>
      <c r="H165" s="140"/>
      <c r="I165" s="139"/>
      <c r="J165" s="139"/>
      <c r="K165" s="139"/>
      <c r="L165" s="139"/>
      <c r="M165" s="139"/>
      <c r="N165" s="139"/>
      <c r="O165" s="139"/>
      <c r="P165" s="139"/>
      <c r="Q165" s="139"/>
      <c r="R165" s="141"/>
      <c r="S165" s="139" t="s">
        <v>31</v>
      </c>
      <c r="T165" s="212">
        <f>SUMIFS($J$26:$J$160,$S$26:$S$160,"&gt;=3")</f>
        <v>15583.82252</v>
      </c>
      <c r="U165" s="213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9.25" customHeight="1">
      <c r="A166" s="139" t="s">
        <v>32</v>
      </c>
      <c r="B166" s="139"/>
      <c r="C166" s="139"/>
      <c r="D166" s="139" t="s">
        <v>33</v>
      </c>
      <c r="E166" s="139"/>
      <c r="F166" s="139"/>
      <c r="G166" s="139"/>
      <c r="H166" s="140"/>
      <c r="I166" s="139"/>
      <c r="J166" s="139"/>
      <c r="K166" s="139"/>
      <c r="L166" s="139"/>
      <c r="M166" s="139"/>
      <c r="N166" s="139"/>
      <c r="O166" s="139"/>
      <c r="P166" s="139"/>
      <c r="Q166" s="139"/>
      <c r="R166" s="141"/>
      <c r="S166" s="139" t="s">
        <v>34</v>
      </c>
      <c r="T166" s="266">
        <f>J162-T165</f>
        <v>785.8185652</v>
      </c>
      <c r="U166" s="213">
        <f>+SUMIFS($U$26:$U$160,$S$26:$S$160,"&gt;=3")</f>
        <v>280.72</v>
      </c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9.25" customHeight="1">
      <c r="A167" s="139"/>
      <c r="B167" s="139"/>
      <c r="C167" s="139"/>
      <c r="D167" s="139"/>
      <c r="E167" s="139"/>
      <c r="F167" s="139"/>
      <c r="G167" s="139"/>
      <c r="H167" s="140"/>
      <c r="I167" s="139"/>
      <c r="J167" s="139"/>
      <c r="K167" s="139"/>
      <c r="L167" s="139"/>
      <c r="M167" s="139"/>
      <c r="N167" s="139"/>
      <c r="O167" s="139"/>
      <c r="P167" s="139"/>
      <c r="Q167" s="139"/>
      <c r="R167" s="205"/>
      <c r="S167" s="139"/>
      <c r="T167" s="214">
        <f>+I162</f>
        <v>18</v>
      </c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39.0" customHeight="1">
      <c r="A168" s="178"/>
      <c r="B168" s="162" t="s">
        <v>12</v>
      </c>
      <c r="C168" s="179" t="s">
        <v>69</v>
      </c>
      <c r="D168" s="52"/>
      <c r="E168" s="53"/>
      <c r="F168" s="180"/>
      <c r="G168" s="180"/>
      <c r="H168" s="181" t="s">
        <v>14</v>
      </c>
      <c r="I168" s="162" t="s">
        <v>15</v>
      </c>
      <c r="J168" s="162" t="s">
        <v>16</v>
      </c>
      <c r="K168" s="139"/>
      <c r="L168" s="139"/>
      <c r="M168" s="139"/>
      <c r="N168" s="139"/>
      <c r="O168" s="139"/>
      <c r="P168" s="139"/>
      <c r="Q168" s="139"/>
      <c r="R168" s="141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customHeight="1">
      <c r="A169" s="155">
        <v>1.0</v>
      </c>
      <c r="B169" s="215" t="s">
        <v>94</v>
      </c>
      <c r="C169" s="215">
        <v>87.0</v>
      </c>
      <c r="D169" s="215">
        <v>163.0</v>
      </c>
      <c r="E169" s="215">
        <v>168.0</v>
      </c>
      <c r="F169" s="215">
        <f t="shared" ref="F169:F181" si="154">1-VALUE(IF(RIGHT(B169, 1)="%", RIGHT(B169, 3), 0))</f>
        <v>0.2</v>
      </c>
      <c r="G169" s="215">
        <f t="shared" ref="G169:G181" si="155">+Q169*C169/100*D169/100*E169/100</f>
        <v>0</v>
      </c>
      <c r="H169" s="216">
        <f t="shared" ref="H169:H181" si="156">IF(F169=0, G169, F169*G169)</f>
        <v>0</v>
      </c>
      <c r="I169" s="215">
        <v>1.0</v>
      </c>
      <c r="J169" s="217">
        <v>71.47224</v>
      </c>
      <c r="K169" s="139"/>
      <c r="L169" s="178">
        <f t="shared" ref="L169:L176" si="157">D169*25.4/1000</f>
        <v>4.1402</v>
      </c>
      <c r="M169" s="162">
        <f t="shared" ref="M169:M172" si="158">+I169</f>
        <v>1</v>
      </c>
      <c r="N169" s="162">
        <f t="shared" ref="N169:N172" si="159">M169*L169</f>
        <v>4.1402</v>
      </c>
      <c r="O169" s="139"/>
      <c r="P169" s="139"/>
      <c r="Q169" s="139"/>
      <c r="R169" s="141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customHeight="1">
      <c r="A170" s="155">
        <v>2.0</v>
      </c>
      <c r="B170" s="215" t="s">
        <v>63</v>
      </c>
      <c r="C170" s="215">
        <v>91.0</v>
      </c>
      <c r="D170" s="215">
        <v>178.0</v>
      </c>
      <c r="E170" s="215">
        <v>178.0</v>
      </c>
      <c r="F170" s="215">
        <f t="shared" si="154"/>
        <v>0.2</v>
      </c>
      <c r="G170" s="215">
        <f t="shared" si="155"/>
        <v>0</v>
      </c>
      <c r="H170" s="216">
        <f t="shared" si="156"/>
        <v>0</v>
      </c>
      <c r="I170" s="215">
        <v>1.0</v>
      </c>
      <c r="J170" s="217">
        <v>89.38056399999999</v>
      </c>
      <c r="K170" s="139"/>
      <c r="L170" s="178">
        <f t="shared" si="157"/>
        <v>4.5212</v>
      </c>
      <c r="M170" s="162">
        <f t="shared" si="158"/>
        <v>1</v>
      </c>
      <c r="N170" s="162">
        <f t="shared" si="159"/>
        <v>4.5212</v>
      </c>
      <c r="O170" s="139"/>
      <c r="P170" s="139"/>
      <c r="Q170" s="139"/>
      <c r="R170" s="139"/>
      <c r="S170" s="139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customHeight="1">
      <c r="A171" s="155">
        <v>3.0</v>
      </c>
      <c r="B171" s="218" t="s">
        <v>63</v>
      </c>
      <c r="C171" s="218">
        <v>91.0</v>
      </c>
      <c r="D171" s="218">
        <v>195.0</v>
      </c>
      <c r="E171" s="218">
        <v>180.0</v>
      </c>
      <c r="F171" s="218">
        <f t="shared" si="154"/>
        <v>0.2</v>
      </c>
      <c r="G171" s="218">
        <f t="shared" si="155"/>
        <v>0</v>
      </c>
      <c r="H171" s="219">
        <f t="shared" si="156"/>
        <v>0</v>
      </c>
      <c r="I171" s="218">
        <v>1.0</v>
      </c>
      <c r="J171" s="195">
        <v>99.01709999999999</v>
      </c>
      <c r="K171" s="139"/>
      <c r="L171" s="178">
        <f t="shared" si="157"/>
        <v>4.953</v>
      </c>
      <c r="M171" s="162">
        <f t="shared" si="158"/>
        <v>1</v>
      </c>
      <c r="N171" s="162">
        <f t="shared" si="159"/>
        <v>4.953</v>
      </c>
      <c r="O171" s="139"/>
      <c r="P171" s="139"/>
      <c r="Q171" s="139"/>
      <c r="R171" s="139"/>
      <c r="S171" s="220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customHeight="1">
      <c r="A172" s="155">
        <v>4.0</v>
      </c>
      <c r="B172" s="218" t="s">
        <v>122</v>
      </c>
      <c r="C172" s="218">
        <v>80.0</v>
      </c>
      <c r="D172" s="218">
        <v>199.0</v>
      </c>
      <c r="E172" s="218">
        <v>183.0</v>
      </c>
      <c r="F172" s="218">
        <f t="shared" si="154"/>
        <v>0.2</v>
      </c>
      <c r="G172" s="218">
        <f t="shared" si="155"/>
        <v>0</v>
      </c>
      <c r="H172" s="219">
        <f t="shared" si="156"/>
        <v>0</v>
      </c>
      <c r="I172" s="218">
        <v>1.0</v>
      </c>
      <c r="J172" s="195">
        <v>77.20404</v>
      </c>
      <c r="K172" s="139"/>
      <c r="L172" s="178">
        <f t="shared" si="157"/>
        <v>5.0546</v>
      </c>
      <c r="M172" s="162">
        <f t="shared" si="158"/>
        <v>1</v>
      </c>
      <c r="N172" s="162">
        <f t="shared" si="159"/>
        <v>5.0546</v>
      </c>
      <c r="O172" s="139"/>
      <c r="P172" s="139"/>
      <c r="Q172" s="139"/>
      <c r="R172" s="139"/>
      <c r="S172" s="139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55">
        <v>6.0</v>
      </c>
      <c r="B173" s="218"/>
      <c r="C173" s="218"/>
      <c r="D173" s="218"/>
      <c r="E173" s="218"/>
      <c r="F173" s="218">
        <f t="shared" si="154"/>
        <v>1</v>
      </c>
      <c r="G173" s="218">
        <f t="shared" si="155"/>
        <v>0</v>
      </c>
      <c r="H173" s="219">
        <f t="shared" si="156"/>
        <v>0</v>
      </c>
      <c r="I173" s="218"/>
      <c r="J173" s="195">
        <f t="shared" ref="J173:J181" si="160">+I173*H173</f>
        <v>0</v>
      </c>
      <c r="K173" s="139"/>
      <c r="L173" s="139">
        <f t="shared" si="157"/>
        <v>0</v>
      </c>
      <c r="M173" s="221"/>
      <c r="N173" s="221"/>
      <c r="O173" s="139"/>
      <c r="P173" s="139"/>
      <c r="Q173" s="139"/>
      <c r="R173" s="139"/>
      <c r="S173" s="139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55">
        <v>7.0</v>
      </c>
      <c r="B174" s="218"/>
      <c r="C174" s="218"/>
      <c r="D174" s="218"/>
      <c r="E174" s="218"/>
      <c r="F174" s="218">
        <f t="shared" si="154"/>
        <v>1</v>
      </c>
      <c r="G174" s="218">
        <f t="shared" si="155"/>
        <v>0</v>
      </c>
      <c r="H174" s="219">
        <f t="shared" si="156"/>
        <v>0</v>
      </c>
      <c r="I174" s="218"/>
      <c r="J174" s="195">
        <f t="shared" si="160"/>
        <v>0</v>
      </c>
      <c r="K174" s="139"/>
      <c r="L174" s="139">
        <f t="shared" si="157"/>
        <v>0</v>
      </c>
      <c r="M174" s="221"/>
      <c r="N174" s="221"/>
      <c r="O174" s="139"/>
      <c r="P174" s="139"/>
      <c r="Q174" s="139"/>
      <c r="R174" s="139"/>
      <c r="S174" s="139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55">
        <v>8.0</v>
      </c>
      <c r="B175" s="218"/>
      <c r="C175" s="218"/>
      <c r="D175" s="218"/>
      <c r="E175" s="218"/>
      <c r="F175" s="218">
        <f t="shared" si="154"/>
        <v>1</v>
      </c>
      <c r="G175" s="218">
        <f t="shared" si="155"/>
        <v>0</v>
      </c>
      <c r="H175" s="219">
        <f t="shared" si="156"/>
        <v>0</v>
      </c>
      <c r="I175" s="218"/>
      <c r="J175" s="195">
        <f t="shared" si="160"/>
        <v>0</v>
      </c>
      <c r="K175" s="139"/>
      <c r="L175" s="139">
        <f t="shared" si="157"/>
        <v>0</v>
      </c>
      <c r="M175" s="221"/>
      <c r="N175" s="221"/>
      <c r="O175" s="139"/>
      <c r="P175" s="139"/>
      <c r="Q175" s="139"/>
      <c r="R175" s="139"/>
      <c r="S175" s="139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55">
        <v>9.0</v>
      </c>
      <c r="B176" s="218"/>
      <c r="C176" s="218"/>
      <c r="D176" s="218"/>
      <c r="E176" s="218"/>
      <c r="F176" s="218">
        <f t="shared" si="154"/>
        <v>1</v>
      </c>
      <c r="G176" s="218">
        <f t="shared" si="155"/>
        <v>0</v>
      </c>
      <c r="H176" s="219">
        <f t="shared" si="156"/>
        <v>0</v>
      </c>
      <c r="I176" s="218"/>
      <c r="J176" s="195">
        <f t="shared" si="160"/>
        <v>0</v>
      </c>
      <c r="K176" s="139"/>
      <c r="L176" s="139">
        <f t="shared" si="157"/>
        <v>0</v>
      </c>
      <c r="M176" s="221"/>
      <c r="N176" s="221"/>
      <c r="O176" s="139"/>
      <c r="P176" s="139"/>
      <c r="Q176" s="139"/>
      <c r="R176" s="139"/>
      <c r="S176" s="139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55">
        <v>10.0</v>
      </c>
      <c r="B177" s="193"/>
      <c r="C177" s="193"/>
      <c r="D177" s="193"/>
      <c r="E177" s="193"/>
      <c r="F177" s="193">
        <f t="shared" si="154"/>
        <v>1</v>
      </c>
      <c r="G177" s="193">
        <f t="shared" si="155"/>
        <v>0</v>
      </c>
      <c r="H177" s="194">
        <f t="shared" si="156"/>
        <v>0</v>
      </c>
      <c r="I177" s="193"/>
      <c r="J177" s="195">
        <f t="shared" si="160"/>
        <v>0</v>
      </c>
      <c r="K177" s="139"/>
      <c r="L177" s="139"/>
      <c r="M177" s="221"/>
      <c r="N177" s="221"/>
      <c r="O177" s="139"/>
      <c r="P177" s="139"/>
      <c r="Q177" s="139"/>
      <c r="R177" s="139"/>
      <c r="S177" s="139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55">
        <v>11.0</v>
      </c>
      <c r="B178" s="193"/>
      <c r="C178" s="193"/>
      <c r="D178" s="193"/>
      <c r="E178" s="193"/>
      <c r="F178" s="193">
        <f t="shared" si="154"/>
        <v>1</v>
      </c>
      <c r="G178" s="193">
        <f t="shared" si="155"/>
        <v>0</v>
      </c>
      <c r="H178" s="194">
        <f t="shared" si="156"/>
        <v>0</v>
      </c>
      <c r="I178" s="193"/>
      <c r="J178" s="195">
        <f t="shared" si="160"/>
        <v>0</v>
      </c>
      <c r="K178" s="139"/>
      <c r="L178" s="139"/>
      <c r="M178" s="221"/>
      <c r="N178" s="221"/>
      <c r="O178" s="139"/>
      <c r="P178" s="139"/>
      <c r="Q178" s="139"/>
      <c r="R178" s="139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55">
        <v>12.0</v>
      </c>
      <c r="B179" s="193"/>
      <c r="C179" s="193"/>
      <c r="D179" s="193"/>
      <c r="E179" s="193"/>
      <c r="F179" s="193">
        <f t="shared" si="154"/>
        <v>1</v>
      </c>
      <c r="G179" s="193">
        <f t="shared" si="155"/>
        <v>0</v>
      </c>
      <c r="H179" s="194">
        <f t="shared" si="156"/>
        <v>0</v>
      </c>
      <c r="I179" s="193"/>
      <c r="J179" s="195">
        <f t="shared" si="160"/>
        <v>0</v>
      </c>
      <c r="K179" s="139"/>
      <c r="L179" s="139"/>
      <c r="M179" s="221"/>
      <c r="N179" s="221"/>
      <c r="O179" s="139"/>
      <c r="P179" s="139"/>
      <c r="Q179" s="139"/>
      <c r="R179" s="139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55">
        <v>13.0</v>
      </c>
      <c r="B180" s="193"/>
      <c r="C180" s="193"/>
      <c r="D180" s="193"/>
      <c r="E180" s="193"/>
      <c r="F180" s="193">
        <f t="shared" si="154"/>
        <v>1</v>
      </c>
      <c r="G180" s="193">
        <f t="shared" si="155"/>
        <v>0</v>
      </c>
      <c r="H180" s="194">
        <f t="shared" si="156"/>
        <v>0</v>
      </c>
      <c r="I180" s="193"/>
      <c r="J180" s="195">
        <f t="shared" si="160"/>
        <v>0</v>
      </c>
      <c r="K180" s="139"/>
      <c r="L180" s="139"/>
      <c r="M180" s="221"/>
      <c r="N180" s="221"/>
      <c r="O180" s="139"/>
      <c r="P180" s="139"/>
      <c r="Q180" s="139"/>
      <c r="R180" s="139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55">
        <v>14.0</v>
      </c>
      <c r="B181" s="193"/>
      <c r="C181" s="193"/>
      <c r="D181" s="193"/>
      <c r="E181" s="193"/>
      <c r="F181" s="193">
        <f t="shared" si="154"/>
        <v>1</v>
      </c>
      <c r="G181" s="193">
        <f t="shared" si="155"/>
        <v>0</v>
      </c>
      <c r="H181" s="194">
        <f t="shared" si="156"/>
        <v>0</v>
      </c>
      <c r="I181" s="193"/>
      <c r="J181" s="195">
        <f t="shared" si="160"/>
        <v>0</v>
      </c>
      <c r="K181" s="139"/>
      <c r="L181" s="139"/>
      <c r="M181" s="221"/>
      <c r="N181" s="221"/>
      <c r="O181" s="139"/>
      <c r="P181" s="139"/>
      <c r="Q181" s="139"/>
      <c r="R181" s="139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4.75" customHeight="1">
      <c r="A182" s="162"/>
      <c r="B182" s="197"/>
      <c r="C182" s="197"/>
      <c r="D182" s="197"/>
      <c r="E182" s="197"/>
      <c r="F182" s="197"/>
      <c r="G182" s="197"/>
      <c r="H182" s="222" t="s">
        <v>38</v>
      </c>
      <c r="I182" s="197"/>
      <c r="J182" s="223">
        <f>SUM(J169:J181)</f>
        <v>337.073944</v>
      </c>
      <c r="K182" s="139"/>
      <c r="L182" s="139"/>
      <c r="M182" s="139"/>
      <c r="N182" s="139"/>
      <c r="O182" s="139"/>
      <c r="P182" s="139"/>
      <c r="Q182" s="139"/>
      <c r="R182" s="141"/>
      <c r="S182" s="224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18.75" customHeight="1">
      <c r="A183" s="176"/>
      <c r="B183" s="144"/>
      <c r="C183" s="144"/>
      <c r="D183" s="144"/>
      <c r="E183" s="144"/>
      <c r="F183" s="144"/>
      <c r="G183" s="144"/>
      <c r="H183" s="145"/>
      <c r="I183" s="144"/>
      <c r="J183" s="177"/>
      <c r="K183" s="139"/>
      <c r="L183" s="139"/>
      <c r="M183" s="139"/>
      <c r="N183" s="139"/>
      <c r="O183" s="139"/>
      <c r="P183" s="139"/>
      <c r="Q183" s="139"/>
      <c r="R183" s="141"/>
      <c r="S183" s="224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18.75" customHeight="1">
      <c r="A184" s="139"/>
      <c r="B184" s="139"/>
      <c r="C184" s="139"/>
      <c r="D184" s="139"/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224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18.7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224"/>
      <c r="S185" s="224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18.75" customHeight="1">
      <c r="A186" s="139" t="s">
        <v>39</v>
      </c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24"/>
      <c r="S186" s="224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18.7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224"/>
      <c r="S187" s="224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42.0" customHeight="1">
      <c r="A188" s="178"/>
      <c r="B188" s="162" t="s">
        <v>12</v>
      </c>
      <c r="C188" s="179" t="s">
        <v>75</v>
      </c>
      <c r="D188" s="52"/>
      <c r="E188" s="53"/>
      <c r="F188" s="225"/>
      <c r="G188" s="225"/>
      <c r="H188" s="181" t="s">
        <v>14</v>
      </c>
      <c r="I188" s="226" t="s">
        <v>15</v>
      </c>
      <c r="J188" s="162" t="s">
        <v>16</v>
      </c>
      <c r="K188" s="139"/>
      <c r="L188" s="139"/>
      <c r="M188" s="139"/>
      <c r="N188" s="139"/>
      <c r="O188" s="139"/>
      <c r="P188" s="139"/>
      <c r="Q188" s="139"/>
      <c r="R188" s="224"/>
      <c r="S188" s="224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4.75" customHeight="1">
      <c r="A189" s="162">
        <v>1.0</v>
      </c>
      <c r="B189" s="183" t="s">
        <v>57</v>
      </c>
      <c r="C189" s="200"/>
      <c r="D189" s="200"/>
      <c r="E189" s="200"/>
      <c r="F189" s="200"/>
      <c r="G189" s="200"/>
      <c r="H189" s="227">
        <v>33.0</v>
      </c>
      <c r="I189" s="200">
        <v>1.0</v>
      </c>
      <c r="J189" s="195">
        <f t="shared" ref="J189:J211" si="161">+I189*H189</f>
        <v>33</v>
      </c>
      <c r="K189" s="178"/>
      <c r="L189" s="178"/>
      <c r="M189" s="178"/>
      <c r="N189" s="178"/>
      <c r="O189" s="178"/>
      <c r="P189" s="178"/>
      <c r="Q189" s="228"/>
      <c r="R189" s="224"/>
      <c r="S189" s="224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customHeight="1">
      <c r="A190" s="162">
        <v>2.0</v>
      </c>
      <c r="B190" s="193" t="s">
        <v>57</v>
      </c>
      <c r="C190" s="200"/>
      <c r="D190" s="200"/>
      <c r="E190" s="200"/>
      <c r="F190" s="200"/>
      <c r="G190" s="200"/>
      <c r="H190" s="227">
        <v>22.0</v>
      </c>
      <c r="I190" s="200">
        <v>1.0</v>
      </c>
      <c r="J190" s="195">
        <f t="shared" si="161"/>
        <v>22</v>
      </c>
      <c r="K190" s="178"/>
      <c r="L190" s="178"/>
      <c r="M190" s="178"/>
      <c r="N190" s="178"/>
      <c r="O190" s="178"/>
      <c r="P190" s="178"/>
      <c r="Q190" s="228"/>
      <c r="R190" s="224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4.75" customHeight="1">
      <c r="A191" s="162">
        <v>3.0</v>
      </c>
      <c r="B191" s="183" t="s">
        <v>55</v>
      </c>
      <c r="C191" s="200"/>
      <c r="D191" s="200"/>
      <c r="E191" s="200"/>
      <c r="F191" s="200"/>
      <c r="G191" s="200"/>
      <c r="H191" s="227">
        <v>42.0</v>
      </c>
      <c r="I191" s="200">
        <v>1.0</v>
      </c>
      <c r="J191" s="195">
        <f t="shared" si="161"/>
        <v>42</v>
      </c>
      <c r="K191" s="178"/>
      <c r="L191" s="178"/>
      <c r="M191" s="178"/>
      <c r="N191" s="178"/>
      <c r="O191" s="178"/>
      <c r="P191" s="178"/>
      <c r="Q191" s="228"/>
      <c r="R191" s="224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customHeight="1">
      <c r="A192" s="162">
        <v>4.0</v>
      </c>
      <c r="B192" s="193" t="s">
        <v>55</v>
      </c>
      <c r="C192" s="200"/>
      <c r="D192" s="200"/>
      <c r="E192" s="200"/>
      <c r="F192" s="200"/>
      <c r="G192" s="200"/>
      <c r="H192" s="227">
        <v>25.0</v>
      </c>
      <c r="I192" s="200">
        <v>1.0</v>
      </c>
      <c r="J192" s="195">
        <f t="shared" si="161"/>
        <v>25</v>
      </c>
      <c r="K192" s="178"/>
      <c r="L192" s="178"/>
      <c r="M192" s="178"/>
      <c r="N192" s="178"/>
      <c r="O192" s="178"/>
      <c r="P192" s="178"/>
      <c r="Q192" s="228"/>
      <c r="R192" s="224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customHeight="1">
      <c r="A193" s="162">
        <v>5.0</v>
      </c>
      <c r="B193" s="183" t="s">
        <v>55</v>
      </c>
      <c r="C193" s="200"/>
      <c r="D193" s="200"/>
      <c r="E193" s="200"/>
      <c r="F193" s="200"/>
      <c r="G193" s="200"/>
      <c r="H193" s="227">
        <v>39.0</v>
      </c>
      <c r="I193" s="200">
        <v>1.0</v>
      </c>
      <c r="J193" s="195">
        <f t="shared" si="161"/>
        <v>39</v>
      </c>
      <c r="K193" s="178"/>
      <c r="L193" s="178"/>
      <c r="M193" s="178"/>
      <c r="N193" s="178"/>
      <c r="O193" s="178"/>
      <c r="P193" s="178"/>
      <c r="Q193" s="228"/>
      <c r="R193" s="224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customHeight="1">
      <c r="A194" s="162">
        <v>6.0</v>
      </c>
      <c r="B194" s="193" t="s">
        <v>55</v>
      </c>
      <c r="C194" s="200"/>
      <c r="D194" s="200"/>
      <c r="E194" s="200"/>
      <c r="F194" s="200"/>
      <c r="G194" s="200"/>
      <c r="H194" s="227">
        <v>25.0</v>
      </c>
      <c r="I194" s="200">
        <v>1.0</v>
      </c>
      <c r="J194" s="195">
        <f t="shared" si="161"/>
        <v>25</v>
      </c>
      <c r="K194" s="178"/>
      <c r="L194" s="178"/>
      <c r="M194" s="178"/>
      <c r="N194" s="178"/>
      <c r="O194" s="178"/>
      <c r="P194" s="178"/>
      <c r="Q194" s="228"/>
      <c r="R194" s="224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customHeight="1">
      <c r="A195" s="162">
        <v>7.0</v>
      </c>
      <c r="B195" s="183" t="s">
        <v>119</v>
      </c>
      <c r="C195" s="200"/>
      <c r="D195" s="200"/>
      <c r="E195" s="200"/>
      <c r="F195" s="200"/>
      <c r="G195" s="200"/>
      <c r="H195" s="227">
        <v>29.0</v>
      </c>
      <c r="I195" s="200">
        <v>1.0</v>
      </c>
      <c r="J195" s="195">
        <f t="shared" si="161"/>
        <v>29</v>
      </c>
      <c r="K195" s="178"/>
      <c r="L195" s="178"/>
      <c r="M195" s="178"/>
      <c r="N195" s="178"/>
      <c r="O195" s="178"/>
      <c r="P195" s="178"/>
      <c r="Q195" s="228"/>
      <c r="R195" s="224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4.75" customHeight="1">
      <c r="A196" s="162">
        <v>8.0</v>
      </c>
      <c r="B196" s="193" t="s">
        <v>119</v>
      </c>
      <c r="C196" s="200"/>
      <c r="D196" s="200"/>
      <c r="E196" s="200"/>
      <c r="F196" s="200"/>
      <c r="G196" s="200"/>
      <c r="H196" s="227">
        <v>18.0</v>
      </c>
      <c r="I196" s="200">
        <v>1.0</v>
      </c>
      <c r="J196" s="195">
        <f t="shared" si="161"/>
        <v>18</v>
      </c>
      <c r="K196" s="178"/>
      <c r="L196" s="178"/>
      <c r="M196" s="178"/>
      <c r="N196" s="178"/>
      <c r="O196" s="178"/>
      <c r="P196" s="178"/>
      <c r="Q196" s="228"/>
      <c r="R196" s="224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4.75" hidden="1" customHeight="1">
      <c r="A197" s="162">
        <v>21.0</v>
      </c>
      <c r="B197" s="229"/>
      <c r="C197" s="200"/>
      <c r="D197" s="200"/>
      <c r="E197" s="200"/>
      <c r="F197" s="200"/>
      <c r="G197" s="200"/>
      <c r="H197" s="227"/>
      <c r="I197" s="200"/>
      <c r="J197" s="195">
        <f t="shared" si="161"/>
        <v>0</v>
      </c>
      <c r="K197" s="178"/>
      <c r="L197" s="178"/>
      <c r="M197" s="178"/>
      <c r="N197" s="178"/>
      <c r="O197" s="178"/>
      <c r="P197" s="178"/>
      <c r="Q197" s="228"/>
      <c r="R197" s="224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4.75" hidden="1" customHeight="1">
      <c r="A198" s="162">
        <v>22.0</v>
      </c>
      <c r="B198" s="229"/>
      <c r="C198" s="200"/>
      <c r="D198" s="200"/>
      <c r="E198" s="200"/>
      <c r="F198" s="200"/>
      <c r="G198" s="200"/>
      <c r="H198" s="227"/>
      <c r="I198" s="200"/>
      <c r="J198" s="195">
        <f t="shared" si="161"/>
        <v>0</v>
      </c>
      <c r="K198" s="178"/>
      <c r="L198" s="178"/>
      <c r="M198" s="178"/>
      <c r="N198" s="178"/>
      <c r="O198" s="178"/>
      <c r="P198" s="178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hidden="1" customHeight="1">
      <c r="A199" s="162">
        <v>23.0</v>
      </c>
      <c r="B199" s="229"/>
      <c r="C199" s="200"/>
      <c r="D199" s="200"/>
      <c r="E199" s="200"/>
      <c r="F199" s="200"/>
      <c r="G199" s="200"/>
      <c r="H199" s="227"/>
      <c r="I199" s="200"/>
      <c r="J199" s="195">
        <f t="shared" si="161"/>
        <v>0</v>
      </c>
      <c r="K199" s="178"/>
      <c r="L199" s="178"/>
      <c r="M199" s="178"/>
      <c r="N199" s="178"/>
      <c r="O199" s="178"/>
      <c r="P199" s="178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hidden="1" customHeight="1">
      <c r="A200" s="162">
        <v>24.0</v>
      </c>
      <c r="B200" s="229"/>
      <c r="C200" s="200"/>
      <c r="D200" s="200"/>
      <c r="E200" s="200"/>
      <c r="F200" s="200"/>
      <c r="G200" s="200"/>
      <c r="H200" s="227"/>
      <c r="I200" s="200"/>
      <c r="J200" s="195">
        <f t="shared" si="161"/>
        <v>0</v>
      </c>
      <c r="K200" s="178"/>
      <c r="L200" s="178"/>
      <c r="M200" s="178"/>
      <c r="N200" s="178"/>
      <c r="O200" s="178"/>
      <c r="P200" s="178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hidden="1" customHeight="1">
      <c r="A201" s="162">
        <v>25.0</v>
      </c>
      <c r="B201" s="229"/>
      <c r="C201" s="200"/>
      <c r="D201" s="200"/>
      <c r="E201" s="200"/>
      <c r="F201" s="200"/>
      <c r="G201" s="200"/>
      <c r="H201" s="227"/>
      <c r="I201" s="200"/>
      <c r="J201" s="195">
        <f t="shared" si="161"/>
        <v>0</v>
      </c>
      <c r="K201" s="178"/>
      <c r="L201" s="178"/>
      <c r="M201" s="178"/>
      <c r="N201" s="178"/>
      <c r="O201" s="178"/>
      <c r="P201" s="178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4.75" hidden="1" customHeight="1">
      <c r="A202" s="162">
        <v>26.0</v>
      </c>
      <c r="B202" s="229"/>
      <c r="C202" s="200"/>
      <c r="D202" s="200"/>
      <c r="E202" s="200"/>
      <c r="F202" s="200"/>
      <c r="G202" s="200"/>
      <c r="H202" s="227"/>
      <c r="I202" s="200"/>
      <c r="J202" s="195">
        <f t="shared" si="161"/>
        <v>0</v>
      </c>
      <c r="K202" s="178"/>
      <c r="L202" s="178"/>
      <c r="M202" s="178"/>
      <c r="N202" s="178"/>
      <c r="O202" s="178"/>
      <c r="P202" s="178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4.75" hidden="1" customHeight="1">
      <c r="A203" s="162">
        <v>27.0</v>
      </c>
      <c r="B203" s="229"/>
      <c r="C203" s="200"/>
      <c r="D203" s="200"/>
      <c r="E203" s="200"/>
      <c r="F203" s="200"/>
      <c r="G203" s="200"/>
      <c r="H203" s="200"/>
      <c r="I203" s="200"/>
      <c r="J203" s="195">
        <f t="shared" si="161"/>
        <v>0</v>
      </c>
      <c r="K203" s="178"/>
      <c r="L203" s="178"/>
      <c r="M203" s="178"/>
      <c r="N203" s="178"/>
      <c r="O203" s="178"/>
      <c r="P203" s="178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4.75" hidden="1" customHeight="1">
      <c r="A204" s="162">
        <v>28.0</v>
      </c>
      <c r="B204" s="229"/>
      <c r="C204" s="200"/>
      <c r="D204" s="200"/>
      <c r="E204" s="200"/>
      <c r="F204" s="200"/>
      <c r="G204" s="200"/>
      <c r="H204" s="200"/>
      <c r="I204" s="200"/>
      <c r="J204" s="195">
        <f t="shared" si="161"/>
        <v>0</v>
      </c>
      <c r="K204" s="178"/>
      <c r="L204" s="178"/>
      <c r="M204" s="178"/>
      <c r="N204" s="178"/>
      <c r="O204" s="178"/>
      <c r="P204" s="178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4.75" hidden="1" customHeight="1">
      <c r="A205" s="162">
        <v>29.0</v>
      </c>
      <c r="B205" s="230"/>
      <c r="C205" s="200"/>
      <c r="D205" s="200"/>
      <c r="E205" s="200"/>
      <c r="F205" s="200"/>
      <c r="G205" s="200"/>
      <c r="H205" s="200"/>
      <c r="I205" s="200"/>
      <c r="J205" s="195">
        <f t="shared" si="161"/>
        <v>0</v>
      </c>
      <c r="K205" s="178"/>
      <c r="L205" s="178"/>
      <c r="M205" s="178"/>
      <c r="N205" s="178"/>
      <c r="O205" s="178"/>
      <c r="P205" s="178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hidden="1" customHeight="1">
      <c r="A206" s="162">
        <v>30.0</v>
      </c>
      <c r="B206" s="230"/>
      <c r="C206" s="200"/>
      <c r="D206" s="200"/>
      <c r="E206" s="200"/>
      <c r="F206" s="200"/>
      <c r="G206" s="200"/>
      <c r="H206" s="227"/>
      <c r="I206" s="200"/>
      <c r="J206" s="195">
        <f t="shared" si="161"/>
        <v>0</v>
      </c>
      <c r="K206" s="178"/>
      <c r="L206" s="178"/>
      <c r="M206" s="178"/>
      <c r="N206" s="178"/>
      <c r="O206" s="178"/>
      <c r="P206" s="178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hidden="1" customHeight="1">
      <c r="A207" s="162">
        <v>31.0</v>
      </c>
      <c r="B207" s="218"/>
      <c r="C207" s="200"/>
      <c r="D207" s="200"/>
      <c r="E207" s="200"/>
      <c r="F207" s="200"/>
      <c r="G207" s="200"/>
      <c r="H207" s="227"/>
      <c r="I207" s="200"/>
      <c r="J207" s="195">
        <f t="shared" si="161"/>
        <v>0</v>
      </c>
      <c r="K207" s="178"/>
      <c r="L207" s="178"/>
      <c r="M207" s="178"/>
      <c r="N207" s="178"/>
      <c r="O207" s="178"/>
      <c r="P207" s="178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hidden="1" customHeight="1">
      <c r="A208" s="162">
        <v>32.0</v>
      </c>
      <c r="B208" s="218"/>
      <c r="C208" s="162"/>
      <c r="D208" s="162"/>
      <c r="E208" s="162"/>
      <c r="F208" s="162"/>
      <c r="G208" s="162"/>
      <c r="H208" s="162"/>
      <c r="I208" s="162"/>
      <c r="J208" s="195">
        <f t="shared" si="161"/>
        <v>0</v>
      </c>
      <c r="K208" s="178"/>
      <c r="L208" s="178"/>
      <c r="M208" s="178"/>
      <c r="N208" s="178"/>
      <c r="O208" s="178"/>
      <c r="P208" s="178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hidden="1" customHeight="1">
      <c r="A209" s="162">
        <v>33.0</v>
      </c>
      <c r="B209" s="230"/>
      <c r="C209" s="162"/>
      <c r="D209" s="162"/>
      <c r="E209" s="162"/>
      <c r="F209" s="162"/>
      <c r="G209" s="162"/>
      <c r="H209" s="162"/>
      <c r="I209" s="162"/>
      <c r="J209" s="195">
        <f t="shared" si="161"/>
        <v>0</v>
      </c>
      <c r="K209" s="178"/>
      <c r="L209" s="178"/>
      <c r="M209" s="178"/>
      <c r="N209" s="178"/>
      <c r="O209" s="178"/>
      <c r="P209" s="178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hidden="1" customHeight="1">
      <c r="A210" s="162">
        <v>34.0</v>
      </c>
      <c r="B210" s="231"/>
      <c r="C210" s="162"/>
      <c r="D210" s="162"/>
      <c r="E210" s="162"/>
      <c r="F210" s="162"/>
      <c r="G210" s="162"/>
      <c r="H210" s="162"/>
      <c r="I210" s="162"/>
      <c r="J210" s="195">
        <f t="shared" si="161"/>
        <v>0</v>
      </c>
      <c r="K210" s="178"/>
      <c r="L210" s="178"/>
      <c r="M210" s="178"/>
      <c r="N210" s="178"/>
      <c r="O210" s="178"/>
      <c r="P210" s="178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hidden="1" customHeight="1">
      <c r="A211" s="162">
        <v>35.0</v>
      </c>
      <c r="B211" s="232"/>
      <c r="C211" s="162"/>
      <c r="D211" s="162"/>
      <c r="E211" s="162"/>
      <c r="F211" s="162"/>
      <c r="G211" s="162"/>
      <c r="H211" s="162"/>
      <c r="I211" s="162"/>
      <c r="J211" s="195">
        <f t="shared" si="161"/>
        <v>0</v>
      </c>
      <c r="K211" s="178"/>
      <c r="L211" s="178"/>
      <c r="M211" s="178"/>
      <c r="N211" s="178"/>
      <c r="O211" s="178"/>
      <c r="P211" s="178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 t="s">
        <v>38</v>
      </c>
      <c r="I212" s="139"/>
      <c r="J212" s="233">
        <f>SUM(J189:J211)</f>
        <v>233</v>
      </c>
      <c r="K212" s="234"/>
      <c r="L212" s="234"/>
      <c r="M212" s="234"/>
      <c r="N212" s="234"/>
      <c r="O212" s="234"/>
      <c r="P212" s="234"/>
      <c r="Q212" s="234"/>
      <c r="R212" s="139"/>
      <c r="S212" s="22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75" customHeight="1">
      <c r="A213" s="144"/>
      <c r="B213" s="144"/>
      <c r="C213" s="144"/>
      <c r="D213" s="144"/>
      <c r="E213" s="144"/>
      <c r="F213" s="144"/>
      <c r="G213" s="144"/>
      <c r="H213" s="145"/>
      <c r="I213" s="175"/>
      <c r="J213" s="206">
        <f>+J212*60%</f>
        <v>139.8</v>
      </c>
      <c r="K213" s="206"/>
      <c r="L213" s="206"/>
      <c r="M213" s="206"/>
      <c r="N213" s="206"/>
      <c r="O213" s="206"/>
      <c r="P213" s="206"/>
      <c r="Q213" s="206">
        <f>+J212*40%</f>
        <v>93.2</v>
      </c>
      <c r="R213" s="139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18.75" customHeight="1">
      <c r="A214" s="139"/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139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18.75" customHeight="1">
      <c r="A215" s="139"/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19.5" customHeight="1">
      <c r="A216" s="235" t="s">
        <v>41</v>
      </c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139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57.0" customHeight="1">
      <c r="A217" s="236"/>
      <c r="B217" s="237" t="s">
        <v>42</v>
      </c>
      <c r="C217" s="237" t="s">
        <v>43</v>
      </c>
      <c r="D217" s="237" t="s">
        <v>44</v>
      </c>
      <c r="E217" s="237" t="s">
        <v>45</v>
      </c>
      <c r="F217" s="237"/>
      <c r="G217" s="237"/>
      <c r="H217" s="238" t="s">
        <v>46</v>
      </c>
      <c r="I217" s="239" t="s">
        <v>47</v>
      </c>
      <c r="J217" s="139"/>
      <c r="K217" s="139"/>
      <c r="L217" s="139"/>
      <c r="M217" s="139"/>
      <c r="N217" s="139"/>
      <c r="O217" s="139"/>
      <c r="P217" s="139"/>
      <c r="Q217" s="139"/>
      <c r="R217" s="141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18.75" customHeight="1">
      <c r="A218" s="240" t="s">
        <v>48</v>
      </c>
      <c r="B218" s="241">
        <f>+E19</f>
        <v>17552.8779</v>
      </c>
      <c r="C218" s="242">
        <f>+J162</f>
        <v>16369.64108</v>
      </c>
      <c r="D218" s="242">
        <f>+J182</f>
        <v>337.073944</v>
      </c>
      <c r="E218" s="243">
        <f>J213</f>
        <v>139.8</v>
      </c>
      <c r="F218" s="243"/>
      <c r="G218" s="243"/>
      <c r="H218" s="244">
        <f>+I19</f>
        <v>398.1750552</v>
      </c>
      <c r="I218" s="245">
        <f>+B218-C218-D218-E218-H218</f>
        <v>308.1878206</v>
      </c>
      <c r="J218" s="139"/>
      <c r="K218" s="139"/>
      <c r="L218" s="139"/>
      <c r="M218" s="139"/>
      <c r="N218" s="139"/>
      <c r="O218" s="139"/>
      <c r="P218" s="139"/>
      <c r="Q218" s="139"/>
      <c r="R218" s="141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9.5" customHeight="1">
      <c r="A219" s="246" t="s">
        <v>49</v>
      </c>
      <c r="B219" s="247"/>
      <c r="C219" s="248">
        <f>+C218/B218</f>
        <v>0.9325901526</v>
      </c>
      <c r="D219" s="248">
        <f>+D218/B218</f>
        <v>0.01920334352</v>
      </c>
      <c r="E219" s="248">
        <f>+E218/B218</f>
        <v>0.007964505923</v>
      </c>
      <c r="F219" s="248"/>
      <c r="G219" s="248"/>
      <c r="H219" s="249">
        <f>+H218/B218</f>
        <v>0.02268431749</v>
      </c>
      <c r="I219" s="250">
        <f>+I218/B218</f>
        <v>0.01755768042</v>
      </c>
      <c r="J219" s="139"/>
      <c r="K219" s="139"/>
      <c r="L219" s="139"/>
      <c r="M219" s="139"/>
      <c r="N219" s="139"/>
      <c r="O219" s="139"/>
      <c r="P219" s="139"/>
      <c r="Q219" s="139"/>
      <c r="R219" s="141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9.5" customHeight="1">
      <c r="A220" s="165"/>
      <c r="B220" s="221"/>
      <c r="C220" s="251"/>
      <c r="D220" s="251"/>
      <c r="E220" s="251"/>
      <c r="F220" s="251"/>
      <c r="G220" s="251"/>
      <c r="H220" s="252"/>
      <c r="I220" s="253"/>
      <c r="J220" s="139"/>
      <c r="K220" s="139"/>
      <c r="L220" s="139"/>
      <c r="M220" s="139"/>
      <c r="N220" s="139"/>
      <c r="O220" s="139"/>
      <c r="P220" s="139"/>
      <c r="Q220" s="139"/>
      <c r="R220" s="141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254"/>
      <c r="B221" s="255"/>
      <c r="C221" s="255"/>
      <c r="D221" s="255" t="s">
        <v>50</v>
      </c>
      <c r="E221" s="255" t="s">
        <v>48</v>
      </c>
      <c r="F221" s="255"/>
      <c r="G221" s="255"/>
      <c r="H221" s="256">
        <f>+D218+E218+H218+I218</f>
        <v>1183.23682</v>
      </c>
      <c r="I221" s="257"/>
      <c r="J221" s="139"/>
      <c r="K221" s="139"/>
      <c r="L221" s="139"/>
      <c r="M221" s="139"/>
      <c r="N221" s="139"/>
      <c r="O221" s="139"/>
      <c r="P221" s="139"/>
      <c r="Q221" s="139"/>
      <c r="R221" s="141"/>
      <c r="S221" s="140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8.75" customHeight="1">
      <c r="A222" s="258"/>
      <c r="B222" s="139"/>
      <c r="C222" s="139"/>
      <c r="D222" s="139"/>
      <c r="E222" s="139" t="s">
        <v>49</v>
      </c>
      <c r="F222" s="139"/>
      <c r="G222" s="139"/>
      <c r="H222" s="252">
        <f>+H221/B218</f>
        <v>0.06740984735</v>
      </c>
      <c r="I222" s="259"/>
      <c r="J222" s="139"/>
      <c r="K222" s="139"/>
      <c r="L222" s="139"/>
      <c r="M222" s="139"/>
      <c r="N222" s="139"/>
      <c r="O222" s="139"/>
      <c r="P222" s="139"/>
      <c r="Q222" s="139"/>
      <c r="R222" s="141"/>
      <c r="S222" s="140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258"/>
      <c r="B223" s="139"/>
      <c r="C223" s="139" t="s">
        <v>51</v>
      </c>
      <c r="D223" s="139"/>
      <c r="E223" s="139"/>
      <c r="F223" s="139"/>
      <c r="G223" s="139"/>
      <c r="H223" s="140"/>
      <c r="I223" s="259"/>
      <c r="J223" s="139"/>
      <c r="K223" s="139"/>
      <c r="L223" s="139"/>
      <c r="M223" s="139"/>
      <c r="N223" s="139"/>
      <c r="O223" s="139"/>
      <c r="P223" s="139"/>
      <c r="Q223" s="139"/>
      <c r="R223" s="141"/>
      <c r="S223" s="140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18.75" customHeight="1">
      <c r="A224" s="258"/>
      <c r="B224" s="139"/>
      <c r="C224" s="139"/>
      <c r="D224" s="139" t="s">
        <v>52</v>
      </c>
      <c r="E224" s="139"/>
      <c r="F224" s="139"/>
      <c r="G224" s="139"/>
      <c r="H224" s="140">
        <f>+H223*(H221-H218)</f>
        <v>0</v>
      </c>
      <c r="I224" s="259"/>
      <c r="J224" s="139"/>
      <c r="K224" s="139"/>
      <c r="L224" s="139"/>
      <c r="M224" s="139"/>
      <c r="N224" s="139"/>
      <c r="O224" s="139"/>
      <c r="P224" s="139"/>
      <c r="Q224" s="139"/>
      <c r="R224" s="141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19.5" customHeight="1">
      <c r="A225" s="260"/>
      <c r="B225" s="261"/>
      <c r="C225" s="261"/>
      <c r="D225" s="261"/>
      <c r="E225" s="261"/>
      <c r="F225" s="261"/>
      <c r="G225" s="261"/>
      <c r="H225" s="262"/>
      <c r="I225" s="263"/>
      <c r="J225" s="139"/>
      <c r="K225" s="139"/>
      <c r="L225" s="139"/>
      <c r="M225" s="139"/>
      <c r="N225" s="139"/>
      <c r="O225" s="139"/>
      <c r="P225" s="139"/>
      <c r="Q225" s="139"/>
      <c r="R225" s="141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18.75" customHeight="1">
      <c r="A226" s="139"/>
      <c r="B226" s="139"/>
      <c r="C226" s="139"/>
      <c r="D226" s="139"/>
      <c r="E226" s="139"/>
      <c r="F226" s="139"/>
      <c r="G226" s="139"/>
      <c r="H226" s="140"/>
      <c r="I226" s="139"/>
      <c r="J226" s="139"/>
      <c r="K226" s="139"/>
      <c r="L226" s="139"/>
      <c r="M226" s="139"/>
      <c r="N226" s="139"/>
      <c r="O226" s="139"/>
      <c r="P226" s="139"/>
      <c r="Q226" s="139"/>
      <c r="R226" s="141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18.75" customHeight="1">
      <c r="A227" s="139"/>
      <c r="B227" s="139"/>
      <c r="C227" s="139"/>
      <c r="D227" s="139"/>
      <c r="E227" s="139"/>
      <c r="F227" s="139"/>
      <c r="G227" s="139"/>
      <c r="H227" s="140"/>
      <c r="I227" s="139"/>
      <c r="J227" s="139"/>
      <c r="K227" s="139"/>
      <c r="L227" s="139"/>
      <c r="M227" s="139"/>
      <c r="N227" s="139"/>
      <c r="O227" s="139"/>
      <c r="P227" s="139"/>
      <c r="Q227" s="139"/>
      <c r="R227" s="141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18.75" customHeight="1">
      <c r="A228" s="139"/>
      <c r="B228" s="139"/>
      <c r="C228" s="139"/>
      <c r="D228" s="139"/>
      <c r="E228" s="139"/>
      <c r="F228" s="139"/>
      <c r="G228" s="139"/>
      <c r="H228" s="140"/>
      <c r="I228" s="139"/>
      <c r="J228" s="139"/>
      <c r="K228" s="139"/>
      <c r="L228" s="139"/>
      <c r="M228" s="139"/>
      <c r="N228" s="139"/>
      <c r="O228" s="139"/>
      <c r="P228" s="139"/>
      <c r="Q228" s="139"/>
      <c r="R228" s="141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7"/>
      <c r="R229" s="265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7"/>
      <c r="R230" s="265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7"/>
      <c r="R231" s="265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7"/>
      <c r="R232" s="265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7"/>
      <c r="R233" s="265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7"/>
      <c r="R234" s="265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7"/>
      <c r="R235" s="265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7"/>
      <c r="R236" s="265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7"/>
      <c r="R237" s="265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7"/>
      <c r="R238" s="265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7"/>
      <c r="R239" s="265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7"/>
      <c r="R240" s="265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7"/>
      <c r="R241" s="265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7"/>
      <c r="R242" s="26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7"/>
      <c r="R243" s="26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7"/>
      <c r="R244" s="26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7"/>
      <c r="R245" s="26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9:D19"/>
    <mergeCell ref="E20:H20"/>
    <mergeCell ref="C25:E25"/>
    <mergeCell ref="C168:E168"/>
    <mergeCell ref="C188:E188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44549.0</v>
      </c>
      <c r="J4" s="139" t="str">
        <f>+B8&amp;"/"&amp;B9&amp;"/"&amp;B10&amp;"/"&amp;B11&amp;"/"&amp;B12&amp;"/"&amp;B13&amp;"/"&amp;B14&amp;"/"&amp;B15&amp;"/"&amp;B16</f>
        <v>D2080/D2560///////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158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+I203</f>
        <v>0.00668044515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111</v>
      </c>
      <c r="C8" s="155">
        <v>20.5</v>
      </c>
      <c r="D8" s="156">
        <v>0.0862</v>
      </c>
      <c r="E8" s="157">
        <f>192.318*34.8</f>
        <v>6692.6664</v>
      </c>
      <c r="F8" s="157"/>
      <c r="G8" s="157"/>
      <c r="H8" s="158">
        <v>34.8</v>
      </c>
      <c r="I8" s="159">
        <f t="shared" ref="I8:I16" si="1">+D8*E8</f>
        <v>576.9078437</v>
      </c>
      <c r="J8" s="160">
        <f t="shared" ref="J8:J16" si="2">E8-I8</f>
        <v>6115.758556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159</v>
      </c>
      <c r="C9" s="155">
        <v>25.5</v>
      </c>
      <c r="D9" s="156">
        <v>0.0577</v>
      </c>
      <c r="E9" s="157">
        <f>266.853*1</f>
        <v>266.853</v>
      </c>
      <c r="F9" s="157"/>
      <c r="G9" s="157"/>
      <c r="H9" s="158">
        <v>1.0</v>
      </c>
      <c r="I9" s="159">
        <f t="shared" si="1"/>
        <v>15.3974181</v>
      </c>
      <c r="J9" s="160">
        <f t="shared" si="2"/>
        <v>251.4555819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hidden="1" customHeight="1">
      <c r="A10" s="154">
        <v>11.0</v>
      </c>
      <c r="B10" s="162"/>
      <c r="C10" s="162"/>
      <c r="D10" s="163"/>
      <c r="E10" s="164"/>
      <c r="F10" s="164"/>
      <c r="G10" s="164"/>
      <c r="H10" s="158"/>
      <c r="I10" s="159">
        <f t="shared" si="1"/>
        <v>0</v>
      </c>
      <c r="J10" s="160">
        <f t="shared" si="2"/>
        <v>0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hidden="1" customHeight="1">
      <c r="A11" s="154">
        <v>12.0</v>
      </c>
      <c r="B11" s="162"/>
      <c r="C11" s="162"/>
      <c r="D11" s="163"/>
      <c r="E11" s="164"/>
      <c r="F11" s="164"/>
      <c r="G11" s="164"/>
      <c r="H11" s="158"/>
      <c r="I11" s="159">
        <f t="shared" si="1"/>
        <v>0</v>
      </c>
      <c r="J11" s="160">
        <f t="shared" si="2"/>
        <v>0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hidden="1" customHeight="1">
      <c r="A12" s="154">
        <v>13.0</v>
      </c>
      <c r="B12" s="162"/>
      <c r="C12" s="162"/>
      <c r="D12" s="163"/>
      <c r="E12" s="164"/>
      <c r="F12" s="164"/>
      <c r="G12" s="164"/>
      <c r="H12" s="158"/>
      <c r="I12" s="159">
        <f t="shared" si="1"/>
        <v>0</v>
      </c>
      <c r="J12" s="160">
        <f t="shared" si="2"/>
        <v>0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14.0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15.0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16.0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17.0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18.75" customHeight="1">
      <c r="A17" s="165"/>
      <c r="B17" s="166"/>
      <c r="C17" s="167"/>
      <c r="D17" s="168"/>
      <c r="E17" s="169">
        <f>SUM(E8:E16)</f>
        <v>6959.5194</v>
      </c>
      <c r="F17" s="170"/>
      <c r="G17" s="170"/>
      <c r="H17" s="171"/>
      <c r="I17" s="172">
        <f t="shared" ref="I17:J17" si="3">SUM(I8:I16)</f>
        <v>592.3052618</v>
      </c>
      <c r="J17" s="173">
        <f t="shared" si="3"/>
        <v>6367.214138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74"/>
      <c r="B18" s="144"/>
      <c r="C18" s="144"/>
      <c r="D18" s="175"/>
      <c r="E18" s="176"/>
      <c r="F18" s="151"/>
      <c r="G18" s="151"/>
      <c r="H18" s="147"/>
      <c r="I18" s="177"/>
      <c r="J18" s="139"/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39"/>
      <c r="B19" s="139"/>
      <c r="C19" s="139"/>
      <c r="D19" s="139"/>
      <c r="E19" s="139"/>
      <c r="F19" s="139"/>
      <c r="G19" s="139"/>
      <c r="H19" s="140"/>
      <c r="I19" s="139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 t="s">
        <v>11</v>
      </c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40.5" customHeight="1">
      <c r="A23" s="178"/>
      <c r="B23" s="162" t="s">
        <v>12</v>
      </c>
      <c r="C23" s="179" t="s">
        <v>60</v>
      </c>
      <c r="D23" s="52"/>
      <c r="E23" s="53"/>
      <c r="F23" s="180"/>
      <c r="G23" s="180"/>
      <c r="H23" s="181" t="s">
        <v>14</v>
      </c>
      <c r="I23" s="162" t="s">
        <v>15</v>
      </c>
      <c r="J23" s="162" t="s">
        <v>16</v>
      </c>
      <c r="K23" s="139"/>
      <c r="L23" s="162" t="s">
        <v>17</v>
      </c>
      <c r="M23" s="162" t="s">
        <v>15</v>
      </c>
      <c r="N23" s="178" t="s">
        <v>18</v>
      </c>
      <c r="O23" s="139"/>
      <c r="P23" s="139"/>
      <c r="Q23" s="178" t="s">
        <v>61</v>
      </c>
      <c r="R23" s="182"/>
      <c r="S23" s="162" t="s">
        <v>17</v>
      </c>
      <c r="T23" s="162" t="s">
        <v>15</v>
      </c>
      <c r="U23" s="178" t="s">
        <v>18</v>
      </c>
      <c r="V23" s="139"/>
      <c r="W23" s="178" t="s">
        <v>19</v>
      </c>
      <c r="X23" s="178" t="s">
        <v>20</v>
      </c>
      <c r="Y23" s="178" t="s">
        <v>21</v>
      </c>
      <c r="Z23" s="178" t="s">
        <v>160</v>
      </c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27.0" customHeight="1">
      <c r="A24" s="162">
        <v>1.0</v>
      </c>
      <c r="B24" s="183" t="s">
        <v>110</v>
      </c>
      <c r="C24" s="184">
        <v>90.0</v>
      </c>
      <c r="D24" s="184">
        <v>198.0</v>
      </c>
      <c r="E24" s="184">
        <v>212.0</v>
      </c>
      <c r="F24" s="184">
        <f t="shared" ref="F24:F150" si="5">VALUE(IF(RIGHT(B24, 1)="%", RIGHT(B24, 3), 0))</f>
        <v>0.8</v>
      </c>
      <c r="G24" s="184">
        <f t="shared" ref="G24:G150" si="6">+R24*C24/100*D24/100*E24/100</f>
        <v>77.44572</v>
      </c>
      <c r="H24" s="185">
        <f t="shared" ref="H24:H150" si="7">IF(F24=0, G24, F24*G24)</f>
        <v>61.956576</v>
      </c>
      <c r="I24" s="184">
        <v>1.0</v>
      </c>
      <c r="J24" s="186">
        <f t="shared" ref="J24:J150" si="8">+I24*H24</f>
        <v>61.956576</v>
      </c>
      <c r="K24" s="187"/>
      <c r="L24" s="188">
        <f>D24*25.4/1000</f>
        <v>5.0292</v>
      </c>
      <c r="M24" s="189">
        <f>+I24</f>
        <v>1</v>
      </c>
      <c r="N24" s="189">
        <f>M24*L24</f>
        <v>5.0292</v>
      </c>
      <c r="O24" s="187"/>
      <c r="P24" s="187"/>
      <c r="Q24" s="188">
        <v>85.0</v>
      </c>
      <c r="R24" s="190">
        <v>20.5</v>
      </c>
      <c r="S24" s="178">
        <f t="shared" ref="S24:S151" si="9">E24/100</f>
        <v>2.12</v>
      </c>
      <c r="T24" s="162">
        <f t="shared" ref="T24:T151" si="10">I24</f>
        <v>1</v>
      </c>
      <c r="U24" s="162">
        <f t="shared" ref="U24:U151" si="11">T24*S24</f>
        <v>2.12</v>
      </c>
      <c r="V24" s="191">
        <f t="shared" ref="V24:V33" si="12">R24*C24/100*D24/100*E24/100</f>
        <v>77.44572</v>
      </c>
      <c r="W24" s="178">
        <f t="shared" ref="W24:X24" si="4">C24/100</f>
        <v>0.9</v>
      </c>
      <c r="X24" s="178">
        <f t="shared" si="4"/>
        <v>1.98</v>
      </c>
      <c r="Y24" s="178">
        <f t="shared" ref="Y24:Y151" si="14">U24</f>
        <v>2.12</v>
      </c>
      <c r="Z24" s="192">
        <f t="shared" ref="Z24:Z151" si="15">W24*X24*Y24</f>
        <v>3.77784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2">
        <v>2.0</v>
      </c>
      <c r="B25" s="193" t="s">
        <v>111</v>
      </c>
      <c r="C25" s="193">
        <v>100.0</v>
      </c>
      <c r="D25" s="193">
        <v>198.0</v>
      </c>
      <c r="E25" s="193">
        <v>217.0</v>
      </c>
      <c r="F25" s="193">
        <f t="shared" si="5"/>
        <v>0</v>
      </c>
      <c r="G25" s="193">
        <f t="shared" si="6"/>
        <v>88.0803</v>
      </c>
      <c r="H25" s="194">
        <f t="shared" si="7"/>
        <v>88.0803</v>
      </c>
      <c r="I25" s="193">
        <v>1.0</v>
      </c>
      <c r="J25" s="195">
        <f t="shared" si="8"/>
        <v>88.0803</v>
      </c>
      <c r="K25" s="139"/>
      <c r="L25" s="178"/>
      <c r="M25" s="162"/>
      <c r="N25" s="162"/>
      <c r="O25" s="139"/>
      <c r="P25" s="139"/>
      <c r="Q25" s="178">
        <v>89.0</v>
      </c>
      <c r="R25" s="190">
        <v>20.5</v>
      </c>
      <c r="S25" s="178">
        <f t="shared" si="9"/>
        <v>2.17</v>
      </c>
      <c r="T25" s="162">
        <f t="shared" si="10"/>
        <v>1</v>
      </c>
      <c r="U25" s="162">
        <f t="shared" si="11"/>
        <v>2.17</v>
      </c>
      <c r="V25" s="191">
        <f t="shared" si="12"/>
        <v>88.0803</v>
      </c>
      <c r="W25" s="178">
        <f t="shared" ref="W25:X25" si="13">C25/100</f>
        <v>1</v>
      </c>
      <c r="X25" s="178">
        <f t="shared" si="13"/>
        <v>1.98</v>
      </c>
      <c r="Y25" s="178">
        <f t="shared" si="14"/>
        <v>2.17</v>
      </c>
      <c r="Z25" s="192">
        <f t="shared" si="15"/>
        <v>4.2966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2">
        <v>3.0</v>
      </c>
      <c r="B26" s="193" t="s">
        <v>111</v>
      </c>
      <c r="C26" s="193">
        <v>103.0</v>
      </c>
      <c r="D26" s="193">
        <v>198.0</v>
      </c>
      <c r="E26" s="193">
        <v>2869.0</v>
      </c>
      <c r="F26" s="193">
        <f t="shared" si="5"/>
        <v>0</v>
      </c>
      <c r="G26" s="193">
        <f t="shared" si="6"/>
        <v>1199.462913</v>
      </c>
      <c r="H26" s="194">
        <f t="shared" si="7"/>
        <v>1199.462913</v>
      </c>
      <c r="I26" s="193">
        <v>1.0</v>
      </c>
      <c r="J26" s="195">
        <f t="shared" si="8"/>
        <v>1199.462913</v>
      </c>
      <c r="K26" s="139"/>
      <c r="L26" s="178">
        <f t="shared" ref="L26:L33" si="17">D26*25.4/1000</f>
        <v>5.0292</v>
      </c>
      <c r="M26" s="162">
        <f t="shared" ref="M26:M33" si="18">+I26</f>
        <v>1</v>
      </c>
      <c r="N26" s="162">
        <f t="shared" ref="N26:N33" si="19">M26*L26</f>
        <v>5.0292</v>
      </c>
      <c r="O26" s="139"/>
      <c r="P26" s="139"/>
      <c r="Q26" s="178">
        <v>1175.0</v>
      </c>
      <c r="R26" s="190">
        <v>20.5</v>
      </c>
      <c r="S26" s="178">
        <f t="shared" si="9"/>
        <v>28.69</v>
      </c>
      <c r="T26" s="162">
        <f t="shared" si="10"/>
        <v>1</v>
      </c>
      <c r="U26" s="162">
        <f t="shared" si="11"/>
        <v>28.69</v>
      </c>
      <c r="V26" s="191">
        <f t="shared" si="12"/>
        <v>1199.462913</v>
      </c>
      <c r="W26" s="178">
        <f t="shared" ref="W26:X26" si="16">C26/100</f>
        <v>1.03</v>
      </c>
      <c r="X26" s="178">
        <f t="shared" si="16"/>
        <v>1.98</v>
      </c>
      <c r="Y26" s="178">
        <f t="shared" si="14"/>
        <v>28.69</v>
      </c>
      <c r="Z26" s="192">
        <f t="shared" si="15"/>
        <v>58.510386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4.0</v>
      </c>
      <c r="B27" s="193" t="s">
        <v>111</v>
      </c>
      <c r="C27" s="193">
        <v>102.0</v>
      </c>
      <c r="D27" s="193">
        <v>198.0</v>
      </c>
      <c r="E27" s="193">
        <v>2865.0</v>
      </c>
      <c r="F27" s="193">
        <f t="shared" si="5"/>
        <v>0</v>
      </c>
      <c r="G27" s="193">
        <f t="shared" si="6"/>
        <v>1186.16157</v>
      </c>
      <c r="H27" s="194">
        <f t="shared" si="7"/>
        <v>1186.16157</v>
      </c>
      <c r="I27" s="193">
        <v>1.0</v>
      </c>
      <c r="J27" s="195">
        <f t="shared" si="8"/>
        <v>1186.16157</v>
      </c>
      <c r="K27" s="139"/>
      <c r="L27" s="178">
        <f t="shared" si="17"/>
        <v>5.0292</v>
      </c>
      <c r="M27" s="162">
        <f t="shared" si="18"/>
        <v>1</v>
      </c>
      <c r="N27" s="162">
        <f t="shared" si="19"/>
        <v>5.0292</v>
      </c>
      <c r="O27" s="139"/>
      <c r="P27" s="139"/>
      <c r="Q27" s="178">
        <v>1185.0</v>
      </c>
      <c r="R27" s="190">
        <v>20.5</v>
      </c>
      <c r="S27" s="178">
        <f t="shared" si="9"/>
        <v>28.65</v>
      </c>
      <c r="T27" s="162">
        <f t="shared" si="10"/>
        <v>1</v>
      </c>
      <c r="U27" s="162">
        <f t="shared" si="11"/>
        <v>28.65</v>
      </c>
      <c r="V27" s="191">
        <f t="shared" si="12"/>
        <v>1186.16157</v>
      </c>
      <c r="W27" s="178">
        <f t="shared" ref="W27:X27" si="20">C27/100</f>
        <v>1.02</v>
      </c>
      <c r="X27" s="178">
        <f t="shared" si="20"/>
        <v>1.98</v>
      </c>
      <c r="Y27" s="178">
        <f t="shared" si="14"/>
        <v>28.65</v>
      </c>
      <c r="Z27" s="192">
        <f t="shared" si="15"/>
        <v>57.86154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5.0</v>
      </c>
      <c r="B28" s="193" t="s">
        <v>111</v>
      </c>
      <c r="C28" s="193">
        <v>100.0</v>
      </c>
      <c r="D28" s="193">
        <v>198.0</v>
      </c>
      <c r="E28" s="193">
        <v>2861.0</v>
      </c>
      <c r="F28" s="193">
        <f t="shared" si="5"/>
        <v>0</v>
      </c>
      <c r="G28" s="193">
        <f t="shared" si="6"/>
        <v>1161.2799</v>
      </c>
      <c r="H28" s="194">
        <f t="shared" si="7"/>
        <v>1161.2799</v>
      </c>
      <c r="I28" s="193">
        <v>1.0</v>
      </c>
      <c r="J28" s="195">
        <f t="shared" si="8"/>
        <v>1161.2799</v>
      </c>
      <c r="K28" s="139"/>
      <c r="L28" s="178">
        <f t="shared" si="17"/>
        <v>5.0292</v>
      </c>
      <c r="M28" s="162">
        <f t="shared" si="18"/>
        <v>1</v>
      </c>
      <c r="N28" s="162">
        <f t="shared" si="19"/>
        <v>5.0292</v>
      </c>
      <c r="O28" s="139"/>
      <c r="P28" s="139"/>
      <c r="Q28" s="178">
        <v>1165.0</v>
      </c>
      <c r="R28" s="190">
        <v>20.5</v>
      </c>
      <c r="S28" s="178">
        <f t="shared" si="9"/>
        <v>28.61</v>
      </c>
      <c r="T28" s="162">
        <f t="shared" si="10"/>
        <v>1</v>
      </c>
      <c r="U28" s="162">
        <f t="shared" si="11"/>
        <v>28.61</v>
      </c>
      <c r="V28" s="191">
        <f t="shared" si="12"/>
        <v>1161.2799</v>
      </c>
      <c r="W28" s="178">
        <f t="shared" ref="W28:X28" si="21">C28/100</f>
        <v>1</v>
      </c>
      <c r="X28" s="178">
        <f t="shared" si="21"/>
        <v>1.98</v>
      </c>
      <c r="Y28" s="178">
        <f t="shared" si="14"/>
        <v>28.61</v>
      </c>
      <c r="Z28" s="192">
        <f t="shared" si="15"/>
        <v>56.6478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6.0</v>
      </c>
      <c r="B29" s="193" t="s">
        <v>111</v>
      </c>
      <c r="C29" s="193">
        <v>100.0</v>
      </c>
      <c r="D29" s="193">
        <v>198.0</v>
      </c>
      <c r="E29" s="193">
        <v>2863.0</v>
      </c>
      <c r="F29" s="193">
        <f t="shared" si="5"/>
        <v>0</v>
      </c>
      <c r="G29" s="193">
        <f t="shared" si="6"/>
        <v>1162.0917</v>
      </c>
      <c r="H29" s="194">
        <f t="shared" si="7"/>
        <v>1162.0917</v>
      </c>
      <c r="I29" s="193">
        <v>1.0</v>
      </c>
      <c r="J29" s="195">
        <f t="shared" si="8"/>
        <v>1162.0917</v>
      </c>
      <c r="K29" s="139"/>
      <c r="L29" s="178">
        <f t="shared" si="17"/>
        <v>5.0292</v>
      </c>
      <c r="M29" s="162">
        <f t="shared" si="18"/>
        <v>1</v>
      </c>
      <c r="N29" s="162">
        <f t="shared" si="19"/>
        <v>5.0292</v>
      </c>
      <c r="O29" s="139"/>
      <c r="P29" s="139"/>
      <c r="Q29" s="178">
        <v>1160.0</v>
      </c>
      <c r="R29" s="190">
        <v>20.5</v>
      </c>
      <c r="S29" s="178">
        <f t="shared" si="9"/>
        <v>28.63</v>
      </c>
      <c r="T29" s="162">
        <f t="shared" si="10"/>
        <v>1</v>
      </c>
      <c r="U29" s="162">
        <f t="shared" si="11"/>
        <v>28.63</v>
      </c>
      <c r="V29" s="191">
        <f t="shared" si="12"/>
        <v>1162.0917</v>
      </c>
      <c r="W29" s="178">
        <f t="shared" ref="W29:X29" si="22">C29/100</f>
        <v>1</v>
      </c>
      <c r="X29" s="178">
        <f t="shared" si="22"/>
        <v>1.98</v>
      </c>
      <c r="Y29" s="178">
        <f t="shared" si="14"/>
        <v>28.63</v>
      </c>
      <c r="Z29" s="192">
        <f t="shared" si="15"/>
        <v>56.6874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7.0</v>
      </c>
      <c r="B30" s="193" t="s">
        <v>111</v>
      </c>
      <c r="C30" s="193">
        <v>99.0</v>
      </c>
      <c r="D30" s="193">
        <v>198.0</v>
      </c>
      <c r="E30" s="193">
        <v>2602.0</v>
      </c>
      <c r="F30" s="193">
        <f t="shared" si="5"/>
        <v>0</v>
      </c>
      <c r="G30" s="193">
        <f t="shared" si="6"/>
        <v>1045.590282</v>
      </c>
      <c r="H30" s="194">
        <f t="shared" si="7"/>
        <v>1045.590282</v>
      </c>
      <c r="I30" s="193">
        <v>1.0</v>
      </c>
      <c r="J30" s="195">
        <f t="shared" si="8"/>
        <v>1045.590282</v>
      </c>
      <c r="K30" s="139"/>
      <c r="L30" s="178">
        <f t="shared" si="17"/>
        <v>5.0292</v>
      </c>
      <c r="M30" s="162">
        <f t="shared" si="18"/>
        <v>1</v>
      </c>
      <c r="N30" s="162">
        <f t="shared" si="19"/>
        <v>5.0292</v>
      </c>
      <c r="O30" s="139"/>
      <c r="P30" s="139"/>
      <c r="Q30" s="178">
        <v>1065.0</v>
      </c>
      <c r="R30" s="190">
        <v>20.5</v>
      </c>
      <c r="S30" s="178">
        <f t="shared" si="9"/>
        <v>26.02</v>
      </c>
      <c r="T30" s="162">
        <f t="shared" si="10"/>
        <v>1</v>
      </c>
      <c r="U30" s="162">
        <f t="shared" si="11"/>
        <v>26.02</v>
      </c>
      <c r="V30" s="191">
        <f t="shared" si="12"/>
        <v>1045.590282</v>
      </c>
      <c r="W30" s="178">
        <f t="shared" ref="W30:X30" si="23">C30/100</f>
        <v>0.99</v>
      </c>
      <c r="X30" s="178">
        <f t="shared" si="23"/>
        <v>1.98</v>
      </c>
      <c r="Y30" s="178">
        <f t="shared" si="14"/>
        <v>26.02</v>
      </c>
      <c r="Z30" s="192">
        <f t="shared" si="15"/>
        <v>51.004404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8.0</v>
      </c>
      <c r="B31" s="183" t="s">
        <v>161</v>
      </c>
      <c r="C31" s="184">
        <v>81.0</v>
      </c>
      <c r="D31" s="184">
        <v>198.0</v>
      </c>
      <c r="E31" s="184">
        <v>188.0</v>
      </c>
      <c r="F31" s="184">
        <f t="shared" si="5"/>
        <v>0.8</v>
      </c>
      <c r="G31" s="184">
        <f t="shared" si="6"/>
        <v>76.886172</v>
      </c>
      <c r="H31" s="185">
        <f t="shared" si="7"/>
        <v>61.5089376</v>
      </c>
      <c r="I31" s="184">
        <v>1.0</v>
      </c>
      <c r="J31" s="186">
        <f t="shared" si="8"/>
        <v>61.5089376</v>
      </c>
      <c r="K31" s="187"/>
      <c r="L31" s="188">
        <f t="shared" si="17"/>
        <v>5.0292</v>
      </c>
      <c r="M31" s="189">
        <f t="shared" si="18"/>
        <v>1</v>
      </c>
      <c r="N31" s="189">
        <f t="shared" si="19"/>
        <v>5.0292</v>
      </c>
      <c r="O31" s="187"/>
      <c r="P31" s="187"/>
      <c r="Q31" s="188">
        <v>96.0</v>
      </c>
      <c r="R31" s="190">
        <v>25.5</v>
      </c>
      <c r="S31" s="178">
        <f t="shared" si="9"/>
        <v>1.88</v>
      </c>
      <c r="T31" s="162">
        <f t="shared" si="10"/>
        <v>1</v>
      </c>
      <c r="U31" s="162">
        <f t="shared" si="11"/>
        <v>1.88</v>
      </c>
      <c r="V31" s="191">
        <f t="shared" si="12"/>
        <v>76.886172</v>
      </c>
      <c r="W31" s="178">
        <f t="shared" ref="W31:X31" si="24">C31/100</f>
        <v>0.81</v>
      </c>
      <c r="X31" s="178">
        <f t="shared" si="24"/>
        <v>1.98</v>
      </c>
      <c r="Y31" s="178">
        <f t="shared" si="14"/>
        <v>1.88</v>
      </c>
      <c r="Z31" s="192">
        <f t="shared" si="15"/>
        <v>3.015144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9.0</v>
      </c>
      <c r="B32" s="193" t="s">
        <v>159</v>
      </c>
      <c r="C32" s="193">
        <v>80.0</v>
      </c>
      <c r="D32" s="193">
        <v>198.0</v>
      </c>
      <c r="E32" s="193">
        <v>189.0</v>
      </c>
      <c r="F32" s="193">
        <f t="shared" si="5"/>
        <v>0</v>
      </c>
      <c r="G32" s="193">
        <f t="shared" si="6"/>
        <v>76.34088</v>
      </c>
      <c r="H32" s="194">
        <f t="shared" si="7"/>
        <v>76.34088</v>
      </c>
      <c r="I32" s="193">
        <v>1.0</v>
      </c>
      <c r="J32" s="195">
        <f t="shared" si="8"/>
        <v>76.34088</v>
      </c>
      <c r="K32" s="139"/>
      <c r="L32" s="178">
        <f t="shared" si="17"/>
        <v>5.0292</v>
      </c>
      <c r="M32" s="162">
        <f t="shared" si="18"/>
        <v>1</v>
      </c>
      <c r="N32" s="162">
        <f t="shared" si="19"/>
        <v>5.0292</v>
      </c>
      <c r="O32" s="139"/>
      <c r="P32" s="139"/>
      <c r="Q32" s="178">
        <v>84.0</v>
      </c>
      <c r="R32" s="190">
        <v>25.5</v>
      </c>
      <c r="S32" s="178">
        <f t="shared" si="9"/>
        <v>1.89</v>
      </c>
      <c r="T32" s="162">
        <f t="shared" si="10"/>
        <v>1</v>
      </c>
      <c r="U32" s="162">
        <f t="shared" si="11"/>
        <v>1.89</v>
      </c>
      <c r="V32" s="191">
        <f t="shared" si="12"/>
        <v>76.34088</v>
      </c>
      <c r="W32" s="178">
        <f t="shared" ref="W32:X32" si="25">C32/100</f>
        <v>0.8</v>
      </c>
      <c r="X32" s="178">
        <f t="shared" si="25"/>
        <v>1.98</v>
      </c>
      <c r="Y32" s="178">
        <f t="shared" si="14"/>
        <v>1.89</v>
      </c>
      <c r="Z32" s="192">
        <f t="shared" si="15"/>
        <v>2.99376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10.0</v>
      </c>
      <c r="B33" s="193" t="s">
        <v>159</v>
      </c>
      <c r="C33" s="193">
        <v>50.0</v>
      </c>
      <c r="D33" s="193">
        <v>198.0</v>
      </c>
      <c r="E33" s="193">
        <v>170.0</v>
      </c>
      <c r="F33" s="193">
        <f t="shared" si="5"/>
        <v>0</v>
      </c>
      <c r="G33" s="193">
        <f t="shared" si="6"/>
        <v>42.9165</v>
      </c>
      <c r="H33" s="194">
        <f t="shared" si="7"/>
        <v>42.9165</v>
      </c>
      <c r="I33" s="193">
        <v>1.0</v>
      </c>
      <c r="J33" s="195">
        <f t="shared" si="8"/>
        <v>42.9165</v>
      </c>
      <c r="K33" s="139"/>
      <c r="L33" s="178">
        <f t="shared" si="17"/>
        <v>5.0292</v>
      </c>
      <c r="M33" s="162">
        <f t="shared" si="18"/>
        <v>1</v>
      </c>
      <c r="N33" s="162">
        <f t="shared" si="19"/>
        <v>5.0292</v>
      </c>
      <c r="O33" s="139"/>
      <c r="P33" s="139"/>
      <c r="Q33" s="178">
        <v>48.0</v>
      </c>
      <c r="R33" s="190">
        <v>25.5</v>
      </c>
      <c r="S33" s="178">
        <f t="shared" si="9"/>
        <v>1.7</v>
      </c>
      <c r="T33" s="162">
        <f t="shared" si="10"/>
        <v>1</v>
      </c>
      <c r="U33" s="162">
        <f t="shared" si="11"/>
        <v>1.7</v>
      </c>
      <c r="V33" s="191">
        <f t="shared" si="12"/>
        <v>42.9165</v>
      </c>
      <c r="W33" s="178">
        <f t="shared" ref="W33:X33" si="26">C33/100</f>
        <v>0.5</v>
      </c>
      <c r="X33" s="178">
        <f t="shared" si="26"/>
        <v>1.98</v>
      </c>
      <c r="Y33" s="178">
        <f t="shared" si="14"/>
        <v>1.7</v>
      </c>
      <c r="Z33" s="192">
        <f t="shared" si="15"/>
        <v>1.683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hidden="1" customHeight="1">
      <c r="A34" s="162">
        <v>101.0</v>
      </c>
      <c r="B34" s="193"/>
      <c r="C34" s="193"/>
      <c r="D34" s="193"/>
      <c r="E34" s="193"/>
      <c r="F34" s="193">
        <f t="shared" si="5"/>
        <v>0</v>
      </c>
      <c r="G34" s="193">
        <f t="shared" si="6"/>
        <v>0</v>
      </c>
      <c r="H34" s="194">
        <f t="shared" si="7"/>
        <v>0</v>
      </c>
      <c r="I34" s="193"/>
      <c r="J34" s="195">
        <f t="shared" si="8"/>
        <v>0</v>
      </c>
      <c r="K34" s="139"/>
      <c r="L34" s="197"/>
      <c r="M34" s="198"/>
      <c r="N34" s="198"/>
      <c r="O34" s="139"/>
      <c r="P34" s="139"/>
      <c r="Q34" s="195"/>
      <c r="R34" s="141"/>
      <c r="S34" s="199">
        <f t="shared" si="9"/>
        <v>0</v>
      </c>
      <c r="T34" s="200" t="str">
        <f t="shared" si="10"/>
        <v/>
      </c>
      <c r="U34" s="200">
        <f t="shared" si="11"/>
        <v>0</v>
      </c>
      <c r="V34" s="203"/>
      <c r="W34" s="199">
        <f t="shared" ref="W34:X34" si="27">C34/100</f>
        <v>0</v>
      </c>
      <c r="X34" s="199">
        <f t="shared" si="27"/>
        <v>0</v>
      </c>
      <c r="Y34" s="199">
        <f t="shared" si="14"/>
        <v>0</v>
      </c>
      <c r="Z34" s="202">
        <f t="shared" si="15"/>
        <v>0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hidden="1" customHeight="1">
      <c r="A35" s="162">
        <v>102.0</v>
      </c>
      <c r="B35" s="193"/>
      <c r="C35" s="193"/>
      <c r="D35" s="193"/>
      <c r="E35" s="193"/>
      <c r="F35" s="193">
        <f t="shared" si="5"/>
        <v>0</v>
      </c>
      <c r="G35" s="193">
        <f t="shared" si="6"/>
        <v>0</v>
      </c>
      <c r="H35" s="194">
        <f t="shared" si="7"/>
        <v>0</v>
      </c>
      <c r="I35" s="193"/>
      <c r="J35" s="195">
        <f t="shared" si="8"/>
        <v>0</v>
      </c>
      <c r="K35" s="139"/>
      <c r="L35" s="197"/>
      <c r="M35" s="198"/>
      <c r="N35" s="198"/>
      <c r="O35" s="139"/>
      <c r="P35" s="139"/>
      <c r="Q35" s="195"/>
      <c r="R35" s="141"/>
      <c r="S35" s="199">
        <f t="shared" si="9"/>
        <v>0</v>
      </c>
      <c r="T35" s="200" t="str">
        <f t="shared" si="10"/>
        <v/>
      </c>
      <c r="U35" s="200">
        <f t="shared" si="11"/>
        <v>0</v>
      </c>
      <c r="V35" s="203"/>
      <c r="W35" s="199">
        <f t="shared" ref="W35:X35" si="28">C35/100</f>
        <v>0</v>
      </c>
      <c r="X35" s="199">
        <f t="shared" si="28"/>
        <v>0</v>
      </c>
      <c r="Y35" s="199">
        <f t="shared" si="14"/>
        <v>0</v>
      </c>
      <c r="Z35" s="202">
        <f t="shared" si="15"/>
        <v>0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hidden="1" customHeight="1">
      <c r="A36" s="162">
        <v>103.0</v>
      </c>
      <c r="B36" s="193"/>
      <c r="C36" s="193"/>
      <c r="D36" s="193"/>
      <c r="E36" s="193"/>
      <c r="F36" s="193">
        <f t="shared" si="5"/>
        <v>0</v>
      </c>
      <c r="G36" s="193">
        <f t="shared" si="6"/>
        <v>0</v>
      </c>
      <c r="H36" s="194">
        <f t="shared" si="7"/>
        <v>0</v>
      </c>
      <c r="I36" s="193"/>
      <c r="J36" s="195">
        <f t="shared" si="8"/>
        <v>0</v>
      </c>
      <c r="K36" s="139"/>
      <c r="L36" s="197"/>
      <c r="M36" s="198"/>
      <c r="N36" s="198"/>
      <c r="O36" s="139"/>
      <c r="P36" s="139"/>
      <c r="Q36" s="195"/>
      <c r="R36" s="141"/>
      <c r="S36" s="199">
        <f t="shared" si="9"/>
        <v>0</v>
      </c>
      <c r="T36" s="200" t="str">
        <f t="shared" si="10"/>
        <v/>
      </c>
      <c r="U36" s="200">
        <f t="shared" si="11"/>
        <v>0</v>
      </c>
      <c r="V36" s="203"/>
      <c r="W36" s="199">
        <f t="shared" ref="W36:X36" si="29">C36/100</f>
        <v>0</v>
      </c>
      <c r="X36" s="199">
        <f t="shared" si="29"/>
        <v>0</v>
      </c>
      <c r="Y36" s="199">
        <f t="shared" si="14"/>
        <v>0</v>
      </c>
      <c r="Z36" s="202">
        <f t="shared" si="15"/>
        <v>0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hidden="1" customHeight="1">
      <c r="A37" s="162">
        <v>104.0</v>
      </c>
      <c r="B37" s="193"/>
      <c r="C37" s="193"/>
      <c r="D37" s="193"/>
      <c r="E37" s="193"/>
      <c r="F37" s="193">
        <f t="shared" si="5"/>
        <v>0</v>
      </c>
      <c r="G37" s="193">
        <f t="shared" si="6"/>
        <v>0</v>
      </c>
      <c r="H37" s="194">
        <f t="shared" si="7"/>
        <v>0</v>
      </c>
      <c r="I37" s="193"/>
      <c r="J37" s="195">
        <f t="shared" si="8"/>
        <v>0</v>
      </c>
      <c r="K37" s="139"/>
      <c r="L37" s="197"/>
      <c r="M37" s="198"/>
      <c r="N37" s="198"/>
      <c r="O37" s="139"/>
      <c r="P37" s="139"/>
      <c r="Q37" s="195"/>
      <c r="R37" s="141"/>
      <c r="S37" s="199">
        <f t="shared" si="9"/>
        <v>0</v>
      </c>
      <c r="T37" s="200" t="str">
        <f t="shared" si="10"/>
        <v/>
      </c>
      <c r="U37" s="200">
        <f t="shared" si="11"/>
        <v>0</v>
      </c>
      <c r="V37" s="203"/>
      <c r="W37" s="199">
        <f t="shared" ref="W37:X37" si="30">C37/100</f>
        <v>0</v>
      </c>
      <c r="X37" s="199">
        <f t="shared" si="30"/>
        <v>0</v>
      </c>
      <c r="Y37" s="199">
        <f t="shared" si="14"/>
        <v>0</v>
      </c>
      <c r="Z37" s="202">
        <f t="shared" si="15"/>
        <v>0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hidden="1" customHeight="1">
      <c r="A38" s="162">
        <v>105.0</v>
      </c>
      <c r="B38" s="193"/>
      <c r="C38" s="193"/>
      <c r="D38" s="193"/>
      <c r="E38" s="193"/>
      <c r="F38" s="193">
        <f t="shared" si="5"/>
        <v>0</v>
      </c>
      <c r="G38" s="193">
        <f t="shared" si="6"/>
        <v>0</v>
      </c>
      <c r="H38" s="194">
        <f t="shared" si="7"/>
        <v>0</v>
      </c>
      <c r="I38" s="193"/>
      <c r="J38" s="195">
        <f t="shared" si="8"/>
        <v>0</v>
      </c>
      <c r="K38" s="139"/>
      <c r="L38" s="197"/>
      <c r="M38" s="198"/>
      <c r="N38" s="198"/>
      <c r="O38" s="139"/>
      <c r="P38" s="139"/>
      <c r="Q38" s="195"/>
      <c r="R38" s="141"/>
      <c r="S38" s="199">
        <f t="shared" si="9"/>
        <v>0</v>
      </c>
      <c r="T38" s="200" t="str">
        <f t="shared" si="10"/>
        <v/>
      </c>
      <c r="U38" s="200">
        <f t="shared" si="11"/>
        <v>0</v>
      </c>
      <c r="V38" s="203"/>
      <c r="W38" s="199">
        <f t="shared" ref="W38:X38" si="31">C38/100</f>
        <v>0</v>
      </c>
      <c r="X38" s="199">
        <f t="shared" si="31"/>
        <v>0</v>
      </c>
      <c r="Y38" s="199">
        <f t="shared" si="14"/>
        <v>0</v>
      </c>
      <c r="Z38" s="202">
        <f t="shared" si="15"/>
        <v>0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hidden="1" customHeight="1">
      <c r="A39" s="162">
        <v>106.0</v>
      </c>
      <c r="B39" s="193"/>
      <c r="C39" s="193"/>
      <c r="D39" s="193"/>
      <c r="E39" s="193"/>
      <c r="F39" s="193">
        <f t="shared" si="5"/>
        <v>0</v>
      </c>
      <c r="G39" s="193">
        <f t="shared" si="6"/>
        <v>0</v>
      </c>
      <c r="H39" s="194">
        <f t="shared" si="7"/>
        <v>0</v>
      </c>
      <c r="I39" s="193"/>
      <c r="J39" s="195">
        <f t="shared" si="8"/>
        <v>0</v>
      </c>
      <c r="K39" s="139"/>
      <c r="L39" s="197"/>
      <c r="M39" s="198"/>
      <c r="N39" s="198"/>
      <c r="O39" s="139"/>
      <c r="P39" s="139"/>
      <c r="Q39" s="195"/>
      <c r="R39" s="141"/>
      <c r="S39" s="199">
        <f t="shared" si="9"/>
        <v>0</v>
      </c>
      <c r="T39" s="200" t="str">
        <f t="shared" si="10"/>
        <v/>
      </c>
      <c r="U39" s="200">
        <f t="shared" si="11"/>
        <v>0</v>
      </c>
      <c r="V39" s="203"/>
      <c r="W39" s="199">
        <f t="shared" ref="W39:X39" si="32">C39/100</f>
        <v>0</v>
      </c>
      <c r="X39" s="199">
        <f t="shared" si="32"/>
        <v>0</v>
      </c>
      <c r="Y39" s="199">
        <f t="shared" si="14"/>
        <v>0</v>
      </c>
      <c r="Z39" s="202">
        <f t="shared" si="15"/>
        <v>0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hidden="1" customHeight="1">
      <c r="A40" s="162">
        <v>107.0</v>
      </c>
      <c r="B40" s="193"/>
      <c r="C40" s="193"/>
      <c r="D40" s="193"/>
      <c r="E40" s="193"/>
      <c r="F40" s="193">
        <f t="shared" si="5"/>
        <v>0</v>
      </c>
      <c r="G40" s="193">
        <f t="shared" si="6"/>
        <v>0</v>
      </c>
      <c r="H40" s="194">
        <f t="shared" si="7"/>
        <v>0</v>
      </c>
      <c r="I40" s="193"/>
      <c r="J40" s="195">
        <f t="shared" si="8"/>
        <v>0</v>
      </c>
      <c r="K40" s="139"/>
      <c r="L40" s="197"/>
      <c r="M40" s="198"/>
      <c r="N40" s="198"/>
      <c r="O40" s="139"/>
      <c r="P40" s="139"/>
      <c r="Q40" s="195"/>
      <c r="R40" s="141"/>
      <c r="S40" s="199">
        <f t="shared" si="9"/>
        <v>0</v>
      </c>
      <c r="T40" s="200" t="str">
        <f t="shared" si="10"/>
        <v/>
      </c>
      <c r="U40" s="200">
        <f t="shared" si="11"/>
        <v>0</v>
      </c>
      <c r="V40" s="203"/>
      <c r="W40" s="199">
        <f t="shared" ref="W40:X40" si="33">C40/100</f>
        <v>0</v>
      </c>
      <c r="X40" s="199">
        <f t="shared" si="33"/>
        <v>0</v>
      </c>
      <c r="Y40" s="199">
        <f t="shared" si="14"/>
        <v>0</v>
      </c>
      <c r="Z40" s="202">
        <f t="shared" si="15"/>
        <v>0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hidden="1" customHeight="1">
      <c r="A41" s="162">
        <v>108.0</v>
      </c>
      <c r="B41" s="193"/>
      <c r="C41" s="193"/>
      <c r="D41" s="193"/>
      <c r="E41" s="193"/>
      <c r="F41" s="193">
        <f t="shared" si="5"/>
        <v>0</v>
      </c>
      <c r="G41" s="193">
        <f t="shared" si="6"/>
        <v>0</v>
      </c>
      <c r="H41" s="194">
        <f t="shared" si="7"/>
        <v>0</v>
      </c>
      <c r="I41" s="193"/>
      <c r="J41" s="195">
        <f t="shared" si="8"/>
        <v>0</v>
      </c>
      <c r="K41" s="139"/>
      <c r="L41" s="197"/>
      <c r="M41" s="198"/>
      <c r="N41" s="198"/>
      <c r="O41" s="139"/>
      <c r="P41" s="139"/>
      <c r="Q41" s="195"/>
      <c r="R41" s="141"/>
      <c r="S41" s="199">
        <f t="shared" si="9"/>
        <v>0</v>
      </c>
      <c r="T41" s="200" t="str">
        <f t="shared" si="10"/>
        <v/>
      </c>
      <c r="U41" s="200">
        <f t="shared" si="11"/>
        <v>0</v>
      </c>
      <c r="V41" s="203"/>
      <c r="W41" s="199">
        <f t="shared" ref="W41:X41" si="34">C41/100</f>
        <v>0</v>
      </c>
      <c r="X41" s="199">
        <f t="shared" si="34"/>
        <v>0</v>
      </c>
      <c r="Y41" s="199">
        <f t="shared" si="14"/>
        <v>0</v>
      </c>
      <c r="Z41" s="202">
        <f t="shared" si="15"/>
        <v>0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hidden="1" customHeight="1">
      <c r="A42" s="162">
        <v>109.0</v>
      </c>
      <c r="B42" s="193"/>
      <c r="C42" s="193"/>
      <c r="D42" s="193"/>
      <c r="E42" s="193"/>
      <c r="F42" s="193">
        <f t="shared" si="5"/>
        <v>0</v>
      </c>
      <c r="G42" s="193">
        <f t="shared" si="6"/>
        <v>0</v>
      </c>
      <c r="H42" s="194">
        <f t="shared" si="7"/>
        <v>0</v>
      </c>
      <c r="I42" s="193"/>
      <c r="J42" s="195">
        <f t="shared" si="8"/>
        <v>0</v>
      </c>
      <c r="K42" s="139"/>
      <c r="L42" s="197"/>
      <c r="M42" s="198"/>
      <c r="N42" s="198"/>
      <c r="O42" s="139"/>
      <c r="P42" s="139"/>
      <c r="Q42" s="195"/>
      <c r="R42" s="141"/>
      <c r="S42" s="199">
        <f t="shared" si="9"/>
        <v>0</v>
      </c>
      <c r="T42" s="200" t="str">
        <f t="shared" si="10"/>
        <v/>
      </c>
      <c r="U42" s="200">
        <f t="shared" si="11"/>
        <v>0</v>
      </c>
      <c r="V42" s="203"/>
      <c r="W42" s="199">
        <f t="shared" ref="W42:X42" si="35">C42/100</f>
        <v>0</v>
      </c>
      <c r="X42" s="199">
        <f t="shared" si="35"/>
        <v>0</v>
      </c>
      <c r="Y42" s="199">
        <f t="shared" si="14"/>
        <v>0</v>
      </c>
      <c r="Z42" s="202">
        <f t="shared" si="15"/>
        <v>0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hidden="1" customHeight="1">
      <c r="A43" s="162">
        <v>110.0</v>
      </c>
      <c r="B43" s="193"/>
      <c r="C43" s="193"/>
      <c r="D43" s="193"/>
      <c r="E43" s="193"/>
      <c r="F43" s="193">
        <f t="shared" si="5"/>
        <v>0</v>
      </c>
      <c r="G43" s="193">
        <f t="shared" si="6"/>
        <v>0</v>
      </c>
      <c r="H43" s="194">
        <f t="shared" si="7"/>
        <v>0</v>
      </c>
      <c r="I43" s="193"/>
      <c r="J43" s="195">
        <f t="shared" si="8"/>
        <v>0</v>
      </c>
      <c r="K43" s="139"/>
      <c r="L43" s="197"/>
      <c r="M43" s="198"/>
      <c r="N43" s="198"/>
      <c r="O43" s="139"/>
      <c r="P43" s="139"/>
      <c r="Q43" s="195"/>
      <c r="R43" s="141"/>
      <c r="S43" s="199">
        <f t="shared" si="9"/>
        <v>0</v>
      </c>
      <c r="T43" s="200" t="str">
        <f t="shared" si="10"/>
        <v/>
      </c>
      <c r="U43" s="200">
        <f t="shared" si="11"/>
        <v>0</v>
      </c>
      <c r="V43" s="203"/>
      <c r="W43" s="199">
        <f t="shared" ref="W43:X43" si="36">C43/100</f>
        <v>0</v>
      </c>
      <c r="X43" s="199">
        <f t="shared" si="36"/>
        <v>0</v>
      </c>
      <c r="Y43" s="199">
        <f t="shared" si="14"/>
        <v>0</v>
      </c>
      <c r="Z43" s="202">
        <f t="shared" si="15"/>
        <v>0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hidden="1" customHeight="1">
      <c r="A44" s="162">
        <v>111.0</v>
      </c>
      <c r="B44" s="193"/>
      <c r="C44" s="193"/>
      <c r="D44" s="193"/>
      <c r="E44" s="193"/>
      <c r="F44" s="193">
        <f t="shared" si="5"/>
        <v>0</v>
      </c>
      <c r="G44" s="193">
        <f t="shared" si="6"/>
        <v>0</v>
      </c>
      <c r="H44" s="194">
        <f t="shared" si="7"/>
        <v>0</v>
      </c>
      <c r="I44" s="193"/>
      <c r="J44" s="195">
        <f t="shared" si="8"/>
        <v>0</v>
      </c>
      <c r="K44" s="139"/>
      <c r="L44" s="197"/>
      <c r="M44" s="198"/>
      <c r="N44" s="198"/>
      <c r="O44" s="139"/>
      <c r="P44" s="139"/>
      <c r="Q44" s="195"/>
      <c r="R44" s="141"/>
      <c r="S44" s="199">
        <f t="shared" si="9"/>
        <v>0</v>
      </c>
      <c r="T44" s="200" t="str">
        <f t="shared" si="10"/>
        <v/>
      </c>
      <c r="U44" s="200">
        <f t="shared" si="11"/>
        <v>0</v>
      </c>
      <c r="V44" s="203"/>
      <c r="W44" s="199">
        <f t="shared" ref="W44:X44" si="37">C44/100</f>
        <v>0</v>
      </c>
      <c r="X44" s="199">
        <f t="shared" si="37"/>
        <v>0</v>
      </c>
      <c r="Y44" s="199">
        <f t="shared" si="14"/>
        <v>0</v>
      </c>
      <c r="Z44" s="202">
        <f t="shared" si="15"/>
        <v>0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hidden="1" customHeight="1">
      <c r="A45" s="162">
        <v>112.0</v>
      </c>
      <c r="B45" s="193"/>
      <c r="C45" s="193"/>
      <c r="D45" s="193"/>
      <c r="E45" s="193"/>
      <c r="F45" s="193">
        <f t="shared" si="5"/>
        <v>0</v>
      </c>
      <c r="G45" s="193">
        <f t="shared" si="6"/>
        <v>0</v>
      </c>
      <c r="H45" s="194">
        <f t="shared" si="7"/>
        <v>0</v>
      </c>
      <c r="I45" s="193"/>
      <c r="J45" s="195">
        <f t="shared" si="8"/>
        <v>0</v>
      </c>
      <c r="K45" s="139"/>
      <c r="L45" s="197"/>
      <c r="M45" s="198"/>
      <c r="N45" s="198"/>
      <c r="O45" s="139"/>
      <c r="P45" s="139"/>
      <c r="Q45" s="195"/>
      <c r="R45" s="141"/>
      <c r="S45" s="199">
        <f t="shared" si="9"/>
        <v>0</v>
      </c>
      <c r="T45" s="200" t="str">
        <f t="shared" si="10"/>
        <v/>
      </c>
      <c r="U45" s="200">
        <f t="shared" si="11"/>
        <v>0</v>
      </c>
      <c r="V45" s="203"/>
      <c r="W45" s="199">
        <f t="shared" ref="W45:X45" si="38">C45/100</f>
        <v>0</v>
      </c>
      <c r="X45" s="199">
        <f t="shared" si="38"/>
        <v>0</v>
      </c>
      <c r="Y45" s="199">
        <f t="shared" si="14"/>
        <v>0</v>
      </c>
      <c r="Z45" s="202">
        <f t="shared" si="15"/>
        <v>0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hidden="1" customHeight="1">
      <c r="A46" s="162">
        <v>113.0</v>
      </c>
      <c r="B46" s="193"/>
      <c r="C46" s="193"/>
      <c r="D46" s="193"/>
      <c r="E46" s="193"/>
      <c r="F46" s="193">
        <f t="shared" si="5"/>
        <v>0</v>
      </c>
      <c r="G46" s="193">
        <f t="shared" si="6"/>
        <v>0</v>
      </c>
      <c r="H46" s="194">
        <f t="shared" si="7"/>
        <v>0</v>
      </c>
      <c r="I46" s="193"/>
      <c r="J46" s="195">
        <f t="shared" si="8"/>
        <v>0</v>
      </c>
      <c r="K46" s="139"/>
      <c r="L46" s="197"/>
      <c r="M46" s="198"/>
      <c r="N46" s="198"/>
      <c r="O46" s="139"/>
      <c r="P46" s="139"/>
      <c r="Q46" s="195"/>
      <c r="R46" s="141"/>
      <c r="S46" s="199">
        <f t="shared" si="9"/>
        <v>0</v>
      </c>
      <c r="T46" s="200" t="str">
        <f t="shared" si="10"/>
        <v/>
      </c>
      <c r="U46" s="200">
        <f t="shared" si="11"/>
        <v>0</v>
      </c>
      <c r="V46" s="203"/>
      <c r="W46" s="199">
        <f t="shared" ref="W46:X46" si="39">C46/100</f>
        <v>0</v>
      </c>
      <c r="X46" s="199">
        <f t="shared" si="39"/>
        <v>0</v>
      </c>
      <c r="Y46" s="199">
        <f t="shared" si="14"/>
        <v>0</v>
      </c>
      <c r="Z46" s="202">
        <f t="shared" si="15"/>
        <v>0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hidden="1" customHeight="1">
      <c r="A47" s="162">
        <v>114.0</v>
      </c>
      <c r="B47" s="193"/>
      <c r="C47" s="193"/>
      <c r="D47" s="193"/>
      <c r="E47" s="193"/>
      <c r="F47" s="193">
        <f t="shared" si="5"/>
        <v>0</v>
      </c>
      <c r="G47" s="193">
        <f t="shared" si="6"/>
        <v>0</v>
      </c>
      <c r="H47" s="194">
        <f t="shared" si="7"/>
        <v>0</v>
      </c>
      <c r="I47" s="193"/>
      <c r="J47" s="195">
        <f t="shared" si="8"/>
        <v>0</v>
      </c>
      <c r="K47" s="139"/>
      <c r="L47" s="197"/>
      <c r="M47" s="198"/>
      <c r="N47" s="198"/>
      <c r="O47" s="139"/>
      <c r="P47" s="139"/>
      <c r="Q47" s="195"/>
      <c r="R47" s="141"/>
      <c r="S47" s="199">
        <f t="shared" si="9"/>
        <v>0</v>
      </c>
      <c r="T47" s="200" t="str">
        <f t="shared" si="10"/>
        <v/>
      </c>
      <c r="U47" s="200">
        <f t="shared" si="11"/>
        <v>0</v>
      </c>
      <c r="V47" s="203"/>
      <c r="W47" s="199">
        <f t="shared" ref="W47:X47" si="40">C47/100</f>
        <v>0</v>
      </c>
      <c r="X47" s="199">
        <f t="shared" si="40"/>
        <v>0</v>
      </c>
      <c r="Y47" s="199">
        <f t="shared" si="14"/>
        <v>0</v>
      </c>
      <c r="Z47" s="202">
        <f t="shared" si="15"/>
        <v>0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hidden="1" customHeight="1">
      <c r="A48" s="162">
        <v>115.0</v>
      </c>
      <c r="B48" s="193"/>
      <c r="C48" s="193"/>
      <c r="D48" s="193"/>
      <c r="E48" s="193"/>
      <c r="F48" s="193">
        <f t="shared" si="5"/>
        <v>0</v>
      </c>
      <c r="G48" s="193">
        <f t="shared" si="6"/>
        <v>0</v>
      </c>
      <c r="H48" s="194">
        <f t="shared" si="7"/>
        <v>0</v>
      </c>
      <c r="I48" s="193"/>
      <c r="J48" s="195">
        <f t="shared" si="8"/>
        <v>0</v>
      </c>
      <c r="K48" s="139"/>
      <c r="L48" s="197"/>
      <c r="M48" s="198"/>
      <c r="N48" s="198"/>
      <c r="O48" s="139"/>
      <c r="P48" s="139"/>
      <c r="Q48" s="195"/>
      <c r="R48" s="141"/>
      <c r="S48" s="199">
        <f t="shared" si="9"/>
        <v>0</v>
      </c>
      <c r="T48" s="200" t="str">
        <f t="shared" si="10"/>
        <v/>
      </c>
      <c r="U48" s="200">
        <f t="shared" si="11"/>
        <v>0</v>
      </c>
      <c r="V48" s="203"/>
      <c r="W48" s="199">
        <f t="shared" ref="W48:X48" si="41">C48/100</f>
        <v>0</v>
      </c>
      <c r="X48" s="199">
        <f t="shared" si="41"/>
        <v>0</v>
      </c>
      <c r="Y48" s="199">
        <f t="shared" si="14"/>
        <v>0</v>
      </c>
      <c r="Z48" s="202">
        <f t="shared" si="15"/>
        <v>0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hidden="1" customHeight="1">
      <c r="A49" s="162">
        <v>116.0</v>
      </c>
      <c r="B49" s="193"/>
      <c r="C49" s="193"/>
      <c r="D49" s="193"/>
      <c r="E49" s="193"/>
      <c r="F49" s="193">
        <f t="shared" si="5"/>
        <v>0</v>
      </c>
      <c r="G49" s="193">
        <f t="shared" si="6"/>
        <v>0</v>
      </c>
      <c r="H49" s="194">
        <f t="shared" si="7"/>
        <v>0</v>
      </c>
      <c r="I49" s="193"/>
      <c r="J49" s="195">
        <f t="shared" si="8"/>
        <v>0</v>
      </c>
      <c r="K49" s="139"/>
      <c r="L49" s="197"/>
      <c r="M49" s="198"/>
      <c r="N49" s="198"/>
      <c r="O49" s="139"/>
      <c r="P49" s="139"/>
      <c r="Q49" s="195"/>
      <c r="R49" s="141"/>
      <c r="S49" s="199">
        <f t="shared" si="9"/>
        <v>0</v>
      </c>
      <c r="T49" s="200" t="str">
        <f t="shared" si="10"/>
        <v/>
      </c>
      <c r="U49" s="200">
        <f t="shared" si="11"/>
        <v>0</v>
      </c>
      <c r="V49" s="203"/>
      <c r="W49" s="199">
        <f t="shared" ref="W49:X49" si="42">C49/100</f>
        <v>0</v>
      </c>
      <c r="X49" s="199">
        <f t="shared" si="42"/>
        <v>0</v>
      </c>
      <c r="Y49" s="199">
        <f t="shared" si="14"/>
        <v>0</v>
      </c>
      <c r="Z49" s="202">
        <f t="shared" si="15"/>
        <v>0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hidden="1" customHeight="1">
      <c r="A50" s="162">
        <v>117.0</v>
      </c>
      <c r="B50" s="193"/>
      <c r="C50" s="193"/>
      <c r="D50" s="193"/>
      <c r="E50" s="193"/>
      <c r="F50" s="193">
        <f t="shared" si="5"/>
        <v>0</v>
      </c>
      <c r="G50" s="193">
        <f t="shared" si="6"/>
        <v>0</v>
      </c>
      <c r="H50" s="194">
        <f t="shared" si="7"/>
        <v>0</v>
      </c>
      <c r="I50" s="193"/>
      <c r="J50" s="195">
        <f t="shared" si="8"/>
        <v>0</v>
      </c>
      <c r="K50" s="139"/>
      <c r="L50" s="197"/>
      <c r="M50" s="198"/>
      <c r="N50" s="198"/>
      <c r="O50" s="139"/>
      <c r="P50" s="139"/>
      <c r="Q50" s="195"/>
      <c r="R50" s="141"/>
      <c r="S50" s="199">
        <f t="shared" si="9"/>
        <v>0</v>
      </c>
      <c r="T50" s="200" t="str">
        <f t="shared" si="10"/>
        <v/>
      </c>
      <c r="U50" s="200">
        <f t="shared" si="11"/>
        <v>0</v>
      </c>
      <c r="V50" s="203"/>
      <c r="W50" s="199">
        <f t="shared" ref="W50:X50" si="43">C50/100</f>
        <v>0</v>
      </c>
      <c r="X50" s="199">
        <f t="shared" si="43"/>
        <v>0</v>
      </c>
      <c r="Y50" s="199">
        <f t="shared" si="14"/>
        <v>0</v>
      </c>
      <c r="Z50" s="202">
        <f t="shared" si="15"/>
        <v>0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hidden="1" customHeight="1">
      <c r="A51" s="162">
        <v>118.0</v>
      </c>
      <c r="B51" s="193"/>
      <c r="C51" s="193"/>
      <c r="D51" s="193"/>
      <c r="E51" s="193"/>
      <c r="F51" s="193">
        <f t="shared" si="5"/>
        <v>0</v>
      </c>
      <c r="G51" s="193">
        <f t="shared" si="6"/>
        <v>0</v>
      </c>
      <c r="H51" s="194">
        <f t="shared" si="7"/>
        <v>0</v>
      </c>
      <c r="I51" s="193"/>
      <c r="J51" s="195">
        <f t="shared" si="8"/>
        <v>0</v>
      </c>
      <c r="K51" s="139"/>
      <c r="L51" s="197"/>
      <c r="M51" s="198"/>
      <c r="N51" s="198"/>
      <c r="O51" s="139"/>
      <c r="P51" s="139"/>
      <c r="Q51" s="195"/>
      <c r="R51" s="141"/>
      <c r="S51" s="199">
        <f t="shared" si="9"/>
        <v>0</v>
      </c>
      <c r="T51" s="200" t="str">
        <f t="shared" si="10"/>
        <v/>
      </c>
      <c r="U51" s="200">
        <f t="shared" si="11"/>
        <v>0</v>
      </c>
      <c r="V51" s="203"/>
      <c r="W51" s="199">
        <f t="shared" ref="W51:X51" si="44">C51/100</f>
        <v>0</v>
      </c>
      <c r="X51" s="199">
        <f t="shared" si="44"/>
        <v>0</v>
      </c>
      <c r="Y51" s="199">
        <f t="shared" si="14"/>
        <v>0</v>
      </c>
      <c r="Z51" s="202">
        <f t="shared" si="15"/>
        <v>0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hidden="1" customHeight="1">
      <c r="A52" s="162">
        <v>119.0</v>
      </c>
      <c r="B52" s="193"/>
      <c r="C52" s="193"/>
      <c r="D52" s="193"/>
      <c r="E52" s="193"/>
      <c r="F52" s="193">
        <f t="shared" si="5"/>
        <v>0</v>
      </c>
      <c r="G52" s="193">
        <f t="shared" si="6"/>
        <v>0</v>
      </c>
      <c r="H52" s="194">
        <f t="shared" si="7"/>
        <v>0</v>
      </c>
      <c r="I52" s="193"/>
      <c r="J52" s="195">
        <f t="shared" si="8"/>
        <v>0</v>
      </c>
      <c r="K52" s="139"/>
      <c r="L52" s="197"/>
      <c r="M52" s="198"/>
      <c r="N52" s="198"/>
      <c r="O52" s="139"/>
      <c r="P52" s="139"/>
      <c r="Q52" s="195"/>
      <c r="R52" s="141"/>
      <c r="S52" s="199">
        <f t="shared" si="9"/>
        <v>0</v>
      </c>
      <c r="T52" s="200" t="str">
        <f t="shared" si="10"/>
        <v/>
      </c>
      <c r="U52" s="200">
        <f t="shared" si="11"/>
        <v>0</v>
      </c>
      <c r="V52" s="203"/>
      <c r="W52" s="199">
        <f t="shared" ref="W52:X52" si="45">C52/100</f>
        <v>0</v>
      </c>
      <c r="X52" s="199">
        <f t="shared" si="45"/>
        <v>0</v>
      </c>
      <c r="Y52" s="199">
        <f t="shared" si="14"/>
        <v>0</v>
      </c>
      <c r="Z52" s="202">
        <f t="shared" si="15"/>
        <v>0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hidden="1" customHeight="1">
      <c r="A53" s="162">
        <v>120.0</v>
      </c>
      <c r="B53" s="193"/>
      <c r="C53" s="193"/>
      <c r="D53" s="193"/>
      <c r="E53" s="193"/>
      <c r="F53" s="193">
        <f t="shared" si="5"/>
        <v>0</v>
      </c>
      <c r="G53" s="193">
        <f t="shared" si="6"/>
        <v>0</v>
      </c>
      <c r="H53" s="194">
        <f t="shared" si="7"/>
        <v>0</v>
      </c>
      <c r="I53" s="193"/>
      <c r="J53" s="195">
        <f t="shared" si="8"/>
        <v>0</v>
      </c>
      <c r="K53" s="139"/>
      <c r="L53" s="197"/>
      <c r="M53" s="198"/>
      <c r="N53" s="198"/>
      <c r="O53" s="139"/>
      <c r="P53" s="139"/>
      <c r="Q53" s="195"/>
      <c r="R53" s="141"/>
      <c r="S53" s="199">
        <f t="shared" si="9"/>
        <v>0</v>
      </c>
      <c r="T53" s="200" t="str">
        <f t="shared" si="10"/>
        <v/>
      </c>
      <c r="U53" s="200">
        <f t="shared" si="11"/>
        <v>0</v>
      </c>
      <c r="V53" s="203"/>
      <c r="W53" s="199">
        <f t="shared" ref="W53:X53" si="46">C53/100</f>
        <v>0</v>
      </c>
      <c r="X53" s="199">
        <f t="shared" si="46"/>
        <v>0</v>
      </c>
      <c r="Y53" s="199">
        <f t="shared" si="14"/>
        <v>0</v>
      </c>
      <c r="Z53" s="202">
        <f t="shared" si="15"/>
        <v>0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hidden="1" customHeight="1">
      <c r="A54" s="162">
        <v>121.0</v>
      </c>
      <c r="B54" s="193"/>
      <c r="C54" s="193"/>
      <c r="D54" s="193"/>
      <c r="E54" s="193"/>
      <c r="F54" s="193">
        <f t="shared" si="5"/>
        <v>0</v>
      </c>
      <c r="G54" s="193">
        <f t="shared" si="6"/>
        <v>0</v>
      </c>
      <c r="H54" s="194">
        <f t="shared" si="7"/>
        <v>0</v>
      </c>
      <c r="I54" s="193"/>
      <c r="J54" s="195">
        <f t="shared" si="8"/>
        <v>0</v>
      </c>
      <c r="K54" s="139"/>
      <c r="L54" s="197"/>
      <c r="M54" s="198"/>
      <c r="N54" s="198"/>
      <c r="O54" s="139"/>
      <c r="P54" s="139"/>
      <c r="Q54" s="195"/>
      <c r="R54" s="141"/>
      <c r="S54" s="199">
        <f t="shared" si="9"/>
        <v>0</v>
      </c>
      <c r="T54" s="200" t="str">
        <f t="shared" si="10"/>
        <v/>
      </c>
      <c r="U54" s="200">
        <f t="shared" si="11"/>
        <v>0</v>
      </c>
      <c r="V54" s="203"/>
      <c r="W54" s="199">
        <f t="shared" ref="W54:X54" si="47">C54/100</f>
        <v>0</v>
      </c>
      <c r="X54" s="199">
        <f t="shared" si="47"/>
        <v>0</v>
      </c>
      <c r="Y54" s="199">
        <f t="shared" si="14"/>
        <v>0</v>
      </c>
      <c r="Z54" s="202">
        <f t="shared" si="15"/>
        <v>0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hidden="1" customHeight="1">
      <c r="A55" s="162">
        <v>122.0</v>
      </c>
      <c r="B55" s="193"/>
      <c r="C55" s="193"/>
      <c r="D55" s="193"/>
      <c r="E55" s="193"/>
      <c r="F55" s="193">
        <f t="shared" si="5"/>
        <v>0</v>
      </c>
      <c r="G55" s="193">
        <f t="shared" si="6"/>
        <v>0</v>
      </c>
      <c r="H55" s="194">
        <f t="shared" si="7"/>
        <v>0</v>
      </c>
      <c r="I55" s="193"/>
      <c r="J55" s="195">
        <f t="shared" si="8"/>
        <v>0</v>
      </c>
      <c r="K55" s="139"/>
      <c r="L55" s="197"/>
      <c r="M55" s="198"/>
      <c r="N55" s="198"/>
      <c r="O55" s="139"/>
      <c r="P55" s="139"/>
      <c r="Q55" s="195"/>
      <c r="R55" s="141"/>
      <c r="S55" s="199">
        <f t="shared" si="9"/>
        <v>0</v>
      </c>
      <c r="T55" s="200" t="str">
        <f t="shared" si="10"/>
        <v/>
      </c>
      <c r="U55" s="200">
        <f t="shared" si="11"/>
        <v>0</v>
      </c>
      <c r="V55" s="203"/>
      <c r="W55" s="199">
        <f t="shared" ref="W55:X55" si="48">C55/100</f>
        <v>0</v>
      </c>
      <c r="X55" s="199">
        <f t="shared" si="48"/>
        <v>0</v>
      </c>
      <c r="Y55" s="199">
        <f t="shared" si="14"/>
        <v>0</v>
      </c>
      <c r="Z55" s="202">
        <f t="shared" si="15"/>
        <v>0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hidden="1" customHeight="1">
      <c r="A56" s="162">
        <v>123.0</v>
      </c>
      <c r="B56" s="193"/>
      <c r="C56" s="193"/>
      <c r="D56" s="193"/>
      <c r="E56" s="193"/>
      <c r="F56" s="193">
        <f t="shared" si="5"/>
        <v>0</v>
      </c>
      <c r="G56" s="193">
        <f t="shared" si="6"/>
        <v>0</v>
      </c>
      <c r="H56" s="194">
        <f t="shared" si="7"/>
        <v>0</v>
      </c>
      <c r="I56" s="193"/>
      <c r="J56" s="195">
        <f t="shared" si="8"/>
        <v>0</v>
      </c>
      <c r="K56" s="139"/>
      <c r="L56" s="197"/>
      <c r="M56" s="198"/>
      <c r="N56" s="198"/>
      <c r="O56" s="139"/>
      <c r="P56" s="139"/>
      <c r="Q56" s="195"/>
      <c r="R56" s="141"/>
      <c r="S56" s="199">
        <f t="shared" si="9"/>
        <v>0</v>
      </c>
      <c r="T56" s="200" t="str">
        <f t="shared" si="10"/>
        <v/>
      </c>
      <c r="U56" s="200">
        <f t="shared" si="11"/>
        <v>0</v>
      </c>
      <c r="V56" s="203"/>
      <c r="W56" s="199">
        <f t="shared" ref="W56:X56" si="49">C56/100</f>
        <v>0</v>
      </c>
      <c r="X56" s="199">
        <f t="shared" si="49"/>
        <v>0</v>
      </c>
      <c r="Y56" s="199">
        <f t="shared" si="14"/>
        <v>0</v>
      </c>
      <c r="Z56" s="202">
        <f t="shared" si="15"/>
        <v>0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hidden="1" customHeight="1">
      <c r="A57" s="162">
        <v>124.0</v>
      </c>
      <c r="B57" s="193"/>
      <c r="C57" s="193"/>
      <c r="D57" s="193"/>
      <c r="E57" s="193"/>
      <c r="F57" s="193">
        <f t="shared" si="5"/>
        <v>0</v>
      </c>
      <c r="G57" s="193">
        <f t="shared" si="6"/>
        <v>0</v>
      </c>
      <c r="H57" s="194">
        <f t="shared" si="7"/>
        <v>0</v>
      </c>
      <c r="I57" s="193"/>
      <c r="J57" s="195">
        <f t="shared" si="8"/>
        <v>0</v>
      </c>
      <c r="K57" s="139"/>
      <c r="L57" s="197"/>
      <c r="M57" s="198"/>
      <c r="N57" s="198"/>
      <c r="O57" s="139"/>
      <c r="P57" s="139"/>
      <c r="Q57" s="195"/>
      <c r="R57" s="141"/>
      <c r="S57" s="199">
        <f t="shared" si="9"/>
        <v>0</v>
      </c>
      <c r="T57" s="200" t="str">
        <f t="shared" si="10"/>
        <v/>
      </c>
      <c r="U57" s="200">
        <f t="shared" si="11"/>
        <v>0</v>
      </c>
      <c r="V57" s="203"/>
      <c r="W57" s="199">
        <f t="shared" ref="W57:X57" si="50">C57/100</f>
        <v>0</v>
      </c>
      <c r="X57" s="199">
        <f t="shared" si="50"/>
        <v>0</v>
      </c>
      <c r="Y57" s="199">
        <f t="shared" si="14"/>
        <v>0</v>
      </c>
      <c r="Z57" s="202">
        <f t="shared" si="15"/>
        <v>0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hidden="1" customHeight="1">
      <c r="A58" s="162">
        <v>125.0</v>
      </c>
      <c r="B58" s="193"/>
      <c r="C58" s="193"/>
      <c r="D58" s="193"/>
      <c r="E58" s="193"/>
      <c r="F58" s="193">
        <f t="shared" si="5"/>
        <v>0</v>
      </c>
      <c r="G58" s="193">
        <f t="shared" si="6"/>
        <v>0</v>
      </c>
      <c r="H58" s="194">
        <f t="shared" si="7"/>
        <v>0</v>
      </c>
      <c r="I58" s="193"/>
      <c r="J58" s="195">
        <f t="shared" si="8"/>
        <v>0</v>
      </c>
      <c r="K58" s="139"/>
      <c r="L58" s="197"/>
      <c r="M58" s="198"/>
      <c r="N58" s="198"/>
      <c r="O58" s="139"/>
      <c r="P58" s="139"/>
      <c r="Q58" s="195"/>
      <c r="R58" s="141"/>
      <c r="S58" s="199">
        <f t="shared" si="9"/>
        <v>0</v>
      </c>
      <c r="T58" s="200" t="str">
        <f t="shared" si="10"/>
        <v/>
      </c>
      <c r="U58" s="200">
        <f t="shared" si="11"/>
        <v>0</v>
      </c>
      <c r="V58" s="203"/>
      <c r="W58" s="199">
        <f t="shared" ref="W58:X58" si="51">C58/100</f>
        <v>0</v>
      </c>
      <c r="X58" s="199">
        <f t="shared" si="51"/>
        <v>0</v>
      </c>
      <c r="Y58" s="199">
        <f t="shared" si="14"/>
        <v>0</v>
      </c>
      <c r="Z58" s="202">
        <f t="shared" si="15"/>
        <v>0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hidden="1" customHeight="1">
      <c r="A59" s="162">
        <v>126.0</v>
      </c>
      <c r="B59" s="193"/>
      <c r="C59" s="193"/>
      <c r="D59" s="193"/>
      <c r="E59" s="193"/>
      <c r="F59" s="193">
        <f t="shared" si="5"/>
        <v>0</v>
      </c>
      <c r="G59" s="193">
        <f t="shared" si="6"/>
        <v>0</v>
      </c>
      <c r="H59" s="194">
        <f t="shared" si="7"/>
        <v>0</v>
      </c>
      <c r="I59" s="193"/>
      <c r="J59" s="195">
        <f t="shared" si="8"/>
        <v>0</v>
      </c>
      <c r="K59" s="139"/>
      <c r="L59" s="197"/>
      <c r="M59" s="198"/>
      <c r="N59" s="198"/>
      <c r="O59" s="139"/>
      <c r="P59" s="139"/>
      <c r="Q59" s="195"/>
      <c r="R59" s="141"/>
      <c r="S59" s="199">
        <f t="shared" si="9"/>
        <v>0</v>
      </c>
      <c r="T59" s="200" t="str">
        <f t="shared" si="10"/>
        <v/>
      </c>
      <c r="U59" s="200">
        <f t="shared" si="11"/>
        <v>0</v>
      </c>
      <c r="V59" s="203"/>
      <c r="W59" s="199">
        <f t="shared" ref="W59:X59" si="52">C59/100</f>
        <v>0</v>
      </c>
      <c r="X59" s="199">
        <f t="shared" si="52"/>
        <v>0</v>
      </c>
      <c r="Y59" s="199">
        <f t="shared" si="14"/>
        <v>0</v>
      </c>
      <c r="Z59" s="202">
        <f t="shared" si="15"/>
        <v>0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127.0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3">C60/100</f>
        <v>0</v>
      </c>
      <c r="X60" s="199">
        <f t="shared" si="53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128.0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4">C61/100</f>
        <v>0</v>
      </c>
      <c r="X61" s="199">
        <f t="shared" si="54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129.0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5">C62/100</f>
        <v>0</v>
      </c>
      <c r="X62" s="199">
        <f t="shared" si="55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130.0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6">C63/100</f>
        <v>0</v>
      </c>
      <c r="X63" s="199">
        <f t="shared" si="56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131.0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7">C64/100</f>
        <v>0</v>
      </c>
      <c r="X64" s="199">
        <f t="shared" si="57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132.0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8">C65/100</f>
        <v>0</v>
      </c>
      <c r="X65" s="199">
        <f t="shared" si="58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133.0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9">C66/100</f>
        <v>0</v>
      </c>
      <c r="X66" s="199">
        <f t="shared" si="59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134.0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60">C67/100</f>
        <v>0</v>
      </c>
      <c r="X67" s="199">
        <f t="shared" si="60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135.0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61">C68/100</f>
        <v>0</v>
      </c>
      <c r="X68" s="199">
        <f t="shared" si="61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136.0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62">C69/100</f>
        <v>0</v>
      </c>
      <c r="X69" s="199">
        <f t="shared" si="62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137.0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3">C70/100</f>
        <v>0</v>
      </c>
      <c r="X70" s="199">
        <f t="shared" si="63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138.0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4">C71/100</f>
        <v>0</v>
      </c>
      <c r="X71" s="199">
        <f t="shared" si="64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139.0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5">C72/100</f>
        <v>0</v>
      </c>
      <c r="X72" s="199">
        <f t="shared" si="65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140.0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6">C73/100</f>
        <v>0</v>
      </c>
      <c r="X73" s="199">
        <f t="shared" si="66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141.0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7">C74/100</f>
        <v>0</v>
      </c>
      <c r="X74" s="199">
        <f t="shared" si="67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142.0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8">C75/100</f>
        <v>0</v>
      </c>
      <c r="X75" s="199">
        <f t="shared" si="68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143.0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9">C76/100</f>
        <v>0</v>
      </c>
      <c r="X76" s="199">
        <f t="shared" si="69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144.0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70">C77/100</f>
        <v>0</v>
      </c>
      <c r="X77" s="199">
        <f t="shared" si="70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145.0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71">C78/100</f>
        <v>0</v>
      </c>
      <c r="X78" s="199">
        <f t="shared" si="71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146.0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72">C79/100</f>
        <v>0</v>
      </c>
      <c r="X79" s="199">
        <f t="shared" si="72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147.0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3">C80/100</f>
        <v>0</v>
      </c>
      <c r="X80" s="199">
        <f t="shared" si="73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148.0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4">C81/100</f>
        <v>0</v>
      </c>
      <c r="X81" s="199">
        <f t="shared" si="74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149.0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5">C82/100</f>
        <v>0</v>
      </c>
      <c r="X82" s="199">
        <f t="shared" si="75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150.0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6">C83/100</f>
        <v>0</v>
      </c>
      <c r="X83" s="199">
        <f t="shared" si="76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151.0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7">C84/100</f>
        <v>0</v>
      </c>
      <c r="X84" s="199">
        <f t="shared" si="77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152.0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8">C85/100</f>
        <v>0</v>
      </c>
      <c r="X85" s="199">
        <f t="shared" si="78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153.0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9">C86/100</f>
        <v>0</v>
      </c>
      <c r="X86" s="199">
        <f t="shared" si="79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154.0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80">C87/100</f>
        <v>0</v>
      </c>
      <c r="X87" s="199">
        <f t="shared" si="80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155.0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81">C88/100</f>
        <v>0</v>
      </c>
      <c r="X88" s="199">
        <f t="shared" si="81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156.0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82">C89/100</f>
        <v>0</v>
      </c>
      <c r="X89" s="199">
        <f t="shared" si="82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157.0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3">C90/100</f>
        <v>0</v>
      </c>
      <c r="X90" s="199">
        <f t="shared" si="83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158.0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4">C91/100</f>
        <v>0</v>
      </c>
      <c r="X91" s="199">
        <f t="shared" si="84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159.0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5">C92/100</f>
        <v>0</v>
      </c>
      <c r="X92" s="199">
        <f t="shared" si="85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160.0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6">C93/100</f>
        <v>0</v>
      </c>
      <c r="X93" s="199">
        <f t="shared" si="86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161.0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7">C94/100</f>
        <v>0</v>
      </c>
      <c r="X94" s="199">
        <f t="shared" si="87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162.0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8">C95/100</f>
        <v>0</v>
      </c>
      <c r="X95" s="199">
        <f t="shared" si="88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163.0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9">C96/100</f>
        <v>0</v>
      </c>
      <c r="X96" s="199">
        <f t="shared" si="89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164.0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90">C97/100</f>
        <v>0</v>
      </c>
      <c r="X97" s="199">
        <f t="shared" si="90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165.0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91">C98/100</f>
        <v>0</v>
      </c>
      <c r="X98" s="199">
        <f t="shared" si="91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166.0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92">C99/100</f>
        <v>0</v>
      </c>
      <c r="X99" s="199">
        <f t="shared" si="92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167.0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3">C100/100</f>
        <v>0</v>
      </c>
      <c r="X100" s="199">
        <f t="shared" si="93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168.0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4">C101/100</f>
        <v>0</v>
      </c>
      <c r="X101" s="199">
        <f t="shared" si="94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169.0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5">C102/100</f>
        <v>0</v>
      </c>
      <c r="X102" s="199">
        <f t="shared" si="95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170.0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6">C103/100</f>
        <v>0</v>
      </c>
      <c r="X103" s="199">
        <f t="shared" si="96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171.0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7">C104/100</f>
        <v>0</v>
      </c>
      <c r="X104" s="199">
        <f t="shared" si="97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172.0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8">C105/100</f>
        <v>0</v>
      </c>
      <c r="X105" s="199">
        <f t="shared" si="98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173.0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9">C106/100</f>
        <v>0</v>
      </c>
      <c r="X106" s="199">
        <f t="shared" si="99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174.0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100">C107/100</f>
        <v>0</v>
      </c>
      <c r="X107" s="199">
        <f t="shared" si="100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175.0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101">C108/100</f>
        <v>0</v>
      </c>
      <c r="X108" s="199">
        <f t="shared" si="101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176.0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102">C109/100</f>
        <v>0</v>
      </c>
      <c r="X109" s="199">
        <f t="shared" si="102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177.0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3">C110/100</f>
        <v>0</v>
      </c>
      <c r="X110" s="199">
        <f t="shared" si="103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178.0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4">C111/100</f>
        <v>0</v>
      </c>
      <c r="X111" s="199">
        <f t="shared" si="104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179.0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5">C112/100</f>
        <v>0</v>
      </c>
      <c r="X112" s="199">
        <f t="shared" si="105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180.0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6">C113/100</f>
        <v>0</v>
      </c>
      <c r="X113" s="199">
        <f t="shared" si="106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181.0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7">C114/100</f>
        <v>0</v>
      </c>
      <c r="X114" s="199">
        <f t="shared" si="107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182.0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8">C115/100</f>
        <v>0</v>
      </c>
      <c r="X115" s="199">
        <f t="shared" si="108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183.0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9">C116/100</f>
        <v>0</v>
      </c>
      <c r="X116" s="199">
        <f t="shared" si="109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184.0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10">C117/100</f>
        <v>0</v>
      </c>
      <c r="X117" s="199">
        <f t="shared" si="110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185.0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11">C118/100</f>
        <v>0</v>
      </c>
      <c r="X118" s="199">
        <f t="shared" si="111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186.0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12">C119/100</f>
        <v>0</v>
      </c>
      <c r="X119" s="199">
        <f t="shared" si="112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187.0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3">C120/100</f>
        <v>0</v>
      </c>
      <c r="X120" s="199">
        <f t="shared" si="113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188.0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4">C121/100</f>
        <v>0</v>
      </c>
      <c r="X121" s="199">
        <f t="shared" si="114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189.0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5">C122/100</f>
        <v>0</v>
      </c>
      <c r="X122" s="199">
        <f t="shared" si="115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190.0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6">C123/100</f>
        <v>0</v>
      </c>
      <c r="X123" s="199">
        <f t="shared" si="116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191.0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7">C124/100</f>
        <v>0</v>
      </c>
      <c r="X124" s="199">
        <f t="shared" si="117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192.0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8">C125/100</f>
        <v>0</v>
      </c>
      <c r="X125" s="199">
        <f t="shared" si="118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193.0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9">C126/100</f>
        <v>0</v>
      </c>
      <c r="X126" s="199">
        <f t="shared" si="119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194.0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20">C127/100</f>
        <v>0</v>
      </c>
      <c r="X127" s="199">
        <f t="shared" si="120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195.0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21">C128/100</f>
        <v>0</v>
      </c>
      <c r="X128" s="199">
        <f t="shared" si="121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196.0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22">C129/100</f>
        <v>0</v>
      </c>
      <c r="X129" s="199">
        <f t="shared" si="122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197.0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3">C130/100</f>
        <v>0</v>
      </c>
      <c r="X130" s="199">
        <f t="shared" si="123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198.0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4">C131/100</f>
        <v>0</v>
      </c>
      <c r="X131" s="199">
        <f t="shared" si="124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199.0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5">C132/100</f>
        <v>0</v>
      </c>
      <c r="X132" s="199">
        <f t="shared" si="125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200.0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6">C133/100</f>
        <v>0</v>
      </c>
      <c r="X133" s="199">
        <f t="shared" si="126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201.0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7">C134/100</f>
        <v>0</v>
      </c>
      <c r="X134" s="199">
        <f t="shared" si="127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202.0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8">C135/100</f>
        <v>0</v>
      </c>
      <c r="X135" s="199">
        <f t="shared" si="128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203.0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9">C136/100</f>
        <v>0</v>
      </c>
      <c r="X136" s="199">
        <f t="shared" si="129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204.0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30">C137/100</f>
        <v>0</v>
      </c>
      <c r="X137" s="199">
        <f t="shared" si="130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205.0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31">C138/100</f>
        <v>0</v>
      </c>
      <c r="X138" s="199">
        <f t="shared" si="131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206.0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32">C139/100</f>
        <v>0</v>
      </c>
      <c r="X139" s="199">
        <f t="shared" si="132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207.0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3">C140/100</f>
        <v>0</v>
      </c>
      <c r="X140" s="199">
        <f t="shared" si="133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208.0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4">C141/100</f>
        <v>0</v>
      </c>
      <c r="X141" s="199">
        <f t="shared" si="134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209.0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5">C142/100</f>
        <v>0</v>
      </c>
      <c r="X142" s="199">
        <f t="shared" si="135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210.0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6">C143/100</f>
        <v>0</v>
      </c>
      <c r="X143" s="199">
        <f t="shared" si="136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211.0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7">C144/100</f>
        <v>0</v>
      </c>
      <c r="X144" s="199">
        <f t="shared" si="137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212.0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8">C145/100</f>
        <v>0</v>
      </c>
      <c r="X145" s="199">
        <f t="shared" si="138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213.0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9">C146/100</f>
        <v>0</v>
      </c>
      <c r="X146" s="199">
        <f t="shared" si="139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214.0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40">C147/100</f>
        <v>0</v>
      </c>
      <c r="X147" s="199">
        <f t="shared" si="140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215.0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41">C148/100</f>
        <v>0</v>
      </c>
      <c r="X148" s="199">
        <f t="shared" si="141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216.0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42">C149/100</f>
        <v>0</v>
      </c>
      <c r="X149" s="199">
        <f t="shared" si="142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217.0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3">C150/100</f>
        <v>0</v>
      </c>
      <c r="X150" s="199">
        <f t="shared" si="143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customHeight="1">
      <c r="A151" s="162"/>
      <c r="B151" s="178"/>
      <c r="C151" s="178"/>
      <c r="D151" s="178"/>
      <c r="E151" s="178"/>
      <c r="F151" s="178"/>
      <c r="G151" s="178"/>
      <c r="H151" s="181"/>
      <c r="I151" s="162"/>
      <c r="J151" s="204">
        <f>+Q197</f>
        <v>32.4</v>
      </c>
      <c r="K151" s="139"/>
      <c r="L151" s="139"/>
      <c r="M151" s="139"/>
      <c r="N151" s="139"/>
      <c r="O151" s="139"/>
      <c r="P151" s="139"/>
      <c r="Q151" s="139"/>
      <c r="R151" s="205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4">C151/100</f>
        <v>0</v>
      </c>
      <c r="X151" s="199">
        <f t="shared" si="144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customHeight="1">
      <c r="A152" s="162"/>
      <c r="B152" s="206"/>
      <c r="C152" s="206"/>
      <c r="D152" s="206"/>
      <c r="E152" s="206"/>
      <c r="F152" s="206"/>
      <c r="G152" s="206"/>
      <c r="H152" s="207"/>
      <c r="I152" s="208">
        <f>SUM(I24:I150)</f>
        <v>10</v>
      </c>
      <c r="J152" s="209">
        <f>SUM(J24:J151)</f>
        <v>6117.789559</v>
      </c>
      <c r="K152" s="210"/>
      <c r="L152" s="210"/>
      <c r="M152" s="210"/>
      <c r="N152" s="210"/>
      <c r="O152" s="210"/>
      <c r="P152" s="210"/>
      <c r="Q152" s="210"/>
      <c r="R152" s="141"/>
      <c r="S152" s="210">
        <f>SUMIFS($T$24:$T$150,$S$24:$S$150,"&gt;=3")</f>
        <v>5</v>
      </c>
      <c r="T152" s="210">
        <f t="shared" ref="T152:U152" si="145">SUM(T24:T150)</f>
        <v>10</v>
      </c>
      <c r="U152" s="210">
        <f t="shared" si="145"/>
        <v>150.36</v>
      </c>
      <c r="V152" s="210"/>
      <c r="W152" s="210"/>
      <c r="X152" s="210"/>
      <c r="Y152" s="210"/>
      <c r="Z152" s="211">
        <f>SUM(Z24:Z151)</f>
        <v>296.477874</v>
      </c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</row>
    <row r="153" ht="29.25" customHeight="1">
      <c r="A153" s="139"/>
      <c r="B153" s="139"/>
      <c r="C153" s="139"/>
      <c r="D153" s="139"/>
      <c r="E153" s="139"/>
      <c r="F153" s="139"/>
      <c r="G153" s="139"/>
      <c r="H153" s="140"/>
      <c r="I153" s="139"/>
      <c r="J153" s="139"/>
      <c r="K153" s="139"/>
      <c r="L153" s="139"/>
      <c r="M153" s="139"/>
      <c r="N153" s="139"/>
      <c r="O153" s="139"/>
      <c r="P153" s="139"/>
      <c r="Q153" s="139"/>
      <c r="R153" s="141"/>
      <c r="S153" s="203"/>
      <c r="T153" s="139">
        <f>+T152-S152</f>
        <v>5</v>
      </c>
      <c r="U153" s="139"/>
      <c r="V153" s="139"/>
      <c r="W153" s="139"/>
      <c r="X153" s="139"/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9.25" customHeight="1">
      <c r="A154" s="139"/>
      <c r="B154" s="139"/>
      <c r="C154" s="139"/>
      <c r="D154" s="139"/>
      <c r="E154" s="139"/>
      <c r="F154" s="139"/>
      <c r="G154" s="139"/>
      <c r="H154" s="140"/>
      <c r="I154" s="139"/>
      <c r="J154" s="139"/>
      <c r="K154" s="139"/>
      <c r="L154" s="139"/>
      <c r="M154" s="139"/>
      <c r="N154" s="139"/>
      <c r="O154" s="139"/>
      <c r="P154" s="139"/>
      <c r="Q154" s="139"/>
      <c r="R154" s="205"/>
      <c r="S154" s="139"/>
      <c r="T154" s="139" t="s">
        <v>48</v>
      </c>
      <c r="U154" s="139" t="s">
        <v>68</v>
      </c>
      <c r="V154" s="139"/>
      <c r="W154" s="139"/>
      <c r="X154" s="139"/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9.25" customHeight="1">
      <c r="A155" s="139"/>
      <c r="B155" s="139"/>
      <c r="C155" s="139"/>
      <c r="D155" s="139"/>
      <c r="E155" s="139"/>
      <c r="F155" s="139"/>
      <c r="G155" s="139"/>
      <c r="H155" s="140"/>
      <c r="I155" s="139"/>
      <c r="J155" s="139"/>
      <c r="K155" s="139"/>
      <c r="L155" s="139"/>
      <c r="M155" s="139"/>
      <c r="N155" s="139"/>
      <c r="O155" s="139"/>
      <c r="P155" s="139"/>
      <c r="Q155" s="139"/>
      <c r="R155" s="141"/>
      <c r="S155" s="139" t="s">
        <v>31</v>
      </c>
      <c r="T155" s="212">
        <f>SUMIFS($J$24:$J$150,$S$24:$S$150,"&gt;=3")</f>
        <v>5754.586365</v>
      </c>
      <c r="U155" s="213"/>
      <c r="V155" s="139"/>
      <c r="W155" s="139"/>
      <c r="X155" s="139"/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9.25" customHeight="1">
      <c r="A156" s="139" t="s">
        <v>32</v>
      </c>
      <c r="B156" s="139"/>
      <c r="C156" s="139"/>
      <c r="D156" s="139" t="s">
        <v>33</v>
      </c>
      <c r="E156" s="139"/>
      <c r="F156" s="139"/>
      <c r="G156" s="139"/>
      <c r="H156" s="140"/>
      <c r="I156" s="139"/>
      <c r="J156" s="139"/>
      <c r="K156" s="139"/>
      <c r="L156" s="139"/>
      <c r="M156" s="139"/>
      <c r="N156" s="139"/>
      <c r="O156" s="139"/>
      <c r="P156" s="139"/>
      <c r="Q156" s="139"/>
      <c r="R156" s="141"/>
      <c r="S156" s="139" t="s">
        <v>34</v>
      </c>
      <c r="T156" s="266">
        <f>J152-T155</f>
        <v>363.2031936</v>
      </c>
      <c r="U156" s="213">
        <f>+SUMIFS($U$24:$U$150,$S$24:$S$150,"&gt;=3")</f>
        <v>140.6</v>
      </c>
      <c r="V156" s="139"/>
      <c r="W156" s="139"/>
      <c r="X156" s="139"/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9.25" customHeight="1">
      <c r="A157" s="139"/>
      <c r="B157" s="139"/>
      <c r="C157" s="139"/>
      <c r="D157" s="139"/>
      <c r="E157" s="139"/>
      <c r="F157" s="139"/>
      <c r="G157" s="139"/>
      <c r="H157" s="140"/>
      <c r="I157" s="139"/>
      <c r="J157" s="139"/>
      <c r="K157" s="139"/>
      <c r="L157" s="139"/>
      <c r="M157" s="139"/>
      <c r="N157" s="139"/>
      <c r="O157" s="139"/>
      <c r="P157" s="139"/>
      <c r="Q157" s="139"/>
      <c r="R157" s="205"/>
      <c r="S157" s="139"/>
      <c r="T157" s="214">
        <f>+I152</f>
        <v>10</v>
      </c>
      <c r="U157" s="139"/>
      <c r="V157" s="139"/>
      <c r="W157" s="139"/>
      <c r="X157" s="139"/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39.0" customHeight="1">
      <c r="A158" s="178"/>
      <c r="B158" s="162" t="s">
        <v>12</v>
      </c>
      <c r="C158" s="179" t="s">
        <v>69</v>
      </c>
      <c r="D158" s="52"/>
      <c r="E158" s="53"/>
      <c r="F158" s="180"/>
      <c r="G158" s="180"/>
      <c r="H158" s="181" t="s">
        <v>14</v>
      </c>
      <c r="I158" s="162" t="s">
        <v>15</v>
      </c>
      <c r="J158" s="162" t="s">
        <v>16</v>
      </c>
      <c r="K158" s="139"/>
      <c r="L158" s="139"/>
      <c r="M158" s="139"/>
      <c r="N158" s="139"/>
      <c r="O158" s="139"/>
      <c r="P158" s="139"/>
      <c r="Q158" s="139"/>
      <c r="R158" s="141"/>
      <c r="S158" s="139"/>
      <c r="T158" s="139"/>
      <c r="U158" s="139"/>
      <c r="V158" s="139"/>
      <c r="W158" s="139"/>
      <c r="X158" s="139"/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customHeight="1">
      <c r="A159" s="155">
        <v>1.0</v>
      </c>
      <c r="B159" s="215" t="s">
        <v>110</v>
      </c>
      <c r="C159" s="215">
        <v>90.0</v>
      </c>
      <c r="D159" s="215">
        <v>198.0</v>
      </c>
      <c r="E159" s="215">
        <v>212.0</v>
      </c>
      <c r="F159" s="215">
        <f t="shared" ref="F159:F169" si="146">1-VALUE(IF(RIGHT(B159, 1)="%", RIGHT(B159, 3), 0))</f>
        <v>0.2</v>
      </c>
      <c r="G159" s="215">
        <f t="shared" ref="G159:G169" si="147">+Q159*C159/100*D159/100*E159/100</f>
        <v>0</v>
      </c>
      <c r="H159" s="216">
        <f t="shared" ref="H159:H169" si="148">IF(F159=0, G159, F159*G159)</f>
        <v>0</v>
      </c>
      <c r="I159" s="215">
        <v>1.0</v>
      </c>
      <c r="J159" s="217">
        <v>77.44572</v>
      </c>
      <c r="K159" s="139"/>
      <c r="L159" s="178">
        <f t="shared" ref="L159:L164" si="149">D159*25.4/1000</f>
        <v>5.0292</v>
      </c>
      <c r="M159" s="162">
        <f t="shared" ref="M159:M160" si="150">+I159</f>
        <v>1</v>
      </c>
      <c r="N159" s="162">
        <f t="shared" ref="N159:N160" si="151">M159*L159</f>
        <v>5.0292</v>
      </c>
      <c r="O159" s="139"/>
      <c r="P159" s="139"/>
      <c r="Q159" s="139"/>
      <c r="R159" s="141"/>
      <c r="S159" s="139"/>
      <c r="T159" s="139"/>
      <c r="U159" s="139"/>
      <c r="V159" s="139"/>
      <c r="W159" s="139"/>
      <c r="X159" s="139"/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customHeight="1">
      <c r="A160" s="155">
        <v>2.0</v>
      </c>
      <c r="B160" s="215" t="s">
        <v>161</v>
      </c>
      <c r="C160" s="215">
        <v>81.0</v>
      </c>
      <c r="D160" s="215">
        <v>198.0</v>
      </c>
      <c r="E160" s="215">
        <v>188.0</v>
      </c>
      <c r="F160" s="215">
        <f t="shared" si="146"/>
        <v>0.2</v>
      </c>
      <c r="G160" s="215">
        <f t="shared" si="147"/>
        <v>0</v>
      </c>
      <c r="H160" s="216">
        <f t="shared" si="148"/>
        <v>0</v>
      </c>
      <c r="I160" s="215">
        <v>1.0</v>
      </c>
      <c r="J160" s="217">
        <v>76.886172</v>
      </c>
      <c r="K160" s="139"/>
      <c r="L160" s="178">
        <f t="shared" si="149"/>
        <v>5.0292</v>
      </c>
      <c r="M160" s="162">
        <f t="shared" si="150"/>
        <v>1</v>
      </c>
      <c r="N160" s="162">
        <f t="shared" si="151"/>
        <v>5.0292</v>
      </c>
      <c r="O160" s="139"/>
      <c r="P160" s="139"/>
      <c r="Q160" s="139"/>
      <c r="R160" s="139"/>
      <c r="S160" s="139"/>
      <c r="T160" s="139"/>
      <c r="U160" s="139"/>
      <c r="V160" s="139"/>
      <c r="W160" s="139"/>
      <c r="X160" s="139"/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55">
        <v>6.0</v>
      </c>
      <c r="B161" s="218"/>
      <c r="C161" s="218"/>
      <c r="D161" s="218"/>
      <c r="E161" s="218"/>
      <c r="F161" s="218">
        <f t="shared" si="146"/>
        <v>1</v>
      </c>
      <c r="G161" s="218">
        <f t="shared" si="147"/>
        <v>0</v>
      </c>
      <c r="H161" s="219">
        <f t="shared" si="148"/>
        <v>0</v>
      </c>
      <c r="I161" s="218"/>
      <c r="J161" s="195">
        <f t="shared" ref="J161:J169" si="152">+I161*H161</f>
        <v>0</v>
      </c>
      <c r="K161" s="139"/>
      <c r="L161" s="139">
        <f t="shared" si="149"/>
        <v>0</v>
      </c>
      <c r="M161" s="221"/>
      <c r="N161" s="221"/>
      <c r="O161" s="139"/>
      <c r="P161" s="139"/>
      <c r="Q161" s="139"/>
      <c r="R161" s="139"/>
      <c r="S161" s="139"/>
      <c r="T161" s="139"/>
      <c r="U161" s="139"/>
      <c r="V161" s="139"/>
      <c r="W161" s="139"/>
      <c r="X161" s="139"/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55">
        <v>7.0</v>
      </c>
      <c r="B162" s="218"/>
      <c r="C162" s="218"/>
      <c r="D162" s="218"/>
      <c r="E162" s="218"/>
      <c r="F162" s="218">
        <f t="shared" si="146"/>
        <v>1</v>
      </c>
      <c r="G162" s="218">
        <f t="shared" si="147"/>
        <v>0</v>
      </c>
      <c r="H162" s="219">
        <f t="shared" si="148"/>
        <v>0</v>
      </c>
      <c r="I162" s="218"/>
      <c r="J162" s="195">
        <f t="shared" si="152"/>
        <v>0</v>
      </c>
      <c r="K162" s="139"/>
      <c r="L162" s="139">
        <f t="shared" si="149"/>
        <v>0</v>
      </c>
      <c r="M162" s="221"/>
      <c r="N162" s="221"/>
      <c r="O162" s="139"/>
      <c r="P162" s="139"/>
      <c r="Q162" s="139"/>
      <c r="R162" s="139"/>
      <c r="S162" s="139"/>
      <c r="T162" s="139"/>
      <c r="U162" s="139"/>
      <c r="V162" s="139"/>
      <c r="W162" s="139"/>
      <c r="X162" s="139"/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55">
        <v>8.0</v>
      </c>
      <c r="B163" s="218"/>
      <c r="C163" s="218"/>
      <c r="D163" s="218"/>
      <c r="E163" s="218"/>
      <c r="F163" s="218">
        <f t="shared" si="146"/>
        <v>1</v>
      </c>
      <c r="G163" s="218">
        <f t="shared" si="147"/>
        <v>0</v>
      </c>
      <c r="H163" s="219">
        <f t="shared" si="148"/>
        <v>0</v>
      </c>
      <c r="I163" s="218"/>
      <c r="J163" s="195">
        <f t="shared" si="152"/>
        <v>0</v>
      </c>
      <c r="K163" s="139"/>
      <c r="L163" s="139">
        <f t="shared" si="149"/>
        <v>0</v>
      </c>
      <c r="M163" s="221"/>
      <c r="N163" s="221"/>
      <c r="O163" s="139"/>
      <c r="P163" s="139"/>
      <c r="Q163" s="139"/>
      <c r="R163" s="139"/>
      <c r="S163" s="139"/>
      <c r="T163" s="139"/>
      <c r="U163" s="139"/>
      <c r="V163" s="139"/>
      <c r="W163" s="139"/>
      <c r="X163" s="139"/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55">
        <v>9.0</v>
      </c>
      <c r="B164" s="218"/>
      <c r="C164" s="218"/>
      <c r="D164" s="218"/>
      <c r="E164" s="218"/>
      <c r="F164" s="218">
        <f t="shared" si="146"/>
        <v>1</v>
      </c>
      <c r="G164" s="218">
        <f t="shared" si="147"/>
        <v>0</v>
      </c>
      <c r="H164" s="219">
        <f t="shared" si="148"/>
        <v>0</v>
      </c>
      <c r="I164" s="218"/>
      <c r="J164" s="195">
        <f t="shared" si="152"/>
        <v>0</v>
      </c>
      <c r="K164" s="139"/>
      <c r="L164" s="139">
        <f t="shared" si="149"/>
        <v>0</v>
      </c>
      <c r="M164" s="221"/>
      <c r="N164" s="221"/>
      <c r="O164" s="139"/>
      <c r="P164" s="139"/>
      <c r="Q164" s="139"/>
      <c r="R164" s="139"/>
      <c r="S164" s="139"/>
      <c r="T164" s="139"/>
      <c r="U164" s="139"/>
      <c r="V164" s="139"/>
      <c r="W164" s="139"/>
      <c r="X164" s="139"/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55">
        <v>10.0</v>
      </c>
      <c r="B165" s="193"/>
      <c r="C165" s="193"/>
      <c r="D165" s="193"/>
      <c r="E165" s="193"/>
      <c r="F165" s="193">
        <f t="shared" si="146"/>
        <v>1</v>
      </c>
      <c r="G165" s="193">
        <f t="shared" si="147"/>
        <v>0</v>
      </c>
      <c r="H165" s="194">
        <f t="shared" si="148"/>
        <v>0</v>
      </c>
      <c r="I165" s="193"/>
      <c r="J165" s="195">
        <f t="shared" si="152"/>
        <v>0</v>
      </c>
      <c r="K165" s="139"/>
      <c r="L165" s="139"/>
      <c r="M165" s="221"/>
      <c r="N165" s="221"/>
      <c r="O165" s="139"/>
      <c r="P165" s="139"/>
      <c r="Q165" s="139"/>
      <c r="R165" s="139"/>
      <c r="S165" s="139"/>
      <c r="T165" s="139"/>
      <c r="U165" s="139"/>
      <c r="V165" s="139"/>
      <c r="W165" s="139"/>
      <c r="X165" s="139"/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55">
        <v>11.0</v>
      </c>
      <c r="B166" s="193"/>
      <c r="C166" s="193"/>
      <c r="D166" s="193"/>
      <c r="E166" s="193"/>
      <c r="F166" s="193">
        <f t="shared" si="146"/>
        <v>1</v>
      </c>
      <c r="G166" s="193">
        <f t="shared" si="147"/>
        <v>0</v>
      </c>
      <c r="H166" s="194">
        <f t="shared" si="148"/>
        <v>0</v>
      </c>
      <c r="I166" s="193"/>
      <c r="J166" s="195">
        <f t="shared" si="152"/>
        <v>0</v>
      </c>
      <c r="K166" s="139"/>
      <c r="L166" s="139"/>
      <c r="M166" s="221"/>
      <c r="N166" s="221"/>
      <c r="O166" s="139"/>
      <c r="P166" s="139"/>
      <c r="Q166" s="139"/>
      <c r="R166" s="139"/>
      <c r="S166" s="139"/>
      <c r="T166" s="139"/>
      <c r="U166" s="139"/>
      <c r="V166" s="139"/>
      <c r="W166" s="139"/>
      <c r="X166" s="139"/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55">
        <v>12.0</v>
      </c>
      <c r="B167" s="193"/>
      <c r="C167" s="193"/>
      <c r="D167" s="193"/>
      <c r="E167" s="193"/>
      <c r="F167" s="193">
        <f t="shared" si="146"/>
        <v>1</v>
      </c>
      <c r="G167" s="193">
        <f t="shared" si="147"/>
        <v>0</v>
      </c>
      <c r="H167" s="194">
        <f t="shared" si="148"/>
        <v>0</v>
      </c>
      <c r="I167" s="193"/>
      <c r="J167" s="195">
        <f t="shared" si="152"/>
        <v>0</v>
      </c>
      <c r="K167" s="139"/>
      <c r="L167" s="139"/>
      <c r="M167" s="221"/>
      <c r="N167" s="221"/>
      <c r="O167" s="139"/>
      <c r="P167" s="139"/>
      <c r="Q167" s="139"/>
      <c r="R167" s="139"/>
      <c r="S167" s="139"/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55">
        <v>13.0</v>
      </c>
      <c r="B168" s="193"/>
      <c r="C168" s="193"/>
      <c r="D168" s="193"/>
      <c r="E168" s="193"/>
      <c r="F168" s="193">
        <f t="shared" si="146"/>
        <v>1</v>
      </c>
      <c r="G168" s="193">
        <f t="shared" si="147"/>
        <v>0</v>
      </c>
      <c r="H168" s="194">
        <f t="shared" si="148"/>
        <v>0</v>
      </c>
      <c r="I168" s="193"/>
      <c r="J168" s="195">
        <f t="shared" si="152"/>
        <v>0</v>
      </c>
      <c r="K168" s="139"/>
      <c r="L168" s="139"/>
      <c r="M168" s="221"/>
      <c r="N168" s="221"/>
      <c r="O168" s="139"/>
      <c r="P168" s="139"/>
      <c r="Q168" s="139"/>
      <c r="R168" s="139"/>
      <c r="S168" s="139"/>
      <c r="T168" s="139"/>
      <c r="U168" s="139"/>
      <c r="V168" s="139"/>
      <c r="W168" s="139"/>
      <c r="X168" s="139"/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55">
        <v>14.0</v>
      </c>
      <c r="B169" s="193"/>
      <c r="C169" s="193"/>
      <c r="D169" s="193"/>
      <c r="E169" s="193"/>
      <c r="F169" s="193">
        <f t="shared" si="146"/>
        <v>1</v>
      </c>
      <c r="G169" s="193">
        <f t="shared" si="147"/>
        <v>0</v>
      </c>
      <c r="H169" s="194">
        <f t="shared" si="148"/>
        <v>0</v>
      </c>
      <c r="I169" s="193"/>
      <c r="J169" s="195">
        <f t="shared" si="152"/>
        <v>0</v>
      </c>
      <c r="K169" s="139"/>
      <c r="L169" s="139"/>
      <c r="M169" s="221"/>
      <c r="N169" s="221"/>
      <c r="O169" s="139"/>
      <c r="P169" s="139"/>
      <c r="Q169" s="139"/>
      <c r="R169" s="139"/>
      <c r="S169" s="139"/>
      <c r="T169" s="139"/>
      <c r="U169" s="139"/>
      <c r="V169" s="139"/>
      <c r="W169" s="139"/>
      <c r="X169" s="139"/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4.75" customHeight="1">
      <c r="A170" s="162"/>
      <c r="B170" s="197"/>
      <c r="C170" s="197"/>
      <c r="D170" s="197"/>
      <c r="E170" s="197"/>
      <c r="F170" s="197"/>
      <c r="G170" s="197"/>
      <c r="H170" s="222" t="s">
        <v>38</v>
      </c>
      <c r="I170" s="197"/>
      <c r="J170" s="223">
        <f>SUM(J159:J169)</f>
        <v>154.331892</v>
      </c>
      <c r="K170" s="139"/>
      <c r="L170" s="139"/>
      <c r="M170" s="139"/>
      <c r="N170" s="139"/>
      <c r="O170" s="139"/>
      <c r="P170" s="139"/>
      <c r="Q170" s="139"/>
      <c r="R170" s="141"/>
      <c r="S170" s="224"/>
      <c r="T170" s="139"/>
      <c r="U170" s="139"/>
      <c r="V170" s="139"/>
      <c r="W170" s="139"/>
      <c r="X170" s="139"/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18.75" customHeight="1">
      <c r="A171" s="176"/>
      <c r="B171" s="144"/>
      <c r="C171" s="144"/>
      <c r="D171" s="144"/>
      <c r="E171" s="144"/>
      <c r="F171" s="144"/>
      <c r="G171" s="144"/>
      <c r="H171" s="145"/>
      <c r="I171" s="144"/>
      <c r="J171" s="177"/>
      <c r="K171" s="139"/>
      <c r="L171" s="139"/>
      <c r="M171" s="139"/>
      <c r="N171" s="139"/>
      <c r="O171" s="139"/>
      <c r="P171" s="139"/>
      <c r="Q171" s="139"/>
      <c r="R171" s="141"/>
      <c r="S171" s="224"/>
      <c r="T171" s="139"/>
      <c r="U171" s="139"/>
      <c r="V171" s="139"/>
      <c r="W171" s="139"/>
      <c r="X171" s="139"/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18.75" customHeight="1">
      <c r="A172" s="139"/>
      <c r="B172" s="139"/>
      <c r="C172" s="139"/>
      <c r="D172" s="139"/>
      <c r="E172" s="139"/>
      <c r="F172" s="139"/>
      <c r="G172" s="139"/>
      <c r="H172" s="140"/>
      <c r="I172" s="139"/>
      <c r="J172" s="139"/>
      <c r="K172" s="139"/>
      <c r="L172" s="139"/>
      <c r="M172" s="139"/>
      <c r="N172" s="139"/>
      <c r="O172" s="139"/>
      <c r="P172" s="139"/>
      <c r="Q172" s="139"/>
      <c r="R172" s="141"/>
      <c r="S172" s="224"/>
      <c r="T172" s="139"/>
      <c r="U172" s="139"/>
      <c r="V172" s="139"/>
      <c r="W172" s="139"/>
      <c r="X172" s="139"/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18.75" customHeight="1">
      <c r="A173" s="139"/>
      <c r="B173" s="139"/>
      <c r="C173" s="139"/>
      <c r="D173" s="139"/>
      <c r="E173" s="139"/>
      <c r="F173" s="139"/>
      <c r="G173" s="139"/>
      <c r="H173" s="140"/>
      <c r="I173" s="139"/>
      <c r="J173" s="139"/>
      <c r="K173" s="139"/>
      <c r="L173" s="139"/>
      <c r="M173" s="139"/>
      <c r="N173" s="139"/>
      <c r="O173" s="139"/>
      <c r="P173" s="139"/>
      <c r="Q173" s="139"/>
      <c r="R173" s="224"/>
      <c r="S173" s="224"/>
      <c r="T173" s="139"/>
      <c r="U173" s="139"/>
      <c r="V173" s="139"/>
      <c r="W173" s="139"/>
      <c r="X173" s="139"/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18.75" customHeight="1">
      <c r="A174" s="139" t="s">
        <v>39</v>
      </c>
      <c r="B174" s="139"/>
      <c r="C174" s="139"/>
      <c r="D174" s="139"/>
      <c r="E174" s="139"/>
      <c r="F174" s="139"/>
      <c r="G174" s="139"/>
      <c r="H174" s="140"/>
      <c r="I174" s="139"/>
      <c r="J174" s="139"/>
      <c r="K174" s="139"/>
      <c r="L174" s="139"/>
      <c r="M174" s="139"/>
      <c r="N174" s="139"/>
      <c r="O174" s="139"/>
      <c r="P174" s="139"/>
      <c r="Q174" s="139"/>
      <c r="R174" s="224"/>
      <c r="S174" s="224"/>
      <c r="T174" s="139"/>
      <c r="U174" s="139"/>
      <c r="V174" s="139"/>
      <c r="W174" s="139"/>
      <c r="X174" s="139"/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18.75" customHeight="1">
      <c r="A175" s="139"/>
      <c r="B175" s="139"/>
      <c r="C175" s="139"/>
      <c r="D175" s="139"/>
      <c r="E175" s="139"/>
      <c r="F175" s="139"/>
      <c r="G175" s="139"/>
      <c r="H175" s="140"/>
      <c r="I175" s="139"/>
      <c r="J175" s="139"/>
      <c r="K175" s="139"/>
      <c r="L175" s="139"/>
      <c r="M175" s="139"/>
      <c r="N175" s="139"/>
      <c r="O175" s="139"/>
      <c r="P175" s="139"/>
      <c r="Q175" s="139"/>
      <c r="R175" s="224"/>
      <c r="S175" s="224"/>
      <c r="T175" s="139"/>
      <c r="U175" s="139"/>
      <c r="V175" s="139"/>
      <c r="W175" s="139"/>
      <c r="X175" s="139"/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42.0" customHeight="1">
      <c r="A176" s="178"/>
      <c r="B176" s="162" t="s">
        <v>12</v>
      </c>
      <c r="C176" s="179" t="s">
        <v>75</v>
      </c>
      <c r="D176" s="52"/>
      <c r="E176" s="53"/>
      <c r="F176" s="225"/>
      <c r="G176" s="225"/>
      <c r="H176" s="181" t="s">
        <v>14</v>
      </c>
      <c r="I176" s="226" t="s">
        <v>15</v>
      </c>
      <c r="J176" s="162" t="s">
        <v>16</v>
      </c>
      <c r="K176" s="139"/>
      <c r="L176" s="139"/>
      <c r="M176" s="139"/>
      <c r="N176" s="139"/>
      <c r="O176" s="139"/>
      <c r="P176" s="139"/>
      <c r="Q176" s="139"/>
      <c r="R176" s="224"/>
      <c r="S176" s="224"/>
      <c r="T176" s="139"/>
      <c r="U176" s="139"/>
      <c r="V176" s="139"/>
      <c r="W176" s="139"/>
      <c r="X176" s="139"/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4.75" customHeight="1">
      <c r="A177" s="162">
        <v>1.0</v>
      </c>
      <c r="B177" s="183" t="s">
        <v>111</v>
      </c>
      <c r="C177" s="200"/>
      <c r="D177" s="200"/>
      <c r="E177" s="200"/>
      <c r="F177" s="200"/>
      <c r="G177" s="200"/>
      <c r="H177" s="227">
        <v>31.0</v>
      </c>
      <c r="I177" s="200">
        <v>1.0</v>
      </c>
      <c r="J177" s="195">
        <f t="shared" ref="J177:J195" si="153">+I177*H177</f>
        <v>31</v>
      </c>
      <c r="K177" s="178"/>
      <c r="L177" s="178"/>
      <c r="M177" s="178"/>
      <c r="N177" s="178"/>
      <c r="O177" s="178"/>
      <c r="P177" s="178"/>
      <c r="Q177" s="228"/>
      <c r="R177" s="224"/>
      <c r="S177" s="224"/>
      <c r="T177" s="139"/>
      <c r="U177" s="139"/>
      <c r="V177" s="139"/>
      <c r="W177" s="139"/>
      <c r="X177" s="139"/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4.75" customHeight="1">
      <c r="A178" s="162">
        <v>2.0</v>
      </c>
      <c r="B178" s="193" t="s">
        <v>111</v>
      </c>
      <c r="C178" s="200"/>
      <c r="D178" s="200"/>
      <c r="E178" s="200"/>
      <c r="F178" s="200"/>
      <c r="G178" s="200"/>
      <c r="H178" s="227">
        <v>17.0</v>
      </c>
      <c r="I178" s="200">
        <v>1.0</v>
      </c>
      <c r="J178" s="195">
        <f t="shared" si="153"/>
        <v>17</v>
      </c>
      <c r="K178" s="178"/>
      <c r="L178" s="178"/>
      <c r="M178" s="178"/>
      <c r="N178" s="178"/>
      <c r="O178" s="178"/>
      <c r="P178" s="178"/>
      <c r="Q178" s="228"/>
      <c r="R178" s="224"/>
      <c r="S178" s="139"/>
      <c r="T178" s="139"/>
      <c r="U178" s="139"/>
      <c r="V178" s="139"/>
      <c r="W178" s="139"/>
      <c r="X178" s="139"/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4.75" customHeight="1">
      <c r="A179" s="162">
        <v>3.0</v>
      </c>
      <c r="B179" s="183" t="s">
        <v>159</v>
      </c>
      <c r="C179" s="200"/>
      <c r="D179" s="200"/>
      <c r="E179" s="200"/>
      <c r="F179" s="200"/>
      <c r="G179" s="200"/>
      <c r="H179" s="227">
        <v>28.0</v>
      </c>
      <c r="I179" s="200">
        <v>1.0</v>
      </c>
      <c r="J179" s="195">
        <f t="shared" si="153"/>
        <v>28</v>
      </c>
      <c r="K179" s="178"/>
      <c r="L179" s="178"/>
      <c r="M179" s="178"/>
      <c r="N179" s="178"/>
      <c r="O179" s="178"/>
      <c r="P179" s="178"/>
      <c r="Q179" s="228"/>
      <c r="R179" s="224"/>
      <c r="S179" s="139"/>
      <c r="T179" s="139"/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4.75" customHeight="1">
      <c r="A180" s="162">
        <v>4.0</v>
      </c>
      <c r="B180" s="193" t="s">
        <v>159</v>
      </c>
      <c r="C180" s="200"/>
      <c r="D180" s="200"/>
      <c r="E180" s="200"/>
      <c r="F180" s="200"/>
      <c r="G180" s="200"/>
      <c r="H180" s="227">
        <v>5.0</v>
      </c>
      <c r="I180" s="200">
        <v>1.0</v>
      </c>
      <c r="J180" s="195">
        <f t="shared" si="153"/>
        <v>5</v>
      </c>
      <c r="K180" s="178"/>
      <c r="L180" s="178"/>
      <c r="M180" s="178"/>
      <c r="N180" s="178"/>
      <c r="O180" s="178"/>
      <c r="P180" s="178"/>
      <c r="Q180" s="228"/>
      <c r="R180" s="224"/>
      <c r="S180" s="139"/>
      <c r="T180" s="139"/>
      <c r="U180" s="139"/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4.75" hidden="1" customHeight="1">
      <c r="A181" s="162">
        <v>21.0</v>
      </c>
      <c r="B181" s="229"/>
      <c r="C181" s="200"/>
      <c r="D181" s="200"/>
      <c r="E181" s="200"/>
      <c r="F181" s="200"/>
      <c r="G181" s="200"/>
      <c r="H181" s="227"/>
      <c r="I181" s="200"/>
      <c r="J181" s="195">
        <f t="shared" si="153"/>
        <v>0</v>
      </c>
      <c r="K181" s="178"/>
      <c r="L181" s="178"/>
      <c r="M181" s="178"/>
      <c r="N181" s="178"/>
      <c r="O181" s="178"/>
      <c r="P181" s="178"/>
      <c r="Q181" s="228"/>
      <c r="R181" s="224"/>
      <c r="S181" s="139"/>
      <c r="T181" s="139"/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4.75" hidden="1" customHeight="1">
      <c r="A182" s="162">
        <v>22.0</v>
      </c>
      <c r="B182" s="229"/>
      <c r="C182" s="200"/>
      <c r="D182" s="200"/>
      <c r="E182" s="200"/>
      <c r="F182" s="200"/>
      <c r="G182" s="200"/>
      <c r="H182" s="227"/>
      <c r="I182" s="200"/>
      <c r="J182" s="195">
        <f t="shared" si="153"/>
        <v>0</v>
      </c>
      <c r="K182" s="178"/>
      <c r="L182" s="178"/>
      <c r="M182" s="178"/>
      <c r="N182" s="178"/>
      <c r="O182" s="178"/>
      <c r="P182" s="178"/>
      <c r="Q182" s="139"/>
      <c r="R182" s="139"/>
      <c r="S182" s="139"/>
      <c r="T182" s="139"/>
      <c r="U182" s="139"/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4.75" hidden="1" customHeight="1">
      <c r="A183" s="162">
        <v>23.0</v>
      </c>
      <c r="B183" s="229"/>
      <c r="C183" s="200"/>
      <c r="D183" s="200"/>
      <c r="E183" s="200"/>
      <c r="F183" s="200"/>
      <c r="G183" s="200"/>
      <c r="H183" s="227"/>
      <c r="I183" s="200"/>
      <c r="J183" s="195">
        <f t="shared" si="153"/>
        <v>0</v>
      </c>
      <c r="K183" s="178"/>
      <c r="L183" s="178"/>
      <c r="M183" s="178"/>
      <c r="N183" s="178"/>
      <c r="O183" s="178"/>
      <c r="P183" s="178"/>
      <c r="Q183" s="139"/>
      <c r="R183" s="139"/>
      <c r="S183" s="139"/>
      <c r="T183" s="139"/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4.75" hidden="1" customHeight="1">
      <c r="A184" s="162">
        <v>24.0</v>
      </c>
      <c r="B184" s="229"/>
      <c r="C184" s="200"/>
      <c r="D184" s="200"/>
      <c r="E184" s="200"/>
      <c r="F184" s="200"/>
      <c r="G184" s="200"/>
      <c r="H184" s="227"/>
      <c r="I184" s="200"/>
      <c r="J184" s="195">
        <f t="shared" si="153"/>
        <v>0</v>
      </c>
      <c r="K184" s="178"/>
      <c r="L184" s="178"/>
      <c r="M184" s="178"/>
      <c r="N184" s="178"/>
      <c r="O184" s="178"/>
      <c r="P184" s="178"/>
      <c r="Q184" s="139"/>
      <c r="R184" s="139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4.75" hidden="1" customHeight="1">
      <c r="A185" s="162">
        <v>25.0</v>
      </c>
      <c r="B185" s="229"/>
      <c r="C185" s="200"/>
      <c r="D185" s="200"/>
      <c r="E185" s="200"/>
      <c r="F185" s="200"/>
      <c r="G185" s="200"/>
      <c r="H185" s="227"/>
      <c r="I185" s="200"/>
      <c r="J185" s="195">
        <f t="shared" si="153"/>
        <v>0</v>
      </c>
      <c r="K185" s="178"/>
      <c r="L185" s="178"/>
      <c r="M185" s="178"/>
      <c r="N185" s="178"/>
      <c r="O185" s="178"/>
      <c r="P185" s="178"/>
      <c r="Q185" s="139"/>
      <c r="R185" s="139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4.75" hidden="1" customHeight="1">
      <c r="A186" s="162">
        <v>26.0</v>
      </c>
      <c r="B186" s="229"/>
      <c r="C186" s="200"/>
      <c r="D186" s="200"/>
      <c r="E186" s="200"/>
      <c r="F186" s="200"/>
      <c r="G186" s="200"/>
      <c r="H186" s="227"/>
      <c r="I186" s="200"/>
      <c r="J186" s="195">
        <f t="shared" si="153"/>
        <v>0</v>
      </c>
      <c r="K186" s="178"/>
      <c r="L186" s="178"/>
      <c r="M186" s="178"/>
      <c r="N186" s="178"/>
      <c r="O186" s="178"/>
      <c r="P186" s="178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4.75" hidden="1" customHeight="1">
      <c r="A187" s="162">
        <v>27.0</v>
      </c>
      <c r="B187" s="229"/>
      <c r="C187" s="200"/>
      <c r="D187" s="200"/>
      <c r="E187" s="200"/>
      <c r="F187" s="200"/>
      <c r="G187" s="200"/>
      <c r="H187" s="200"/>
      <c r="I187" s="200"/>
      <c r="J187" s="195">
        <f t="shared" si="153"/>
        <v>0</v>
      </c>
      <c r="K187" s="178"/>
      <c r="L187" s="178"/>
      <c r="M187" s="178"/>
      <c r="N187" s="178"/>
      <c r="O187" s="178"/>
      <c r="P187" s="178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4.75" hidden="1" customHeight="1">
      <c r="A188" s="162">
        <v>28.0</v>
      </c>
      <c r="B188" s="229"/>
      <c r="C188" s="200"/>
      <c r="D188" s="200"/>
      <c r="E188" s="200"/>
      <c r="F188" s="200"/>
      <c r="G188" s="200"/>
      <c r="H188" s="200"/>
      <c r="I188" s="200"/>
      <c r="J188" s="195">
        <f t="shared" si="153"/>
        <v>0</v>
      </c>
      <c r="K188" s="178"/>
      <c r="L188" s="178"/>
      <c r="M188" s="178"/>
      <c r="N188" s="178"/>
      <c r="O188" s="178"/>
      <c r="P188" s="178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4.75" hidden="1" customHeight="1">
      <c r="A189" s="162">
        <v>29.0</v>
      </c>
      <c r="B189" s="230"/>
      <c r="C189" s="200"/>
      <c r="D189" s="200"/>
      <c r="E189" s="200"/>
      <c r="F189" s="200"/>
      <c r="G189" s="200"/>
      <c r="H189" s="200"/>
      <c r="I189" s="200"/>
      <c r="J189" s="195">
        <f t="shared" si="153"/>
        <v>0</v>
      </c>
      <c r="K189" s="178"/>
      <c r="L189" s="178"/>
      <c r="M189" s="178"/>
      <c r="N189" s="178"/>
      <c r="O189" s="178"/>
      <c r="P189" s="178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4.75" hidden="1" customHeight="1">
      <c r="A190" s="162">
        <v>30.0</v>
      </c>
      <c r="B190" s="230"/>
      <c r="C190" s="200"/>
      <c r="D190" s="200"/>
      <c r="E190" s="200"/>
      <c r="F190" s="200"/>
      <c r="G190" s="200"/>
      <c r="H190" s="227"/>
      <c r="I190" s="200"/>
      <c r="J190" s="195">
        <f t="shared" si="153"/>
        <v>0</v>
      </c>
      <c r="K190" s="178"/>
      <c r="L190" s="178"/>
      <c r="M190" s="178"/>
      <c r="N190" s="178"/>
      <c r="O190" s="178"/>
      <c r="P190" s="178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4.75" hidden="1" customHeight="1">
      <c r="A191" s="162">
        <v>31.0</v>
      </c>
      <c r="B191" s="218"/>
      <c r="C191" s="200"/>
      <c r="D191" s="200"/>
      <c r="E191" s="200"/>
      <c r="F191" s="200"/>
      <c r="G191" s="200"/>
      <c r="H191" s="227"/>
      <c r="I191" s="200"/>
      <c r="J191" s="195">
        <f t="shared" si="153"/>
        <v>0</v>
      </c>
      <c r="K191" s="178"/>
      <c r="L191" s="178"/>
      <c r="M191" s="178"/>
      <c r="N191" s="178"/>
      <c r="O191" s="178"/>
      <c r="P191" s="178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4.75" hidden="1" customHeight="1">
      <c r="A192" s="162">
        <v>32.0</v>
      </c>
      <c r="B192" s="218"/>
      <c r="C192" s="162"/>
      <c r="D192" s="162"/>
      <c r="E192" s="162"/>
      <c r="F192" s="162"/>
      <c r="G192" s="162"/>
      <c r="H192" s="162"/>
      <c r="I192" s="162"/>
      <c r="J192" s="195">
        <f t="shared" si="153"/>
        <v>0</v>
      </c>
      <c r="K192" s="178"/>
      <c r="L192" s="178"/>
      <c r="M192" s="178"/>
      <c r="N192" s="178"/>
      <c r="O192" s="178"/>
      <c r="P192" s="178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4.75" hidden="1" customHeight="1">
      <c r="A193" s="162">
        <v>33.0</v>
      </c>
      <c r="B193" s="230"/>
      <c r="C193" s="162"/>
      <c r="D193" s="162"/>
      <c r="E193" s="162"/>
      <c r="F193" s="162"/>
      <c r="G193" s="162"/>
      <c r="H193" s="162"/>
      <c r="I193" s="162"/>
      <c r="J193" s="195">
        <f t="shared" si="153"/>
        <v>0</v>
      </c>
      <c r="K193" s="178"/>
      <c r="L193" s="178"/>
      <c r="M193" s="178"/>
      <c r="N193" s="178"/>
      <c r="O193" s="178"/>
      <c r="P193" s="178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4.75" hidden="1" customHeight="1">
      <c r="A194" s="162">
        <v>34.0</v>
      </c>
      <c r="B194" s="231"/>
      <c r="C194" s="162"/>
      <c r="D194" s="162"/>
      <c r="E194" s="162"/>
      <c r="F194" s="162"/>
      <c r="G194" s="162"/>
      <c r="H194" s="162"/>
      <c r="I194" s="162"/>
      <c r="J194" s="195">
        <f t="shared" si="153"/>
        <v>0</v>
      </c>
      <c r="K194" s="178"/>
      <c r="L194" s="178"/>
      <c r="M194" s="178"/>
      <c r="N194" s="178"/>
      <c r="O194" s="178"/>
      <c r="P194" s="178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4.75" hidden="1" customHeight="1">
      <c r="A195" s="162">
        <v>35.0</v>
      </c>
      <c r="B195" s="232"/>
      <c r="C195" s="162"/>
      <c r="D195" s="162"/>
      <c r="E195" s="162"/>
      <c r="F195" s="162"/>
      <c r="G195" s="162"/>
      <c r="H195" s="162"/>
      <c r="I195" s="162"/>
      <c r="J195" s="195">
        <f t="shared" si="153"/>
        <v>0</v>
      </c>
      <c r="K195" s="178"/>
      <c r="L195" s="178"/>
      <c r="M195" s="178"/>
      <c r="N195" s="178"/>
      <c r="O195" s="178"/>
      <c r="P195" s="178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18.75" customHeight="1">
      <c r="A196" s="139"/>
      <c r="B196" s="139"/>
      <c r="C196" s="139"/>
      <c r="D196" s="139"/>
      <c r="E196" s="139"/>
      <c r="F196" s="139"/>
      <c r="G196" s="139"/>
      <c r="H196" s="140" t="s">
        <v>38</v>
      </c>
      <c r="I196" s="139"/>
      <c r="J196" s="233">
        <f>SUM(J177:J195)</f>
        <v>81</v>
      </c>
      <c r="K196" s="234"/>
      <c r="L196" s="234"/>
      <c r="M196" s="234"/>
      <c r="N196" s="234"/>
      <c r="O196" s="234"/>
      <c r="P196" s="234"/>
      <c r="Q196" s="234"/>
      <c r="R196" s="139"/>
      <c r="S196" s="224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18.75" customHeight="1">
      <c r="A197" s="144"/>
      <c r="B197" s="144"/>
      <c r="C197" s="144"/>
      <c r="D197" s="144"/>
      <c r="E197" s="144"/>
      <c r="F197" s="144"/>
      <c r="G197" s="144"/>
      <c r="H197" s="145"/>
      <c r="I197" s="175"/>
      <c r="J197" s="206">
        <f>+J196*60%</f>
        <v>48.6</v>
      </c>
      <c r="K197" s="206"/>
      <c r="L197" s="206"/>
      <c r="M197" s="206"/>
      <c r="N197" s="206"/>
      <c r="O197" s="206"/>
      <c r="P197" s="206"/>
      <c r="Q197" s="206">
        <f>+J196*40%</f>
        <v>32.4</v>
      </c>
      <c r="R197" s="139"/>
      <c r="S197" s="224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18.75" customHeight="1">
      <c r="A198" s="139"/>
      <c r="B198" s="139"/>
      <c r="C198" s="139"/>
      <c r="D198" s="139"/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39"/>
      <c r="R198" s="139"/>
      <c r="S198" s="224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18.7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139"/>
      <c r="S199" s="224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9.5" customHeight="1">
      <c r="A200" s="235" t="s">
        <v>41</v>
      </c>
      <c r="B200" s="139"/>
      <c r="C200" s="139"/>
      <c r="D200" s="139"/>
      <c r="E200" s="139"/>
      <c r="F200" s="139"/>
      <c r="G200" s="139"/>
      <c r="H200" s="140"/>
      <c r="I200" s="139"/>
      <c r="J200" s="139"/>
      <c r="K200" s="139"/>
      <c r="L200" s="139"/>
      <c r="M200" s="139"/>
      <c r="N200" s="139"/>
      <c r="O200" s="139"/>
      <c r="P200" s="139"/>
      <c r="Q200" s="139"/>
      <c r="R200" s="139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57.0" customHeight="1">
      <c r="A201" s="236"/>
      <c r="B201" s="237" t="s">
        <v>42</v>
      </c>
      <c r="C201" s="237" t="s">
        <v>43</v>
      </c>
      <c r="D201" s="237" t="s">
        <v>44</v>
      </c>
      <c r="E201" s="237" t="s">
        <v>45</v>
      </c>
      <c r="F201" s="237"/>
      <c r="G201" s="237"/>
      <c r="H201" s="238" t="s">
        <v>46</v>
      </c>
      <c r="I201" s="239" t="s">
        <v>47</v>
      </c>
      <c r="J201" s="139"/>
      <c r="K201" s="139"/>
      <c r="L201" s="139"/>
      <c r="M201" s="139"/>
      <c r="N201" s="139"/>
      <c r="O201" s="139"/>
      <c r="P201" s="139"/>
      <c r="Q201" s="139"/>
      <c r="R201" s="141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240" t="s">
        <v>48</v>
      </c>
      <c r="B202" s="241">
        <f>+E17</f>
        <v>6959.5194</v>
      </c>
      <c r="C202" s="242">
        <f>+J152</f>
        <v>6117.789559</v>
      </c>
      <c r="D202" s="242">
        <f>+J170</f>
        <v>154.331892</v>
      </c>
      <c r="E202" s="243">
        <f>J197</f>
        <v>48.6</v>
      </c>
      <c r="F202" s="243"/>
      <c r="G202" s="243"/>
      <c r="H202" s="244">
        <f>+I17</f>
        <v>592.3052618</v>
      </c>
      <c r="I202" s="245">
        <f>+B202-C202-D202-E202-H202</f>
        <v>46.49268762</v>
      </c>
      <c r="J202" s="139"/>
      <c r="K202" s="139"/>
      <c r="L202" s="139"/>
      <c r="M202" s="139"/>
      <c r="N202" s="139"/>
      <c r="O202" s="139"/>
      <c r="P202" s="139"/>
      <c r="Q202" s="139"/>
      <c r="R202" s="141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9.5" customHeight="1">
      <c r="A203" s="246" t="s">
        <v>49</v>
      </c>
      <c r="B203" s="247"/>
      <c r="C203" s="248">
        <f>+C202/B202</f>
        <v>0.8790534528</v>
      </c>
      <c r="D203" s="248">
        <f>+D202/B202</f>
        <v>0.02217565368</v>
      </c>
      <c r="E203" s="248">
        <f>+E202/B202</f>
        <v>0.006983240826</v>
      </c>
      <c r="F203" s="248"/>
      <c r="G203" s="248"/>
      <c r="H203" s="249">
        <f>+H202/B202</f>
        <v>0.08510720751</v>
      </c>
      <c r="I203" s="250">
        <f>+I202/B202</f>
        <v>0.00668044515</v>
      </c>
      <c r="J203" s="139"/>
      <c r="K203" s="139"/>
      <c r="L203" s="139"/>
      <c r="M203" s="139"/>
      <c r="N203" s="139"/>
      <c r="O203" s="139"/>
      <c r="P203" s="139"/>
      <c r="Q203" s="139"/>
      <c r="R203" s="141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9.5" customHeight="1">
      <c r="A204" s="165"/>
      <c r="B204" s="221"/>
      <c r="C204" s="251"/>
      <c r="D204" s="251"/>
      <c r="E204" s="251"/>
      <c r="F204" s="251"/>
      <c r="G204" s="251"/>
      <c r="H204" s="252"/>
      <c r="I204" s="253"/>
      <c r="J204" s="139"/>
      <c r="K204" s="139"/>
      <c r="L204" s="139"/>
      <c r="M204" s="139"/>
      <c r="N204" s="139"/>
      <c r="O204" s="139"/>
      <c r="P204" s="139"/>
      <c r="Q204" s="139"/>
      <c r="R204" s="141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254"/>
      <c r="B205" s="255"/>
      <c r="C205" s="255"/>
      <c r="D205" s="255" t="s">
        <v>50</v>
      </c>
      <c r="E205" s="255" t="s">
        <v>48</v>
      </c>
      <c r="F205" s="255"/>
      <c r="G205" s="255"/>
      <c r="H205" s="256">
        <f>+D202+E202+H202+I202</f>
        <v>841.7298414</v>
      </c>
      <c r="I205" s="257"/>
      <c r="J205" s="139"/>
      <c r="K205" s="139"/>
      <c r="L205" s="139"/>
      <c r="M205" s="139"/>
      <c r="N205" s="139"/>
      <c r="O205" s="139"/>
      <c r="P205" s="139"/>
      <c r="Q205" s="139"/>
      <c r="R205" s="141"/>
      <c r="S205" s="140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258"/>
      <c r="B206" s="139"/>
      <c r="C206" s="139"/>
      <c r="D206" s="139"/>
      <c r="E206" s="139" t="s">
        <v>49</v>
      </c>
      <c r="F206" s="139"/>
      <c r="G206" s="139"/>
      <c r="H206" s="252">
        <f>+H205/B202</f>
        <v>0.1209465472</v>
      </c>
      <c r="I206" s="259"/>
      <c r="J206" s="139"/>
      <c r="K206" s="139"/>
      <c r="L206" s="139"/>
      <c r="M206" s="139"/>
      <c r="N206" s="139"/>
      <c r="O206" s="139"/>
      <c r="P206" s="139"/>
      <c r="Q206" s="139"/>
      <c r="R206" s="141"/>
      <c r="S206" s="140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18.75" customHeight="1">
      <c r="A207" s="258"/>
      <c r="B207" s="139"/>
      <c r="C207" s="139" t="s">
        <v>51</v>
      </c>
      <c r="D207" s="139"/>
      <c r="E207" s="139"/>
      <c r="F207" s="139"/>
      <c r="G207" s="139"/>
      <c r="H207" s="140"/>
      <c r="I207" s="259"/>
      <c r="J207" s="139"/>
      <c r="K207" s="139"/>
      <c r="L207" s="139"/>
      <c r="M207" s="139"/>
      <c r="N207" s="139"/>
      <c r="O207" s="139"/>
      <c r="P207" s="139"/>
      <c r="Q207" s="139"/>
      <c r="R207" s="141"/>
      <c r="S207" s="140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18.75" customHeight="1">
      <c r="A208" s="258"/>
      <c r="B208" s="139"/>
      <c r="C208" s="139"/>
      <c r="D208" s="139" t="s">
        <v>52</v>
      </c>
      <c r="E208" s="139"/>
      <c r="F208" s="139"/>
      <c r="G208" s="139"/>
      <c r="H208" s="140">
        <f>+H207*(H205-H202)</f>
        <v>0</v>
      </c>
      <c r="I208" s="259"/>
      <c r="J208" s="139"/>
      <c r="K208" s="139"/>
      <c r="L208" s="139"/>
      <c r="M208" s="139"/>
      <c r="N208" s="139"/>
      <c r="O208" s="139"/>
      <c r="P208" s="139"/>
      <c r="Q208" s="139"/>
      <c r="R208" s="141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19.5" customHeight="1">
      <c r="A209" s="260"/>
      <c r="B209" s="261"/>
      <c r="C209" s="261"/>
      <c r="D209" s="261"/>
      <c r="E209" s="261"/>
      <c r="F209" s="261"/>
      <c r="G209" s="261"/>
      <c r="H209" s="262"/>
      <c r="I209" s="263"/>
      <c r="J209" s="139"/>
      <c r="K209" s="139"/>
      <c r="L209" s="139"/>
      <c r="M209" s="139"/>
      <c r="N209" s="139"/>
      <c r="O209" s="139"/>
      <c r="P209" s="139"/>
      <c r="Q209" s="139"/>
      <c r="R209" s="141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18.7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141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18.75" customHeight="1">
      <c r="A211" s="139"/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141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18.0" customHeight="1">
      <c r="A213" s="7"/>
      <c r="B213" s="7"/>
      <c r="C213" s="7"/>
      <c r="D213" s="7"/>
      <c r="E213" s="7"/>
      <c r="F213" s="7"/>
      <c r="G213" s="7"/>
      <c r="H213" s="264"/>
      <c r="I213" s="7"/>
      <c r="J213" s="7"/>
      <c r="K213" s="7"/>
      <c r="L213" s="7"/>
      <c r="M213" s="7"/>
      <c r="N213" s="7"/>
      <c r="O213" s="7"/>
      <c r="P213" s="7"/>
      <c r="Q213" s="7"/>
      <c r="R213" s="265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</row>
    <row r="214" ht="18.0" customHeight="1">
      <c r="A214" s="7"/>
      <c r="B214" s="7"/>
      <c r="C214" s="7"/>
      <c r="D214" s="7"/>
      <c r="E214" s="7"/>
      <c r="F214" s="7"/>
      <c r="G214" s="7"/>
      <c r="H214" s="264"/>
      <c r="I214" s="7"/>
      <c r="J214" s="7"/>
      <c r="K214" s="7"/>
      <c r="L214" s="7"/>
      <c r="M214" s="7"/>
      <c r="N214" s="7"/>
      <c r="O214" s="7"/>
      <c r="P214" s="7"/>
      <c r="Q214" s="7"/>
      <c r="R214" s="265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</row>
    <row r="215" ht="18.0" customHeight="1">
      <c r="A215" s="7"/>
      <c r="B215" s="7"/>
      <c r="C215" s="7"/>
      <c r="D215" s="7"/>
      <c r="E215" s="7"/>
      <c r="F215" s="7"/>
      <c r="G215" s="7"/>
      <c r="H215" s="264"/>
      <c r="I215" s="7"/>
      <c r="J215" s="7"/>
      <c r="K215" s="7"/>
      <c r="L215" s="7"/>
      <c r="M215" s="7"/>
      <c r="N215" s="7"/>
      <c r="O215" s="7"/>
      <c r="P215" s="7"/>
      <c r="Q215" s="7"/>
      <c r="R215" s="265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</row>
    <row r="216" ht="18.0" customHeight="1">
      <c r="A216" s="7"/>
      <c r="B216" s="7"/>
      <c r="C216" s="7"/>
      <c r="D216" s="7"/>
      <c r="E216" s="7"/>
      <c r="F216" s="7"/>
      <c r="G216" s="7"/>
      <c r="H216" s="264"/>
      <c r="I216" s="7"/>
      <c r="J216" s="7"/>
      <c r="K216" s="7"/>
      <c r="L216" s="7"/>
      <c r="M216" s="7"/>
      <c r="N216" s="7"/>
      <c r="O216" s="7"/>
      <c r="P216" s="7"/>
      <c r="Q216" s="7"/>
      <c r="R216" s="265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</row>
    <row r="217" ht="18.0" customHeight="1">
      <c r="A217" s="7"/>
      <c r="B217" s="7"/>
      <c r="C217" s="7"/>
      <c r="D217" s="7"/>
      <c r="E217" s="7"/>
      <c r="F217" s="7"/>
      <c r="G217" s="7"/>
      <c r="H217" s="264"/>
      <c r="I217" s="7"/>
      <c r="J217" s="7"/>
      <c r="K217" s="7"/>
      <c r="L217" s="7"/>
      <c r="M217" s="7"/>
      <c r="N217" s="7"/>
      <c r="O217" s="7"/>
      <c r="P217" s="7"/>
      <c r="Q217" s="7"/>
      <c r="R217" s="265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</row>
    <row r="218" ht="18.0" customHeight="1">
      <c r="A218" s="7"/>
      <c r="B218" s="7"/>
      <c r="C218" s="7"/>
      <c r="D218" s="7"/>
      <c r="E218" s="7"/>
      <c r="F218" s="7"/>
      <c r="G218" s="7"/>
      <c r="H218" s="264"/>
      <c r="I218" s="7"/>
      <c r="J218" s="7"/>
      <c r="K218" s="7"/>
      <c r="L218" s="7"/>
      <c r="M218" s="7"/>
      <c r="N218" s="7"/>
      <c r="O218" s="7"/>
      <c r="P218" s="7"/>
      <c r="Q218" s="7"/>
      <c r="R218" s="265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</row>
    <row r="219" ht="18.0" customHeight="1">
      <c r="A219" s="7"/>
      <c r="B219" s="7"/>
      <c r="C219" s="7"/>
      <c r="D219" s="7"/>
      <c r="E219" s="7"/>
      <c r="F219" s="7"/>
      <c r="G219" s="7"/>
      <c r="H219" s="264"/>
      <c r="I219" s="7"/>
      <c r="J219" s="7"/>
      <c r="K219" s="7"/>
      <c r="L219" s="7"/>
      <c r="M219" s="7"/>
      <c r="N219" s="7"/>
      <c r="O219" s="7"/>
      <c r="P219" s="7"/>
      <c r="Q219" s="7"/>
      <c r="R219" s="265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</row>
    <row r="220" ht="18.0" customHeight="1">
      <c r="A220" s="7"/>
      <c r="B220" s="7"/>
      <c r="C220" s="7"/>
      <c r="D220" s="7"/>
      <c r="E220" s="7"/>
      <c r="F220" s="7"/>
      <c r="G220" s="7"/>
      <c r="H220" s="264"/>
      <c r="I220" s="7"/>
      <c r="J220" s="7"/>
      <c r="K220" s="7"/>
      <c r="L220" s="7"/>
      <c r="M220" s="7"/>
      <c r="N220" s="7"/>
      <c r="O220" s="7"/>
      <c r="P220" s="7"/>
      <c r="Q220" s="7"/>
      <c r="R220" s="265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</row>
    <row r="221" ht="18.0" customHeight="1">
      <c r="A221" s="7"/>
      <c r="B221" s="7"/>
      <c r="C221" s="7"/>
      <c r="D221" s="7"/>
      <c r="E221" s="7"/>
      <c r="F221" s="7"/>
      <c r="G221" s="7"/>
      <c r="H221" s="264"/>
      <c r="I221" s="7"/>
      <c r="J221" s="7"/>
      <c r="K221" s="7"/>
      <c r="L221" s="7"/>
      <c r="M221" s="7"/>
      <c r="N221" s="7"/>
      <c r="O221" s="7"/>
      <c r="P221" s="7"/>
      <c r="Q221" s="7"/>
      <c r="R221" s="265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</row>
    <row r="222" ht="18.0" customHeight="1">
      <c r="A222" s="7"/>
      <c r="B222" s="7"/>
      <c r="C222" s="7"/>
      <c r="D222" s="7"/>
      <c r="E222" s="7"/>
      <c r="F222" s="7"/>
      <c r="G222" s="7"/>
      <c r="H222" s="264"/>
      <c r="I222" s="7"/>
      <c r="J222" s="7"/>
      <c r="K222" s="7"/>
      <c r="L222" s="7"/>
      <c r="M222" s="7"/>
      <c r="N222" s="7"/>
      <c r="O222" s="7"/>
      <c r="P222" s="7"/>
      <c r="Q222" s="7"/>
      <c r="R222" s="265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</row>
    <row r="223" ht="18.0" customHeight="1">
      <c r="A223" s="7"/>
      <c r="B223" s="7"/>
      <c r="C223" s="7"/>
      <c r="D223" s="7"/>
      <c r="E223" s="7"/>
      <c r="F223" s="7"/>
      <c r="G223" s="7"/>
      <c r="H223" s="264"/>
      <c r="I223" s="7"/>
      <c r="J223" s="7"/>
      <c r="K223" s="7"/>
      <c r="L223" s="7"/>
      <c r="M223" s="7"/>
      <c r="N223" s="7"/>
      <c r="O223" s="7"/>
      <c r="P223" s="7"/>
      <c r="Q223" s="7"/>
      <c r="R223" s="265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</row>
    <row r="224" ht="18.0" customHeight="1">
      <c r="A224" s="7"/>
      <c r="B224" s="7"/>
      <c r="C224" s="7"/>
      <c r="D224" s="7"/>
      <c r="E224" s="7"/>
      <c r="F224" s="7"/>
      <c r="G224" s="7"/>
      <c r="H224" s="264"/>
      <c r="I224" s="7"/>
      <c r="J224" s="7"/>
      <c r="K224" s="7"/>
      <c r="L224" s="7"/>
      <c r="M224" s="7"/>
      <c r="N224" s="7"/>
      <c r="O224" s="7"/>
      <c r="P224" s="7"/>
      <c r="Q224" s="7"/>
      <c r="R224" s="265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</row>
    <row r="225" ht="18.0" customHeight="1">
      <c r="A225" s="7"/>
      <c r="B225" s="7"/>
      <c r="C225" s="7"/>
      <c r="D225" s="7"/>
      <c r="E225" s="7"/>
      <c r="F225" s="7"/>
      <c r="G225" s="7"/>
      <c r="H225" s="264"/>
      <c r="I225" s="7"/>
      <c r="J225" s="7"/>
      <c r="K225" s="7"/>
      <c r="L225" s="7"/>
      <c r="M225" s="7"/>
      <c r="N225" s="7"/>
      <c r="O225" s="7"/>
      <c r="P225" s="7"/>
      <c r="Q225" s="7"/>
      <c r="R225" s="265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</row>
    <row r="226" ht="18.0" customHeight="1">
      <c r="A226" s="7"/>
      <c r="B226" s="7"/>
      <c r="C226" s="7"/>
      <c r="D226" s="7"/>
      <c r="E226" s="7"/>
      <c r="F226" s="7"/>
      <c r="G226" s="7"/>
      <c r="H226" s="264"/>
      <c r="I226" s="7"/>
      <c r="J226" s="7"/>
      <c r="K226" s="7"/>
      <c r="L226" s="7"/>
      <c r="M226" s="7"/>
      <c r="N226" s="7"/>
      <c r="O226" s="7"/>
      <c r="P226" s="7"/>
      <c r="Q226" s="7"/>
      <c r="R226" s="265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</row>
    <row r="227" ht="18.0" customHeight="1">
      <c r="A227" s="7"/>
      <c r="B227" s="7"/>
      <c r="C227" s="7"/>
      <c r="D227" s="7"/>
      <c r="E227" s="7"/>
      <c r="F227" s="7"/>
      <c r="G227" s="7"/>
      <c r="H227" s="264"/>
      <c r="I227" s="7"/>
      <c r="J227" s="7"/>
      <c r="K227" s="7"/>
      <c r="L227" s="7"/>
      <c r="M227" s="7"/>
      <c r="N227" s="7"/>
      <c r="O227" s="7"/>
      <c r="P227" s="7"/>
      <c r="Q227" s="7"/>
      <c r="R227" s="265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</row>
    <row r="228" ht="18.0" customHeight="1">
      <c r="A228" s="7"/>
      <c r="B228" s="7"/>
      <c r="C228" s="7"/>
      <c r="D228" s="7"/>
      <c r="E228" s="7"/>
      <c r="F228" s="7"/>
      <c r="G228" s="7"/>
      <c r="H228" s="264"/>
      <c r="I228" s="7"/>
      <c r="J228" s="7"/>
      <c r="K228" s="7"/>
      <c r="L228" s="7"/>
      <c r="M228" s="7"/>
      <c r="N228" s="7"/>
      <c r="O228" s="7"/>
      <c r="P228" s="7"/>
      <c r="Q228" s="7"/>
      <c r="R228" s="265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</row>
    <row r="229" ht="18.0" customHeight="1">
      <c r="A229" s="7"/>
      <c r="B229" s="7"/>
      <c r="C229" s="7"/>
      <c r="D229" s="7"/>
      <c r="E229" s="7"/>
      <c r="F229" s="7"/>
      <c r="G229" s="7"/>
      <c r="H229" s="264"/>
      <c r="I229" s="7"/>
      <c r="J229" s="7"/>
      <c r="K229" s="7"/>
      <c r="L229" s="7"/>
      <c r="M229" s="7"/>
      <c r="N229" s="7"/>
      <c r="O229" s="7"/>
      <c r="P229" s="7"/>
      <c r="Q229" s="7"/>
      <c r="R229" s="265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</row>
    <row r="230" ht="18.0" customHeight="1">
      <c r="A230" s="7"/>
      <c r="B230" s="7"/>
      <c r="C230" s="7"/>
      <c r="D230" s="7"/>
      <c r="E230" s="7"/>
      <c r="F230" s="7"/>
      <c r="G230" s="7"/>
      <c r="H230" s="264"/>
      <c r="I230" s="7"/>
      <c r="J230" s="7"/>
      <c r="K230" s="7"/>
      <c r="L230" s="7"/>
      <c r="M230" s="7"/>
      <c r="N230" s="7"/>
      <c r="O230" s="7"/>
      <c r="P230" s="7"/>
      <c r="Q230" s="7"/>
      <c r="R230" s="265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</row>
    <row r="231" ht="18.0" customHeight="1">
      <c r="A231" s="7"/>
      <c r="B231" s="7"/>
      <c r="C231" s="7"/>
      <c r="D231" s="7"/>
      <c r="E231" s="7"/>
      <c r="F231" s="7"/>
      <c r="G231" s="7"/>
      <c r="H231" s="264"/>
      <c r="I231" s="7"/>
      <c r="J231" s="7"/>
      <c r="K231" s="7"/>
      <c r="L231" s="7"/>
      <c r="M231" s="7"/>
      <c r="N231" s="7"/>
      <c r="O231" s="7"/>
      <c r="P231" s="7"/>
      <c r="Q231" s="7"/>
      <c r="R231" s="265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</row>
    <row r="232" ht="18.0" customHeight="1">
      <c r="A232" s="7"/>
      <c r="B232" s="7"/>
      <c r="C232" s="7"/>
      <c r="D232" s="7"/>
      <c r="E232" s="7"/>
      <c r="F232" s="7"/>
      <c r="G232" s="7"/>
      <c r="H232" s="264"/>
      <c r="I232" s="7"/>
      <c r="J232" s="7"/>
      <c r="K232" s="7"/>
      <c r="L232" s="7"/>
      <c r="M232" s="7"/>
      <c r="N232" s="7"/>
      <c r="O232" s="7"/>
      <c r="P232" s="7"/>
      <c r="Q232" s="7"/>
      <c r="R232" s="265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</row>
    <row r="233" ht="18.0" customHeight="1">
      <c r="A233" s="7"/>
      <c r="B233" s="7"/>
      <c r="C233" s="7"/>
      <c r="D233" s="7"/>
      <c r="E233" s="7"/>
      <c r="F233" s="7"/>
      <c r="G233" s="7"/>
      <c r="H233" s="264"/>
      <c r="I233" s="7"/>
      <c r="J233" s="7"/>
      <c r="K233" s="7"/>
      <c r="L233" s="7"/>
      <c r="M233" s="7"/>
      <c r="N233" s="7"/>
      <c r="O233" s="7"/>
      <c r="P233" s="7"/>
      <c r="Q233" s="7"/>
      <c r="R233" s="265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</row>
    <row r="234" ht="18.0" customHeight="1">
      <c r="A234" s="7"/>
      <c r="B234" s="7"/>
      <c r="C234" s="7"/>
      <c r="D234" s="7"/>
      <c r="E234" s="7"/>
      <c r="F234" s="7"/>
      <c r="G234" s="7"/>
      <c r="H234" s="264"/>
      <c r="I234" s="7"/>
      <c r="J234" s="7"/>
      <c r="K234" s="7"/>
      <c r="L234" s="7"/>
      <c r="M234" s="7"/>
      <c r="N234" s="7"/>
      <c r="O234" s="7"/>
      <c r="P234" s="7"/>
      <c r="Q234" s="7"/>
      <c r="R234" s="265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</row>
    <row r="235" ht="18.0" customHeight="1">
      <c r="A235" s="7"/>
      <c r="B235" s="7"/>
      <c r="C235" s="7"/>
      <c r="D235" s="7"/>
      <c r="E235" s="7"/>
      <c r="F235" s="7"/>
      <c r="G235" s="7"/>
      <c r="H235" s="264"/>
      <c r="I235" s="7"/>
      <c r="J235" s="7"/>
      <c r="K235" s="7"/>
      <c r="L235" s="7"/>
      <c r="M235" s="7"/>
      <c r="N235" s="7"/>
      <c r="O235" s="7"/>
      <c r="P235" s="7"/>
      <c r="Q235" s="7"/>
      <c r="R235" s="265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</row>
    <row r="236" ht="18.0" customHeight="1">
      <c r="A236" s="7"/>
      <c r="B236" s="7"/>
      <c r="C236" s="7"/>
      <c r="D236" s="7"/>
      <c r="E236" s="7"/>
      <c r="F236" s="7"/>
      <c r="G236" s="7"/>
      <c r="H236" s="264"/>
      <c r="I236" s="7"/>
      <c r="J236" s="7"/>
      <c r="K236" s="7"/>
      <c r="L236" s="7"/>
      <c r="M236" s="7"/>
      <c r="N236" s="7"/>
      <c r="O236" s="7"/>
      <c r="P236" s="7"/>
      <c r="Q236" s="7"/>
      <c r="R236" s="265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</row>
    <row r="237" ht="18.0" customHeight="1">
      <c r="A237" s="7"/>
      <c r="B237" s="7"/>
      <c r="C237" s="7"/>
      <c r="D237" s="7"/>
      <c r="E237" s="7"/>
      <c r="F237" s="7"/>
      <c r="G237" s="7"/>
      <c r="H237" s="264"/>
      <c r="I237" s="7"/>
      <c r="J237" s="7"/>
      <c r="K237" s="7"/>
      <c r="L237" s="7"/>
      <c r="M237" s="7"/>
      <c r="N237" s="7"/>
      <c r="O237" s="7"/>
      <c r="P237" s="7"/>
      <c r="Q237" s="7"/>
      <c r="R237" s="265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</row>
    <row r="238" ht="18.0" customHeight="1">
      <c r="A238" s="7"/>
      <c r="B238" s="7"/>
      <c r="C238" s="7"/>
      <c r="D238" s="7"/>
      <c r="E238" s="7"/>
      <c r="F238" s="7"/>
      <c r="G238" s="7"/>
      <c r="H238" s="264"/>
      <c r="I238" s="7"/>
      <c r="J238" s="7"/>
      <c r="K238" s="7"/>
      <c r="L238" s="7"/>
      <c r="M238" s="7"/>
      <c r="N238" s="7"/>
      <c r="O238" s="7"/>
      <c r="P238" s="7"/>
      <c r="Q238" s="7"/>
      <c r="R238" s="265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</row>
    <row r="239" ht="18.0" customHeight="1">
      <c r="A239" s="7"/>
      <c r="B239" s="7"/>
      <c r="C239" s="7"/>
      <c r="D239" s="7"/>
      <c r="E239" s="7"/>
      <c r="F239" s="7"/>
      <c r="G239" s="7"/>
      <c r="H239" s="264"/>
      <c r="I239" s="7"/>
      <c r="J239" s="7"/>
      <c r="K239" s="7"/>
      <c r="L239" s="7"/>
      <c r="M239" s="7"/>
      <c r="N239" s="7"/>
      <c r="O239" s="7"/>
      <c r="P239" s="7"/>
      <c r="Q239" s="7"/>
      <c r="R239" s="265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</row>
    <row r="240" ht="18.0" customHeight="1">
      <c r="A240" s="7"/>
      <c r="B240" s="7"/>
      <c r="C240" s="7"/>
      <c r="D240" s="7"/>
      <c r="E240" s="7"/>
      <c r="F240" s="7"/>
      <c r="G240" s="7"/>
      <c r="H240" s="264"/>
      <c r="I240" s="7"/>
      <c r="J240" s="7"/>
      <c r="K240" s="7"/>
      <c r="L240" s="7"/>
      <c r="M240" s="7"/>
      <c r="N240" s="7"/>
      <c r="O240" s="7"/>
      <c r="P240" s="7"/>
      <c r="Q240" s="7"/>
      <c r="R240" s="265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</row>
    <row r="241" ht="18.0" customHeight="1">
      <c r="A241" s="7"/>
      <c r="B241" s="7"/>
      <c r="C241" s="7"/>
      <c r="D241" s="7"/>
      <c r="E241" s="7"/>
      <c r="F241" s="7"/>
      <c r="G241" s="7"/>
      <c r="H241" s="264"/>
      <c r="I241" s="7"/>
      <c r="J241" s="7"/>
      <c r="K241" s="7"/>
      <c r="L241" s="7"/>
      <c r="M241" s="7"/>
      <c r="N241" s="7"/>
      <c r="O241" s="7"/>
      <c r="P241" s="7"/>
      <c r="Q241" s="7"/>
      <c r="R241" s="265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</row>
    <row r="242" ht="18.0" customHeight="1">
      <c r="A242" s="7"/>
      <c r="B242" s="7"/>
      <c r="C242" s="7"/>
      <c r="D242" s="7"/>
      <c r="E242" s="7"/>
      <c r="F242" s="7"/>
      <c r="G242" s="7"/>
      <c r="H242" s="264"/>
      <c r="I242" s="7"/>
      <c r="J242" s="7"/>
      <c r="K242" s="7"/>
      <c r="L242" s="7"/>
      <c r="M242" s="7"/>
      <c r="N242" s="7"/>
      <c r="O242" s="7"/>
      <c r="P242" s="7"/>
      <c r="Q242" s="7"/>
      <c r="R242" s="265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</row>
    <row r="243" ht="18.0" customHeight="1">
      <c r="A243" s="7"/>
      <c r="B243" s="7"/>
      <c r="C243" s="7"/>
      <c r="D243" s="7"/>
      <c r="E243" s="7"/>
      <c r="F243" s="7"/>
      <c r="G243" s="7"/>
      <c r="H243" s="264"/>
      <c r="I243" s="7"/>
      <c r="J243" s="7"/>
      <c r="K243" s="7"/>
      <c r="L243" s="7"/>
      <c r="M243" s="7"/>
      <c r="N243" s="7"/>
      <c r="O243" s="7"/>
      <c r="P243" s="7"/>
      <c r="Q243" s="7"/>
      <c r="R243" s="265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</row>
    <row r="244" ht="18.0" customHeight="1">
      <c r="A244" s="7"/>
      <c r="B244" s="7"/>
      <c r="C244" s="7"/>
      <c r="D244" s="7"/>
      <c r="E244" s="7"/>
      <c r="F244" s="7"/>
      <c r="G244" s="7"/>
      <c r="H244" s="264"/>
      <c r="I244" s="7"/>
      <c r="J244" s="7"/>
      <c r="K244" s="7"/>
      <c r="L244" s="7"/>
      <c r="M244" s="7"/>
      <c r="N244" s="7"/>
      <c r="O244" s="7"/>
      <c r="P244" s="7"/>
      <c r="Q244" s="7"/>
      <c r="R244" s="265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</row>
    <row r="245" ht="18.0" customHeight="1">
      <c r="A245" s="7"/>
      <c r="B245" s="7"/>
      <c r="C245" s="7"/>
      <c r="D245" s="7"/>
      <c r="E245" s="7"/>
      <c r="F245" s="7"/>
      <c r="G245" s="7"/>
      <c r="H245" s="264"/>
      <c r="I245" s="7"/>
      <c r="J245" s="7"/>
      <c r="K245" s="7"/>
      <c r="L245" s="7"/>
      <c r="M245" s="7"/>
      <c r="N245" s="7"/>
      <c r="O245" s="7"/>
      <c r="P245" s="7"/>
      <c r="Q245" s="7"/>
      <c r="R245" s="265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</row>
    <row r="246" ht="18.0" customHeight="1">
      <c r="A246" s="7"/>
      <c r="B246" s="7"/>
      <c r="C246" s="7"/>
      <c r="D246" s="7"/>
      <c r="E246" s="7"/>
      <c r="F246" s="7"/>
      <c r="G246" s="7"/>
      <c r="H246" s="264"/>
      <c r="I246" s="7"/>
      <c r="J246" s="7"/>
      <c r="K246" s="7"/>
      <c r="L246" s="7"/>
      <c r="M246" s="7"/>
      <c r="N246" s="7"/>
      <c r="O246" s="7"/>
      <c r="P246" s="7"/>
      <c r="Q246" s="7"/>
      <c r="R246" s="265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</row>
    <row r="247" ht="18.0" customHeight="1">
      <c r="A247" s="7"/>
      <c r="B247" s="7"/>
      <c r="C247" s="7"/>
      <c r="D247" s="7"/>
      <c r="E247" s="7"/>
      <c r="F247" s="7"/>
      <c r="G247" s="7"/>
      <c r="H247" s="264"/>
      <c r="I247" s="7"/>
      <c r="J247" s="7"/>
      <c r="K247" s="7"/>
      <c r="L247" s="7"/>
      <c r="M247" s="7"/>
      <c r="N247" s="7"/>
      <c r="O247" s="7"/>
      <c r="P247" s="7"/>
      <c r="Q247" s="7"/>
      <c r="R247" s="265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7:D17"/>
    <mergeCell ref="E18:H18"/>
    <mergeCell ref="C23:E23"/>
    <mergeCell ref="C158:E158"/>
    <mergeCell ref="C176:E176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44550.0</v>
      </c>
      <c r="J4" s="139" t="str">
        <f>+B8&amp;"/"&amp;B9&amp;"/"&amp;B10&amp;"/"&amp;B11&amp;"/"&amp;B12&amp;"/"&amp;B13&amp;"/"&amp;B14&amp;"/"&amp;B15&amp;"/"&amp;B16</f>
        <v>D2550GT/D2220/HRD2960/D2470CC/HRD2940/D2250CC/D2250CCY//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162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+I250</f>
        <v>0.03517757476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78</v>
      </c>
      <c r="C8" s="155">
        <v>25.5</v>
      </c>
      <c r="D8" s="156">
        <v>0.0577</v>
      </c>
      <c r="E8" s="157">
        <f>262.54*25.8</f>
        <v>6773.532</v>
      </c>
      <c r="F8" s="157"/>
      <c r="G8" s="157"/>
      <c r="H8" s="158">
        <v>25.8</v>
      </c>
      <c r="I8" s="159">
        <f t="shared" ref="I8:I21" si="1">+D8*E8</f>
        <v>390.8327964</v>
      </c>
      <c r="J8" s="160">
        <f t="shared" ref="J8:J21" si="2">E8-I8</f>
        <v>6382.699204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58</v>
      </c>
      <c r="C9" s="155">
        <v>22.5</v>
      </c>
      <c r="D9" s="156">
        <v>0.1086</v>
      </c>
      <c r="E9" s="157">
        <f>209.35*34.8</f>
        <v>7285.38</v>
      </c>
      <c r="F9" s="157"/>
      <c r="G9" s="157"/>
      <c r="H9" s="158">
        <v>34.8</v>
      </c>
      <c r="I9" s="159">
        <f t="shared" si="1"/>
        <v>791.192268</v>
      </c>
      <c r="J9" s="160">
        <f t="shared" si="2"/>
        <v>6494.187732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90</v>
      </c>
      <c r="C10" s="155">
        <v>29.5</v>
      </c>
      <c r="D10" s="156">
        <v>0.0162</v>
      </c>
      <c r="E10" s="157">
        <f>238.05*42.6</f>
        <v>10140.93</v>
      </c>
      <c r="F10" s="157"/>
      <c r="G10" s="157"/>
      <c r="H10" s="158">
        <v>42.6</v>
      </c>
      <c r="I10" s="159">
        <f t="shared" si="1"/>
        <v>164.283066</v>
      </c>
      <c r="J10" s="160">
        <f t="shared" si="2"/>
        <v>9976.646934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119</v>
      </c>
      <c r="C11" s="155">
        <v>24.5</v>
      </c>
      <c r="D11" s="163">
        <v>0.0545</v>
      </c>
      <c r="E11" s="164">
        <f>237.448*22.7</f>
        <v>5390.0696</v>
      </c>
      <c r="F11" s="164"/>
      <c r="G11" s="164"/>
      <c r="H11" s="158">
        <v>22.7</v>
      </c>
      <c r="I11" s="159">
        <f t="shared" si="1"/>
        <v>293.7587932</v>
      </c>
      <c r="J11" s="160">
        <f t="shared" si="2"/>
        <v>5096.310807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55</v>
      </c>
      <c r="C12" s="162">
        <v>29.5</v>
      </c>
      <c r="D12" s="163">
        <v>0.0146</v>
      </c>
      <c r="E12" s="164">
        <f>252.8*29.4</f>
        <v>7432.32</v>
      </c>
      <c r="F12" s="164"/>
      <c r="G12" s="164"/>
      <c r="H12" s="158">
        <v>29.4</v>
      </c>
      <c r="I12" s="159">
        <f t="shared" si="1"/>
        <v>108.511872</v>
      </c>
      <c r="J12" s="160">
        <f t="shared" si="2"/>
        <v>7323.808128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106</v>
      </c>
      <c r="C13" s="162">
        <v>22.5</v>
      </c>
      <c r="D13" s="163">
        <v>0.0845</v>
      </c>
      <c r="E13" s="164">
        <f>223.521*10</f>
        <v>2235.21</v>
      </c>
      <c r="F13" s="164"/>
      <c r="G13" s="164"/>
      <c r="H13" s="158">
        <v>10.0</v>
      </c>
      <c r="I13" s="159">
        <f t="shared" si="1"/>
        <v>188.875245</v>
      </c>
      <c r="J13" s="160">
        <f t="shared" si="2"/>
        <v>2046.334755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100</v>
      </c>
      <c r="C14" s="162">
        <v>22.5</v>
      </c>
      <c r="D14" s="163">
        <v>0.0845</v>
      </c>
      <c r="E14" s="164">
        <f>225.096*14.4</f>
        <v>3241.3824</v>
      </c>
      <c r="F14" s="164"/>
      <c r="G14" s="164"/>
      <c r="H14" s="158">
        <v>14.2</v>
      </c>
      <c r="I14" s="159">
        <f t="shared" si="1"/>
        <v>273.8968128</v>
      </c>
      <c r="J14" s="160">
        <f t="shared" si="2"/>
        <v>2967.485587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5"/>
      <c r="B22" s="166"/>
      <c r="C22" s="167"/>
      <c r="D22" s="168"/>
      <c r="E22" s="169">
        <f>SUM(E8:E21)</f>
        <v>42498.824</v>
      </c>
      <c r="F22" s="170"/>
      <c r="G22" s="170"/>
      <c r="H22" s="171"/>
      <c r="I22" s="172">
        <f t="shared" ref="I22:J22" si="3">SUM(I8:I21)</f>
        <v>2211.350853</v>
      </c>
      <c r="J22" s="173">
        <f t="shared" si="3"/>
        <v>40287.47315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4"/>
      <c r="B23" s="144"/>
      <c r="C23" s="144"/>
      <c r="D23" s="175"/>
      <c r="E23" s="176"/>
      <c r="F23" s="151"/>
      <c r="G23" s="151"/>
      <c r="H23" s="147"/>
      <c r="I23" s="177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8"/>
      <c r="B28" s="162" t="s">
        <v>12</v>
      </c>
      <c r="C28" s="179" t="s">
        <v>60</v>
      </c>
      <c r="D28" s="52"/>
      <c r="E28" s="53"/>
      <c r="F28" s="180"/>
      <c r="G28" s="180"/>
      <c r="H28" s="181" t="s">
        <v>14</v>
      </c>
      <c r="I28" s="162" t="s">
        <v>15</v>
      </c>
      <c r="J28" s="162" t="s">
        <v>16</v>
      </c>
      <c r="K28" s="139"/>
      <c r="L28" s="162" t="s">
        <v>17</v>
      </c>
      <c r="M28" s="162" t="s">
        <v>15</v>
      </c>
      <c r="N28" s="178" t="s">
        <v>18</v>
      </c>
      <c r="O28" s="139"/>
      <c r="P28" s="139"/>
      <c r="Q28" s="178" t="s">
        <v>61</v>
      </c>
      <c r="R28" s="182"/>
      <c r="S28" s="162" t="s">
        <v>17</v>
      </c>
      <c r="T28" s="162" t="s">
        <v>15</v>
      </c>
      <c r="U28" s="178" t="s">
        <v>18</v>
      </c>
      <c r="V28" s="139"/>
      <c r="W28" s="178" t="s">
        <v>19</v>
      </c>
      <c r="X28" s="178" t="s">
        <v>20</v>
      </c>
      <c r="Y28" s="178" t="s">
        <v>21</v>
      </c>
      <c r="Z28" s="178" t="s">
        <v>163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2">
        <v>1.0</v>
      </c>
      <c r="B29" s="183" t="s">
        <v>85</v>
      </c>
      <c r="C29" s="184">
        <v>85.0</v>
      </c>
      <c r="D29" s="184">
        <v>205.0</v>
      </c>
      <c r="E29" s="184">
        <v>201.0</v>
      </c>
      <c r="F29" s="184">
        <f t="shared" ref="F29:F184" si="5">VALUE(IF(RIGHT(B29, 1)="%", RIGHT(B29, 3), 0))</f>
        <v>0.8</v>
      </c>
      <c r="G29" s="184">
        <f t="shared" ref="G29:G184" si="6">+R29*C29/100*D29/100*E29/100</f>
        <v>87.560625</v>
      </c>
      <c r="H29" s="185">
        <f t="shared" ref="H29:H184" si="7">IF(F29=0, G29, F29*G29)</f>
        <v>70.0485</v>
      </c>
      <c r="I29" s="184">
        <v>1.0</v>
      </c>
      <c r="J29" s="186">
        <f t="shared" ref="J29:J184" si="8">+I29*H29</f>
        <v>70.0485</v>
      </c>
      <c r="K29" s="187"/>
      <c r="L29" s="188">
        <f>D29*25.4/1000</f>
        <v>5.207</v>
      </c>
      <c r="M29" s="189">
        <f>+I29</f>
        <v>1</v>
      </c>
      <c r="N29" s="189">
        <f>M29*L29</f>
        <v>5.207</v>
      </c>
      <c r="O29" s="187"/>
      <c r="P29" s="187"/>
      <c r="Q29" s="188">
        <v>99.0</v>
      </c>
      <c r="R29" s="190">
        <v>25.0</v>
      </c>
      <c r="S29" s="178">
        <f t="shared" ref="S29:S185" si="9">E29/100</f>
        <v>2.01</v>
      </c>
      <c r="T29" s="162">
        <f t="shared" ref="T29:T185" si="10">I29</f>
        <v>1</v>
      </c>
      <c r="U29" s="162">
        <f t="shared" ref="U29:U185" si="11">T29*S29</f>
        <v>2.01</v>
      </c>
      <c r="V29" s="191">
        <f t="shared" ref="V29:V67" si="12">R29*C29/100*D29/100*E29/100</f>
        <v>87.560625</v>
      </c>
      <c r="W29" s="178">
        <f t="shared" ref="W29:X29" si="4">C29/100</f>
        <v>0.85</v>
      </c>
      <c r="X29" s="178">
        <f t="shared" si="4"/>
        <v>2.05</v>
      </c>
      <c r="Y29" s="178">
        <f t="shared" ref="Y29:Y185" si="14">U29</f>
        <v>2.01</v>
      </c>
      <c r="Z29" s="192">
        <f t="shared" ref="Z29:Z185" si="15">W29*X29*Y29</f>
        <v>3.502425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2.0</v>
      </c>
      <c r="B30" s="193" t="s">
        <v>78</v>
      </c>
      <c r="C30" s="193">
        <v>103.0</v>
      </c>
      <c r="D30" s="193">
        <v>205.0</v>
      </c>
      <c r="E30" s="193">
        <v>354.0</v>
      </c>
      <c r="F30" s="193">
        <f t="shared" si="5"/>
        <v>0</v>
      </c>
      <c r="G30" s="193">
        <f t="shared" si="6"/>
        <v>186.86775</v>
      </c>
      <c r="H30" s="194">
        <f t="shared" si="7"/>
        <v>186.86775</v>
      </c>
      <c r="I30" s="193">
        <v>1.0</v>
      </c>
      <c r="J30" s="195">
        <f t="shared" si="8"/>
        <v>186.86775</v>
      </c>
      <c r="K30" s="139"/>
      <c r="L30" s="178"/>
      <c r="M30" s="162"/>
      <c r="N30" s="162"/>
      <c r="O30" s="139"/>
      <c r="P30" s="139"/>
      <c r="Q30" s="178">
        <v>217.0</v>
      </c>
      <c r="R30" s="190">
        <v>25.0</v>
      </c>
      <c r="S30" s="178">
        <f t="shared" si="9"/>
        <v>3.54</v>
      </c>
      <c r="T30" s="162">
        <f t="shared" si="10"/>
        <v>1</v>
      </c>
      <c r="U30" s="162">
        <f t="shared" si="11"/>
        <v>3.54</v>
      </c>
      <c r="V30" s="191">
        <f t="shared" si="12"/>
        <v>186.86775</v>
      </c>
      <c r="W30" s="178">
        <f t="shared" ref="W30:X30" si="13">C30/100</f>
        <v>1.03</v>
      </c>
      <c r="X30" s="178">
        <f t="shared" si="13"/>
        <v>2.05</v>
      </c>
      <c r="Y30" s="178">
        <f t="shared" si="14"/>
        <v>3.54</v>
      </c>
      <c r="Z30" s="192">
        <f t="shared" si="15"/>
        <v>7.47471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3.0</v>
      </c>
      <c r="B31" s="193" t="s">
        <v>78</v>
      </c>
      <c r="C31" s="193">
        <v>105.0</v>
      </c>
      <c r="D31" s="193">
        <v>205.0</v>
      </c>
      <c r="E31" s="193">
        <v>3061.0</v>
      </c>
      <c r="F31" s="193">
        <f t="shared" si="5"/>
        <v>0</v>
      </c>
      <c r="G31" s="193">
        <f t="shared" si="6"/>
        <v>1647.200625</v>
      </c>
      <c r="H31" s="194">
        <f t="shared" si="7"/>
        <v>1647.200625</v>
      </c>
      <c r="I31" s="193">
        <v>1.0</v>
      </c>
      <c r="J31" s="195">
        <f t="shared" si="8"/>
        <v>1647.200625</v>
      </c>
      <c r="K31" s="139"/>
      <c r="L31" s="178">
        <f t="shared" ref="L31:L53" si="17">D31*25.4/1000</f>
        <v>5.207</v>
      </c>
      <c r="M31" s="162">
        <f t="shared" ref="M31:M66" si="18">+I31</f>
        <v>1</v>
      </c>
      <c r="N31" s="162">
        <f t="shared" ref="N31:N53" si="19">M31*L31</f>
        <v>5.207</v>
      </c>
      <c r="O31" s="139"/>
      <c r="P31" s="139"/>
      <c r="Q31" s="178">
        <v>1635.0</v>
      </c>
      <c r="R31" s="190">
        <v>25.0</v>
      </c>
      <c r="S31" s="178">
        <f t="shared" si="9"/>
        <v>30.61</v>
      </c>
      <c r="T31" s="162">
        <f t="shared" si="10"/>
        <v>1</v>
      </c>
      <c r="U31" s="162">
        <f t="shared" si="11"/>
        <v>30.61</v>
      </c>
      <c r="V31" s="191">
        <f t="shared" si="12"/>
        <v>1647.200625</v>
      </c>
      <c r="W31" s="178">
        <f t="shared" ref="W31:X31" si="16">C31/100</f>
        <v>1.05</v>
      </c>
      <c r="X31" s="178">
        <f t="shared" si="16"/>
        <v>2.05</v>
      </c>
      <c r="Y31" s="178">
        <f t="shared" si="14"/>
        <v>30.61</v>
      </c>
      <c r="Z31" s="192">
        <f t="shared" si="15"/>
        <v>65.888025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4.0</v>
      </c>
      <c r="B32" s="193" t="s">
        <v>78</v>
      </c>
      <c r="C32" s="193">
        <v>99.0</v>
      </c>
      <c r="D32" s="193">
        <v>205.0</v>
      </c>
      <c r="E32" s="193">
        <v>2871.0</v>
      </c>
      <c r="F32" s="193">
        <f t="shared" si="5"/>
        <v>0</v>
      </c>
      <c r="G32" s="193">
        <f t="shared" si="6"/>
        <v>1456.673625</v>
      </c>
      <c r="H32" s="194">
        <f t="shared" si="7"/>
        <v>1456.673625</v>
      </c>
      <c r="I32" s="193">
        <v>1.0</v>
      </c>
      <c r="J32" s="195">
        <f t="shared" si="8"/>
        <v>1456.673625</v>
      </c>
      <c r="K32" s="139"/>
      <c r="L32" s="178">
        <f t="shared" si="17"/>
        <v>5.207</v>
      </c>
      <c r="M32" s="162">
        <f t="shared" si="18"/>
        <v>1</v>
      </c>
      <c r="N32" s="162">
        <f t="shared" si="19"/>
        <v>5.207</v>
      </c>
      <c r="O32" s="139"/>
      <c r="P32" s="139"/>
      <c r="Q32" s="178">
        <v>1485.0</v>
      </c>
      <c r="R32" s="190">
        <v>25.0</v>
      </c>
      <c r="S32" s="178">
        <f t="shared" si="9"/>
        <v>28.71</v>
      </c>
      <c r="T32" s="162">
        <f t="shared" si="10"/>
        <v>1</v>
      </c>
      <c r="U32" s="162">
        <f t="shared" si="11"/>
        <v>28.71</v>
      </c>
      <c r="V32" s="191">
        <f t="shared" si="12"/>
        <v>1456.673625</v>
      </c>
      <c r="W32" s="178">
        <f t="shared" ref="W32:X32" si="20">C32/100</f>
        <v>0.99</v>
      </c>
      <c r="X32" s="178">
        <f t="shared" si="20"/>
        <v>2.05</v>
      </c>
      <c r="Y32" s="178">
        <f t="shared" si="14"/>
        <v>28.71</v>
      </c>
      <c r="Z32" s="192">
        <f t="shared" si="15"/>
        <v>58.266945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5.0</v>
      </c>
      <c r="B33" s="193" t="s">
        <v>78</v>
      </c>
      <c r="C33" s="193">
        <v>105.0</v>
      </c>
      <c r="D33" s="193">
        <v>205.0</v>
      </c>
      <c r="E33" s="193">
        <v>2196.0</v>
      </c>
      <c r="F33" s="193">
        <f t="shared" si="5"/>
        <v>0</v>
      </c>
      <c r="G33" s="193">
        <f t="shared" si="6"/>
        <v>1181.7225</v>
      </c>
      <c r="H33" s="194">
        <f t="shared" si="7"/>
        <v>1181.7225</v>
      </c>
      <c r="I33" s="193">
        <v>1.0</v>
      </c>
      <c r="J33" s="195">
        <f t="shared" si="8"/>
        <v>1181.7225</v>
      </c>
      <c r="K33" s="139"/>
      <c r="L33" s="178">
        <f t="shared" si="17"/>
        <v>5.207</v>
      </c>
      <c r="M33" s="162">
        <f t="shared" si="18"/>
        <v>1</v>
      </c>
      <c r="N33" s="162">
        <f t="shared" si="19"/>
        <v>5.207</v>
      </c>
      <c r="O33" s="139"/>
      <c r="P33" s="139"/>
      <c r="Q33" s="178">
        <v>1165.0</v>
      </c>
      <c r="R33" s="190">
        <v>25.0</v>
      </c>
      <c r="S33" s="178">
        <f t="shared" si="9"/>
        <v>21.96</v>
      </c>
      <c r="T33" s="162">
        <f t="shared" si="10"/>
        <v>1</v>
      </c>
      <c r="U33" s="162">
        <f t="shared" si="11"/>
        <v>21.96</v>
      </c>
      <c r="V33" s="191">
        <f t="shared" si="12"/>
        <v>1181.7225</v>
      </c>
      <c r="W33" s="178">
        <f t="shared" ref="W33:X33" si="21">C33/100</f>
        <v>1.05</v>
      </c>
      <c r="X33" s="178">
        <f t="shared" si="21"/>
        <v>2.05</v>
      </c>
      <c r="Y33" s="178">
        <f t="shared" si="14"/>
        <v>21.96</v>
      </c>
      <c r="Z33" s="192">
        <f t="shared" si="15"/>
        <v>47.2689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6.0</v>
      </c>
      <c r="B34" s="193" t="s">
        <v>78</v>
      </c>
      <c r="C34" s="193">
        <v>104.0</v>
      </c>
      <c r="D34" s="193">
        <v>205.0</v>
      </c>
      <c r="E34" s="193">
        <v>2952.0</v>
      </c>
      <c r="F34" s="193">
        <f t="shared" si="5"/>
        <v>0</v>
      </c>
      <c r="G34" s="193">
        <f t="shared" si="6"/>
        <v>1573.416</v>
      </c>
      <c r="H34" s="194">
        <f t="shared" si="7"/>
        <v>1573.416</v>
      </c>
      <c r="I34" s="193">
        <v>1.0</v>
      </c>
      <c r="J34" s="195">
        <f t="shared" si="8"/>
        <v>1573.416</v>
      </c>
      <c r="K34" s="139"/>
      <c r="L34" s="178">
        <f t="shared" si="17"/>
        <v>5.207</v>
      </c>
      <c r="M34" s="162">
        <f t="shared" si="18"/>
        <v>1</v>
      </c>
      <c r="N34" s="162">
        <f t="shared" si="19"/>
        <v>5.207</v>
      </c>
      <c r="O34" s="139"/>
      <c r="P34" s="139"/>
      <c r="Q34" s="178">
        <v>1585.0</v>
      </c>
      <c r="R34" s="190">
        <v>25.0</v>
      </c>
      <c r="S34" s="178">
        <f t="shared" si="9"/>
        <v>29.52</v>
      </c>
      <c r="T34" s="162">
        <f t="shared" si="10"/>
        <v>1</v>
      </c>
      <c r="U34" s="162">
        <f t="shared" si="11"/>
        <v>29.52</v>
      </c>
      <c r="V34" s="191">
        <f t="shared" si="12"/>
        <v>1573.416</v>
      </c>
      <c r="W34" s="178">
        <f t="shared" ref="W34:X34" si="22">C34/100</f>
        <v>1.04</v>
      </c>
      <c r="X34" s="178">
        <f t="shared" si="22"/>
        <v>2.05</v>
      </c>
      <c r="Y34" s="178">
        <f t="shared" si="14"/>
        <v>29.52</v>
      </c>
      <c r="Z34" s="192">
        <f t="shared" si="15"/>
        <v>62.93664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7.0</v>
      </c>
      <c r="B35" s="183" t="s">
        <v>66</v>
      </c>
      <c r="C35" s="184">
        <v>90.0</v>
      </c>
      <c r="D35" s="184">
        <v>195.0</v>
      </c>
      <c r="E35" s="184">
        <v>180.0</v>
      </c>
      <c r="F35" s="184">
        <f t="shared" si="5"/>
        <v>0.8</v>
      </c>
      <c r="G35" s="184">
        <f t="shared" si="6"/>
        <v>67.9185</v>
      </c>
      <c r="H35" s="185">
        <f t="shared" si="7"/>
        <v>54.3348</v>
      </c>
      <c r="I35" s="184">
        <v>1.0</v>
      </c>
      <c r="J35" s="186">
        <f t="shared" si="8"/>
        <v>54.3348</v>
      </c>
      <c r="K35" s="187"/>
      <c r="L35" s="188">
        <f t="shared" si="17"/>
        <v>4.953</v>
      </c>
      <c r="M35" s="189">
        <f t="shared" si="18"/>
        <v>1</v>
      </c>
      <c r="N35" s="189">
        <f t="shared" si="19"/>
        <v>4.953</v>
      </c>
      <c r="O35" s="187"/>
      <c r="P35" s="187"/>
      <c r="Q35" s="188">
        <v>76.0</v>
      </c>
      <c r="R35" s="190">
        <v>21.5</v>
      </c>
      <c r="S35" s="178">
        <f t="shared" si="9"/>
        <v>1.8</v>
      </c>
      <c r="T35" s="162">
        <f t="shared" si="10"/>
        <v>1</v>
      </c>
      <c r="U35" s="162">
        <f t="shared" si="11"/>
        <v>1.8</v>
      </c>
      <c r="V35" s="191">
        <f t="shared" si="12"/>
        <v>67.9185</v>
      </c>
      <c r="W35" s="178">
        <f t="shared" ref="W35:X35" si="23">C35/100</f>
        <v>0.9</v>
      </c>
      <c r="X35" s="178">
        <f t="shared" si="23"/>
        <v>1.95</v>
      </c>
      <c r="Y35" s="178">
        <f t="shared" si="14"/>
        <v>1.8</v>
      </c>
      <c r="Z35" s="192">
        <f t="shared" si="15"/>
        <v>3.159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8.0</v>
      </c>
      <c r="B36" s="193" t="s">
        <v>58</v>
      </c>
      <c r="C36" s="193">
        <v>100.0</v>
      </c>
      <c r="D36" s="193">
        <v>195.0</v>
      </c>
      <c r="E36" s="193">
        <v>199.0</v>
      </c>
      <c r="F36" s="193">
        <f t="shared" si="5"/>
        <v>0</v>
      </c>
      <c r="G36" s="193">
        <f t="shared" si="6"/>
        <v>83.43075</v>
      </c>
      <c r="H36" s="194">
        <f t="shared" si="7"/>
        <v>83.43075</v>
      </c>
      <c r="I36" s="193">
        <v>1.0</v>
      </c>
      <c r="J36" s="195">
        <f t="shared" si="8"/>
        <v>83.43075</v>
      </c>
      <c r="K36" s="139"/>
      <c r="L36" s="178">
        <f t="shared" si="17"/>
        <v>4.953</v>
      </c>
      <c r="M36" s="162">
        <f t="shared" si="18"/>
        <v>1</v>
      </c>
      <c r="N36" s="162">
        <f t="shared" si="19"/>
        <v>4.953</v>
      </c>
      <c r="O36" s="139"/>
      <c r="P36" s="139"/>
      <c r="Q36" s="178">
        <v>86.0</v>
      </c>
      <c r="R36" s="190">
        <v>21.5</v>
      </c>
      <c r="S36" s="178">
        <f t="shared" si="9"/>
        <v>1.99</v>
      </c>
      <c r="T36" s="162">
        <f t="shared" si="10"/>
        <v>1</v>
      </c>
      <c r="U36" s="162">
        <f t="shared" si="11"/>
        <v>1.99</v>
      </c>
      <c r="V36" s="191">
        <f t="shared" si="12"/>
        <v>83.43075</v>
      </c>
      <c r="W36" s="178">
        <f t="shared" ref="W36:X36" si="24">C36/100</f>
        <v>1</v>
      </c>
      <c r="X36" s="178">
        <f t="shared" si="24"/>
        <v>1.95</v>
      </c>
      <c r="Y36" s="178">
        <f t="shared" si="14"/>
        <v>1.99</v>
      </c>
      <c r="Z36" s="192">
        <f t="shared" si="15"/>
        <v>3.8805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9.0</v>
      </c>
      <c r="B37" s="193" t="s">
        <v>58</v>
      </c>
      <c r="C37" s="193">
        <v>104.0</v>
      </c>
      <c r="D37" s="193">
        <v>195.0</v>
      </c>
      <c r="E37" s="193">
        <v>2895.0</v>
      </c>
      <c r="F37" s="193">
        <f t="shared" si="5"/>
        <v>0</v>
      </c>
      <c r="G37" s="193">
        <f t="shared" si="6"/>
        <v>1262.2779</v>
      </c>
      <c r="H37" s="194">
        <f t="shared" si="7"/>
        <v>1262.2779</v>
      </c>
      <c r="I37" s="193">
        <v>1.0</v>
      </c>
      <c r="J37" s="195">
        <f t="shared" si="8"/>
        <v>1262.2779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1260.0</v>
      </c>
      <c r="R37" s="190">
        <v>21.5</v>
      </c>
      <c r="S37" s="178">
        <f t="shared" si="9"/>
        <v>28.95</v>
      </c>
      <c r="T37" s="162">
        <f t="shared" si="10"/>
        <v>1</v>
      </c>
      <c r="U37" s="162">
        <f t="shared" si="11"/>
        <v>28.95</v>
      </c>
      <c r="V37" s="191">
        <f t="shared" si="12"/>
        <v>1262.2779</v>
      </c>
      <c r="W37" s="178">
        <f t="shared" ref="W37:X37" si="25">C37/100</f>
        <v>1.04</v>
      </c>
      <c r="X37" s="178">
        <f t="shared" si="25"/>
        <v>1.95</v>
      </c>
      <c r="Y37" s="178">
        <f t="shared" si="14"/>
        <v>28.95</v>
      </c>
      <c r="Z37" s="192">
        <f t="shared" si="15"/>
        <v>58.7106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10.0</v>
      </c>
      <c r="B38" s="193" t="s">
        <v>58</v>
      </c>
      <c r="C38" s="193">
        <v>104.0</v>
      </c>
      <c r="D38" s="193">
        <v>195.0</v>
      </c>
      <c r="E38" s="193">
        <v>2895.0</v>
      </c>
      <c r="F38" s="193">
        <f t="shared" si="5"/>
        <v>0</v>
      </c>
      <c r="G38" s="193">
        <f t="shared" si="6"/>
        <v>1262.2779</v>
      </c>
      <c r="H38" s="194">
        <f t="shared" si="7"/>
        <v>1262.2779</v>
      </c>
      <c r="I38" s="193">
        <v>1.0</v>
      </c>
      <c r="J38" s="195">
        <f t="shared" si="8"/>
        <v>1262.2779</v>
      </c>
      <c r="K38" s="139"/>
      <c r="L38" s="178">
        <f t="shared" si="17"/>
        <v>4.953</v>
      </c>
      <c r="M38" s="162">
        <f t="shared" si="18"/>
        <v>1</v>
      </c>
      <c r="N38" s="162">
        <f t="shared" si="19"/>
        <v>4.953</v>
      </c>
      <c r="O38" s="139"/>
      <c r="P38" s="139"/>
      <c r="Q38" s="178">
        <v>1270.0</v>
      </c>
      <c r="R38" s="190">
        <v>21.5</v>
      </c>
      <c r="S38" s="178">
        <f t="shared" si="9"/>
        <v>28.95</v>
      </c>
      <c r="T38" s="162">
        <f t="shared" si="10"/>
        <v>1</v>
      </c>
      <c r="U38" s="162">
        <f t="shared" si="11"/>
        <v>28.95</v>
      </c>
      <c r="V38" s="191">
        <f t="shared" si="12"/>
        <v>1262.2779</v>
      </c>
      <c r="W38" s="178">
        <f t="shared" ref="W38:X38" si="26">C38/100</f>
        <v>1.04</v>
      </c>
      <c r="X38" s="178">
        <f t="shared" si="26"/>
        <v>1.95</v>
      </c>
      <c r="Y38" s="178">
        <f t="shared" si="14"/>
        <v>28.95</v>
      </c>
      <c r="Z38" s="192">
        <f t="shared" si="15"/>
        <v>58.7106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11.0</v>
      </c>
      <c r="B39" s="193" t="s">
        <v>58</v>
      </c>
      <c r="C39" s="193">
        <v>103.0</v>
      </c>
      <c r="D39" s="193">
        <v>195.0</v>
      </c>
      <c r="E39" s="193">
        <v>2897.0</v>
      </c>
      <c r="F39" s="193">
        <f t="shared" si="5"/>
        <v>0</v>
      </c>
      <c r="G39" s="193">
        <f t="shared" si="6"/>
        <v>1251.004268</v>
      </c>
      <c r="H39" s="194">
        <f t="shared" si="7"/>
        <v>1251.004268</v>
      </c>
      <c r="I39" s="193">
        <v>1.0</v>
      </c>
      <c r="J39" s="195">
        <f t="shared" si="8"/>
        <v>1251.004268</v>
      </c>
      <c r="K39" s="139"/>
      <c r="L39" s="178">
        <f t="shared" si="17"/>
        <v>4.953</v>
      </c>
      <c r="M39" s="162">
        <f t="shared" si="18"/>
        <v>1</v>
      </c>
      <c r="N39" s="162">
        <f t="shared" si="19"/>
        <v>4.953</v>
      </c>
      <c r="O39" s="139"/>
      <c r="P39" s="139"/>
      <c r="Q39" s="178">
        <v>1245.0</v>
      </c>
      <c r="R39" s="190">
        <v>21.5</v>
      </c>
      <c r="S39" s="178">
        <f t="shared" si="9"/>
        <v>28.97</v>
      </c>
      <c r="T39" s="162">
        <f t="shared" si="10"/>
        <v>1</v>
      </c>
      <c r="U39" s="162">
        <f t="shared" si="11"/>
        <v>28.97</v>
      </c>
      <c r="V39" s="191">
        <f t="shared" si="12"/>
        <v>1251.004268</v>
      </c>
      <c r="W39" s="178">
        <f t="shared" ref="W39:X39" si="27">C39/100</f>
        <v>1.03</v>
      </c>
      <c r="X39" s="178">
        <f t="shared" si="27"/>
        <v>1.95</v>
      </c>
      <c r="Y39" s="178">
        <f t="shared" si="14"/>
        <v>28.97</v>
      </c>
      <c r="Z39" s="192">
        <f t="shared" si="15"/>
        <v>58.186245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12.0</v>
      </c>
      <c r="B40" s="193" t="s">
        <v>58</v>
      </c>
      <c r="C40" s="193">
        <v>103.0</v>
      </c>
      <c r="D40" s="193">
        <v>195.0</v>
      </c>
      <c r="E40" s="193">
        <v>2893.0</v>
      </c>
      <c r="F40" s="193">
        <f t="shared" si="5"/>
        <v>0</v>
      </c>
      <c r="G40" s="193">
        <f t="shared" si="6"/>
        <v>1249.276958</v>
      </c>
      <c r="H40" s="194">
        <f t="shared" si="7"/>
        <v>1249.276958</v>
      </c>
      <c r="I40" s="193">
        <v>1.0</v>
      </c>
      <c r="J40" s="195">
        <f t="shared" si="8"/>
        <v>1249.276958</v>
      </c>
      <c r="K40" s="139"/>
      <c r="L40" s="178">
        <f t="shared" si="17"/>
        <v>4.953</v>
      </c>
      <c r="M40" s="162">
        <f t="shared" si="18"/>
        <v>1</v>
      </c>
      <c r="N40" s="162">
        <f t="shared" si="19"/>
        <v>4.953</v>
      </c>
      <c r="O40" s="139"/>
      <c r="P40" s="139"/>
      <c r="Q40" s="178">
        <v>1250.0</v>
      </c>
      <c r="R40" s="190">
        <v>21.5</v>
      </c>
      <c r="S40" s="178">
        <f t="shared" si="9"/>
        <v>28.93</v>
      </c>
      <c r="T40" s="162">
        <f t="shared" si="10"/>
        <v>1</v>
      </c>
      <c r="U40" s="162">
        <f t="shared" si="11"/>
        <v>28.93</v>
      </c>
      <c r="V40" s="191">
        <f t="shared" si="12"/>
        <v>1249.276958</v>
      </c>
      <c r="W40" s="178">
        <f t="shared" ref="W40:X40" si="28">C40/100</f>
        <v>1.03</v>
      </c>
      <c r="X40" s="178">
        <f t="shared" si="28"/>
        <v>1.95</v>
      </c>
      <c r="Y40" s="178">
        <f t="shared" si="14"/>
        <v>28.93</v>
      </c>
      <c r="Z40" s="192">
        <f t="shared" si="15"/>
        <v>58.105905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13.0</v>
      </c>
      <c r="B41" s="193" t="s">
        <v>58</v>
      </c>
      <c r="C41" s="193">
        <v>103.0</v>
      </c>
      <c r="D41" s="193">
        <v>195.0</v>
      </c>
      <c r="E41" s="193">
        <v>2695.0</v>
      </c>
      <c r="F41" s="193">
        <f t="shared" si="5"/>
        <v>0</v>
      </c>
      <c r="G41" s="193">
        <f t="shared" si="6"/>
        <v>1163.775113</v>
      </c>
      <c r="H41" s="194">
        <f t="shared" si="7"/>
        <v>1163.775113</v>
      </c>
      <c r="I41" s="193">
        <v>1.0</v>
      </c>
      <c r="J41" s="195">
        <f t="shared" si="8"/>
        <v>1163.775113</v>
      </c>
      <c r="K41" s="139"/>
      <c r="L41" s="178">
        <f t="shared" si="17"/>
        <v>4.953</v>
      </c>
      <c r="M41" s="162">
        <f t="shared" si="18"/>
        <v>1</v>
      </c>
      <c r="N41" s="162">
        <f t="shared" si="19"/>
        <v>4.953</v>
      </c>
      <c r="O41" s="139"/>
      <c r="P41" s="139"/>
      <c r="Q41" s="178">
        <v>1155.0</v>
      </c>
      <c r="R41" s="190">
        <v>21.5</v>
      </c>
      <c r="S41" s="178">
        <f t="shared" si="9"/>
        <v>26.95</v>
      </c>
      <c r="T41" s="162">
        <f t="shared" si="10"/>
        <v>1</v>
      </c>
      <c r="U41" s="162">
        <f t="shared" si="11"/>
        <v>26.95</v>
      </c>
      <c r="V41" s="191">
        <f t="shared" si="12"/>
        <v>1163.775113</v>
      </c>
      <c r="W41" s="178">
        <f t="shared" ref="W41:X41" si="29">C41/100</f>
        <v>1.03</v>
      </c>
      <c r="X41" s="178">
        <f t="shared" si="29"/>
        <v>1.95</v>
      </c>
      <c r="Y41" s="178">
        <f t="shared" si="14"/>
        <v>26.95</v>
      </c>
      <c r="Z41" s="192">
        <f t="shared" si="15"/>
        <v>54.129075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14.0</v>
      </c>
      <c r="B42" s="183" t="s">
        <v>147</v>
      </c>
      <c r="C42" s="184">
        <v>91.0</v>
      </c>
      <c r="D42" s="184">
        <v>184.0</v>
      </c>
      <c r="E42" s="184">
        <v>189.0</v>
      </c>
      <c r="F42" s="184">
        <f t="shared" si="5"/>
        <v>0.8</v>
      </c>
      <c r="G42" s="184">
        <f t="shared" si="6"/>
        <v>92.7232488</v>
      </c>
      <c r="H42" s="185">
        <f t="shared" si="7"/>
        <v>74.17859904</v>
      </c>
      <c r="I42" s="184">
        <v>1.0</v>
      </c>
      <c r="J42" s="186">
        <f t="shared" si="8"/>
        <v>74.17859904</v>
      </c>
      <c r="K42" s="187"/>
      <c r="L42" s="188">
        <f t="shared" si="17"/>
        <v>4.6736</v>
      </c>
      <c r="M42" s="189">
        <f t="shared" si="18"/>
        <v>1</v>
      </c>
      <c r="N42" s="189">
        <f t="shared" si="19"/>
        <v>4.6736</v>
      </c>
      <c r="O42" s="187"/>
      <c r="P42" s="187"/>
      <c r="Q42" s="188">
        <v>97.0</v>
      </c>
      <c r="R42" s="190">
        <v>29.3</v>
      </c>
      <c r="S42" s="178">
        <f t="shared" si="9"/>
        <v>1.89</v>
      </c>
      <c r="T42" s="162">
        <f t="shared" si="10"/>
        <v>1</v>
      </c>
      <c r="U42" s="162">
        <f t="shared" si="11"/>
        <v>1.89</v>
      </c>
      <c r="V42" s="191">
        <f t="shared" si="12"/>
        <v>92.7232488</v>
      </c>
      <c r="W42" s="178">
        <f t="shared" ref="W42:X42" si="30">C42/100</f>
        <v>0.91</v>
      </c>
      <c r="X42" s="178">
        <f t="shared" si="30"/>
        <v>1.84</v>
      </c>
      <c r="Y42" s="178">
        <f t="shared" si="14"/>
        <v>1.89</v>
      </c>
      <c r="Z42" s="192">
        <f t="shared" si="15"/>
        <v>3.164616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15.0</v>
      </c>
      <c r="B43" s="193" t="s">
        <v>90</v>
      </c>
      <c r="C43" s="193">
        <v>102.0</v>
      </c>
      <c r="D43" s="193">
        <v>184.0</v>
      </c>
      <c r="E43" s="193">
        <v>195.0</v>
      </c>
      <c r="F43" s="193">
        <f t="shared" si="5"/>
        <v>0</v>
      </c>
      <c r="G43" s="193">
        <f t="shared" si="6"/>
        <v>107.230968</v>
      </c>
      <c r="H43" s="194">
        <f t="shared" si="7"/>
        <v>107.230968</v>
      </c>
      <c r="I43" s="193">
        <v>1.0</v>
      </c>
      <c r="J43" s="195">
        <f t="shared" si="8"/>
        <v>107.230968</v>
      </c>
      <c r="K43" s="139"/>
      <c r="L43" s="178">
        <f t="shared" si="17"/>
        <v>4.6736</v>
      </c>
      <c r="M43" s="162">
        <f t="shared" si="18"/>
        <v>1</v>
      </c>
      <c r="N43" s="162">
        <f t="shared" si="19"/>
        <v>4.6736</v>
      </c>
      <c r="O43" s="139"/>
      <c r="P43" s="139"/>
      <c r="Q43" s="178">
        <v>109.0</v>
      </c>
      <c r="R43" s="190">
        <v>29.3</v>
      </c>
      <c r="S43" s="178">
        <f t="shared" si="9"/>
        <v>1.95</v>
      </c>
      <c r="T43" s="162">
        <f t="shared" si="10"/>
        <v>1</v>
      </c>
      <c r="U43" s="162">
        <f t="shared" si="11"/>
        <v>1.95</v>
      </c>
      <c r="V43" s="191">
        <f t="shared" si="12"/>
        <v>107.230968</v>
      </c>
      <c r="W43" s="178">
        <f t="shared" ref="W43:X43" si="31">C43/100</f>
        <v>1.02</v>
      </c>
      <c r="X43" s="178">
        <f t="shared" si="31"/>
        <v>1.84</v>
      </c>
      <c r="Y43" s="178">
        <f t="shared" si="14"/>
        <v>1.95</v>
      </c>
      <c r="Z43" s="192">
        <f t="shared" si="15"/>
        <v>3.65976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16.0</v>
      </c>
      <c r="B44" s="193" t="s">
        <v>90</v>
      </c>
      <c r="C44" s="193">
        <v>102.0</v>
      </c>
      <c r="D44" s="193">
        <v>184.0</v>
      </c>
      <c r="E44" s="193">
        <v>2878.0</v>
      </c>
      <c r="F44" s="193">
        <f t="shared" si="5"/>
        <v>0</v>
      </c>
      <c r="G44" s="193">
        <f t="shared" si="6"/>
        <v>1582.619107</v>
      </c>
      <c r="H44" s="194">
        <f t="shared" si="7"/>
        <v>1582.619107</v>
      </c>
      <c r="I44" s="193">
        <v>1.0</v>
      </c>
      <c r="J44" s="195">
        <f t="shared" si="8"/>
        <v>1582.619107</v>
      </c>
      <c r="K44" s="139"/>
      <c r="L44" s="178">
        <f t="shared" si="17"/>
        <v>4.6736</v>
      </c>
      <c r="M44" s="162">
        <f t="shared" si="18"/>
        <v>1</v>
      </c>
      <c r="N44" s="162">
        <f t="shared" si="19"/>
        <v>4.6736</v>
      </c>
      <c r="O44" s="139"/>
      <c r="P44" s="139"/>
      <c r="Q44" s="178">
        <v>1585.0</v>
      </c>
      <c r="R44" s="190">
        <v>29.3</v>
      </c>
      <c r="S44" s="178">
        <f t="shared" si="9"/>
        <v>28.78</v>
      </c>
      <c r="T44" s="162">
        <f t="shared" si="10"/>
        <v>1</v>
      </c>
      <c r="U44" s="162">
        <f t="shared" si="11"/>
        <v>28.78</v>
      </c>
      <c r="V44" s="191">
        <f t="shared" si="12"/>
        <v>1582.619107</v>
      </c>
      <c r="W44" s="178">
        <f t="shared" ref="W44:X44" si="32">C44/100</f>
        <v>1.02</v>
      </c>
      <c r="X44" s="178">
        <f t="shared" si="32"/>
        <v>1.84</v>
      </c>
      <c r="Y44" s="178">
        <f t="shared" si="14"/>
        <v>28.78</v>
      </c>
      <c r="Z44" s="192">
        <f t="shared" si="15"/>
        <v>54.014304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17.0</v>
      </c>
      <c r="B45" s="193" t="s">
        <v>90</v>
      </c>
      <c r="C45" s="193">
        <v>102.0</v>
      </c>
      <c r="D45" s="193">
        <v>184.0</v>
      </c>
      <c r="E45" s="193">
        <v>2882.0</v>
      </c>
      <c r="F45" s="193">
        <f t="shared" si="5"/>
        <v>0</v>
      </c>
      <c r="G45" s="193">
        <f t="shared" si="6"/>
        <v>1584.818717</v>
      </c>
      <c r="H45" s="194">
        <f t="shared" si="7"/>
        <v>1584.818717</v>
      </c>
      <c r="I45" s="193">
        <v>1.0</v>
      </c>
      <c r="J45" s="195">
        <f t="shared" si="8"/>
        <v>1584.818717</v>
      </c>
      <c r="K45" s="139"/>
      <c r="L45" s="178">
        <f t="shared" si="17"/>
        <v>4.6736</v>
      </c>
      <c r="M45" s="162">
        <f t="shared" si="18"/>
        <v>1</v>
      </c>
      <c r="N45" s="162">
        <f t="shared" si="19"/>
        <v>4.6736</v>
      </c>
      <c r="O45" s="139"/>
      <c r="P45" s="139"/>
      <c r="Q45" s="178">
        <v>1580.0</v>
      </c>
      <c r="R45" s="190">
        <v>29.3</v>
      </c>
      <c r="S45" s="178">
        <f t="shared" si="9"/>
        <v>28.82</v>
      </c>
      <c r="T45" s="162">
        <f t="shared" si="10"/>
        <v>1</v>
      </c>
      <c r="U45" s="162">
        <f t="shared" si="11"/>
        <v>28.82</v>
      </c>
      <c r="V45" s="191">
        <f t="shared" si="12"/>
        <v>1584.818717</v>
      </c>
      <c r="W45" s="178">
        <f t="shared" ref="W45:X45" si="33">C45/100</f>
        <v>1.02</v>
      </c>
      <c r="X45" s="178">
        <f t="shared" si="33"/>
        <v>1.84</v>
      </c>
      <c r="Y45" s="178">
        <f t="shared" si="14"/>
        <v>28.82</v>
      </c>
      <c r="Z45" s="192">
        <f t="shared" si="15"/>
        <v>54.089376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18.0</v>
      </c>
      <c r="B46" s="193" t="s">
        <v>90</v>
      </c>
      <c r="C46" s="193">
        <v>104.0</v>
      </c>
      <c r="D46" s="193">
        <v>184.0</v>
      </c>
      <c r="E46" s="193">
        <v>2878.0</v>
      </c>
      <c r="F46" s="193">
        <f t="shared" si="5"/>
        <v>0</v>
      </c>
      <c r="G46" s="193">
        <f t="shared" si="6"/>
        <v>1613.650854</v>
      </c>
      <c r="H46" s="194">
        <f t="shared" si="7"/>
        <v>1613.650854</v>
      </c>
      <c r="I46" s="193">
        <v>1.0</v>
      </c>
      <c r="J46" s="195">
        <f t="shared" si="8"/>
        <v>1613.650854</v>
      </c>
      <c r="K46" s="139"/>
      <c r="L46" s="178">
        <f t="shared" si="17"/>
        <v>4.6736</v>
      </c>
      <c r="M46" s="162">
        <f t="shared" si="18"/>
        <v>1</v>
      </c>
      <c r="N46" s="162">
        <f t="shared" si="19"/>
        <v>4.6736</v>
      </c>
      <c r="O46" s="139"/>
      <c r="P46" s="139"/>
      <c r="Q46" s="178">
        <v>1610.0</v>
      </c>
      <c r="R46" s="190">
        <v>29.3</v>
      </c>
      <c r="S46" s="178">
        <f t="shared" si="9"/>
        <v>28.78</v>
      </c>
      <c r="T46" s="162">
        <f t="shared" si="10"/>
        <v>1</v>
      </c>
      <c r="U46" s="162">
        <f t="shared" si="11"/>
        <v>28.78</v>
      </c>
      <c r="V46" s="191">
        <f t="shared" si="12"/>
        <v>1613.650854</v>
      </c>
      <c r="W46" s="178">
        <f t="shared" ref="W46:X46" si="34">C46/100</f>
        <v>1.04</v>
      </c>
      <c r="X46" s="178">
        <f t="shared" si="34"/>
        <v>1.84</v>
      </c>
      <c r="Y46" s="178">
        <f t="shared" si="14"/>
        <v>28.78</v>
      </c>
      <c r="Z46" s="192">
        <f t="shared" si="15"/>
        <v>55.073408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19.0</v>
      </c>
      <c r="B47" s="193" t="s">
        <v>90</v>
      </c>
      <c r="C47" s="193">
        <v>103.0</v>
      </c>
      <c r="D47" s="193">
        <v>184.0</v>
      </c>
      <c r="E47" s="193">
        <v>2882.0</v>
      </c>
      <c r="F47" s="193">
        <f t="shared" si="5"/>
        <v>0</v>
      </c>
      <c r="G47" s="193">
        <f t="shared" si="6"/>
        <v>1600.356155</v>
      </c>
      <c r="H47" s="194">
        <f t="shared" si="7"/>
        <v>1600.356155</v>
      </c>
      <c r="I47" s="193">
        <v>1.0</v>
      </c>
      <c r="J47" s="195">
        <f t="shared" si="8"/>
        <v>1600.356155</v>
      </c>
      <c r="K47" s="139"/>
      <c r="L47" s="178">
        <f t="shared" si="17"/>
        <v>4.6736</v>
      </c>
      <c r="M47" s="162">
        <f t="shared" si="18"/>
        <v>1</v>
      </c>
      <c r="N47" s="162">
        <f t="shared" si="19"/>
        <v>4.6736</v>
      </c>
      <c r="O47" s="139"/>
      <c r="P47" s="139"/>
      <c r="Q47" s="178">
        <v>1595.0</v>
      </c>
      <c r="R47" s="190">
        <v>29.3</v>
      </c>
      <c r="S47" s="178">
        <f t="shared" si="9"/>
        <v>28.82</v>
      </c>
      <c r="T47" s="162">
        <f t="shared" si="10"/>
        <v>1</v>
      </c>
      <c r="U47" s="162">
        <f t="shared" si="11"/>
        <v>28.82</v>
      </c>
      <c r="V47" s="191">
        <f t="shared" si="12"/>
        <v>1600.356155</v>
      </c>
      <c r="W47" s="178">
        <f t="shared" ref="W47:X47" si="35">C47/100</f>
        <v>1.03</v>
      </c>
      <c r="X47" s="178">
        <f t="shared" si="35"/>
        <v>1.84</v>
      </c>
      <c r="Y47" s="178">
        <f t="shared" si="14"/>
        <v>28.82</v>
      </c>
      <c r="Z47" s="192">
        <f t="shared" si="15"/>
        <v>54.619664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20.0</v>
      </c>
      <c r="B48" s="193" t="s">
        <v>90</v>
      </c>
      <c r="C48" s="193">
        <v>103.0</v>
      </c>
      <c r="D48" s="193">
        <v>184.0</v>
      </c>
      <c r="E48" s="193">
        <v>2683.0</v>
      </c>
      <c r="F48" s="193">
        <f t="shared" si="5"/>
        <v>0</v>
      </c>
      <c r="G48" s="193">
        <f t="shared" si="6"/>
        <v>1489.852729</v>
      </c>
      <c r="H48" s="194">
        <f t="shared" si="7"/>
        <v>1489.852729</v>
      </c>
      <c r="I48" s="193">
        <v>1.0</v>
      </c>
      <c r="J48" s="195">
        <f t="shared" si="8"/>
        <v>1489.852729</v>
      </c>
      <c r="K48" s="139"/>
      <c r="L48" s="178">
        <f t="shared" si="17"/>
        <v>4.6736</v>
      </c>
      <c r="M48" s="162">
        <f t="shared" si="18"/>
        <v>1</v>
      </c>
      <c r="N48" s="162">
        <f t="shared" si="19"/>
        <v>4.6736</v>
      </c>
      <c r="O48" s="139"/>
      <c r="P48" s="139"/>
      <c r="Q48" s="178">
        <v>1510.0</v>
      </c>
      <c r="R48" s="190">
        <v>29.3</v>
      </c>
      <c r="S48" s="178">
        <f t="shared" si="9"/>
        <v>26.83</v>
      </c>
      <c r="T48" s="162">
        <f t="shared" si="10"/>
        <v>1</v>
      </c>
      <c r="U48" s="162">
        <f t="shared" si="11"/>
        <v>26.83</v>
      </c>
      <c r="V48" s="191">
        <f t="shared" si="12"/>
        <v>1489.852729</v>
      </c>
      <c r="W48" s="178">
        <f t="shared" ref="W48:X48" si="36">C48/100</f>
        <v>1.03</v>
      </c>
      <c r="X48" s="178">
        <f t="shared" si="36"/>
        <v>1.84</v>
      </c>
      <c r="Y48" s="178">
        <f t="shared" si="14"/>
        <v>26.83</v>
      </c>
      <c r="Z48" s="192">
        <f t="shared" si="15"/>
        <v>50.848216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21.0</v>
      </c>
      <c r="B49" s="193" t="s">
        <v>90</v>
      </c>
      <c r="C49" s="193">
        <v>103.0</v>
      </c>
      <c r="D49" s="193">
        <v>184.0</v>
      </c>
      <c r="E49" s="193">
        <v>2910.0</v>
      </c>
      <c r="F49" s="193">
        <f t="shared" si="5"/>
        <v>0</v>
      </c>
      <c r="G49" s="193">
        <f t="shared" si="6"/>
        <v>1615.904376</v>
      </c>
      <c r="H49" s="194">
        <f t="shared" si="7"/>
        <v>1615.904376</v>
      </c>
      <c r="I49" s="193">
        <v>1.0</v>
      </c>
      <c r="J49" s="195">
        <f t="shared" si="8"/>
        <v>1615.904376</v>
      </c>
      <c r="K49" s="139"/>
      <c r="L49" s="178">
        <f t="shared" si="17"/>
        <v>4.6736</v>
      </c>
      <c r="M49" s="162">
        <f t="shared" si="18"/>
        <v>1</v>
      </c>
      <c r="N49" s="162">
        <f t="shared" si="19"/>
        <v>4.6736</v>
      </c>
      <c r="O49" s="139"/>
      <c r="P49" s="139"/>
      <c r="Q49" s="178">
        <v>1610.0</v>
      </c>
      <c r="R49" s="190">
        <v>29.3</v>
      </c>
      <c r="S49" s="178">
        <f t="shared" si="9"/>
        <v>29.1</v>
      </c>
      <c r="T49" s="162">
        <f t="shared" si="10"/>
        <v>1</v>
      </c>
      <c r="U49" s="162">
        <f t="shared" si="11"/>
        <v>29.1</v>
      </c>
      <c r="V49" s="191">
        <f t="shared" si="12"/>
        <v>1615.904376</v>
      </c>
      <c r="W49" s="178">
        <f t="shared" ref="W49:X49" si="37">C49/100</f>
        <v>1.03</v>
      </c>
      <c r="X49" s="178">
        <f t="shared" si="37"/>
        <v>1.84</v>
      </c>
      <c r="Y49" s="178">
        <f t="shared" si="14"/>
        <v>29.1</v>
      </c>
      <c r="Z49" s="192">
        <f t="shared" si="15"/>
        <v>55.15032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22.0</v>
      </c>
      <c r="B50" s="183" t="s">
        <v>122</v>
      </c>
      <c r="C50" s="184">
        <v>84.0</v>
      </c>
      <c r="D50" s="184">
        <v>199.0</v>
      </c>
      <c r="E50" s="184">
        <v>182.0</v>
      </c>
      <c r="F50" s="184">
        <f t="shared" si="5"/>
        <v>0.8</v>
      </c>
      <c r="G50" s="184">
        <f t="shared" si="6"/>
        <v>82.142424</v>
      </c>
      <c r="H50" s="185">
        <f t="shared" si="7"/>
        <v>65.7139392</v>
      </c>
      <c r="I50" s="184">
        <v>1.0</v>
      </c>
      <c r="J50" s="186">
        <f t="shared" si="8"/>
        <v>65.7139392</v>
      </c>
      <c r="K50" s="187"/>
      <c r="L50" s="188">
        <f t="shared" si="17"/>
        <v>5.0546</v>
      </c>
      <c r="M50" s="189">
        <f t="shared" si="18"/>
        <v>1</v>
      </c>
      <c r="N50" s="189">
        <f t="shared" si="19"/>
        <v>5.0546</v>
      </c>
      <c r="O50" s="187"/>
      <c r="P50" s="187"/>
      <c r="Q50" s="188">
        <v>89.0</v>
      </c>
      <c r="R50" s="190">
        <v>27.0</v>
      </c>
      <c r="S50" s="178">
        <f t="shared" si="9"/>
        <v>1.82</v>
      </c>
      <c r="T50" s="162">
        <f t="shared" si="10"/>
        <v>1</v>
      </c>
      <c r="U50" s="162">
        <f t="shared" si="11"/>
        <v>1.82</v>
      </c>
      <c r="V50" s="191">
        <f t="shared" si="12"/>
        <v>82.142424</v>
      </c>
      <c r="W50" s="178">
        <f t="shared" ref="W50:X50" si="38">C50/100</f>
        <v>0.84</v>
      </c>
      <c r="X50" s="178">
        <f t="shared" si="38"/>
        <v>1.99</v>
      </c>
      <c r="Y50" s="178">
        <f t="shared" si="14"/>
        <v>1.82</v>
      </c>
      <c r="Z50" s="192">
        <f t="shared" si="15"/>
        <v>3.042312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23.0</v>
      </c>
      <c r="B51" s="193" t="s">
        <v>119</v>
      </c>
      <c r="C51" s="193">
        <v>101.0</v>
      </c>
      <c r="D51" s="193">
        <v>199.0</v>
      </c>
      <c r="E51" s="193">
        <v>204.0</v>
      </c>
      <c r="F51" s="193">
        <f t="shared" si="5"/>
        <v>0</v>
      </c>
      <c r="G51" s="193">
        <f t="shared" si="6"/>
        <v>110.705292</v>
      </c>
      <c r="H51" s="194">
        <f t="shared" si="7"/>
        <v>110.705292</v>
      </c>
      <c r="I51" s="193">
        <v>1.0</v>
      </c>
      <c r="J51" s="195">
        <f t="shared" si="8"/>
        <v>110.705292</v>
      </c>
      <c r="K51" s="139"/>
      <c r="L51" s="178">
        <f t="shared" si="17"/>
        <v>5.0546</v>
      </c>
      <c r="M51" s="162">
        <f t="shared" si="18"/>
        <v>1</v>
      </c>
      <c r="N51" s="162">
        <f t="shared" si="19"/>
        <v>5.0546</v>
      </c>
      <c r="O51" s="139"/>
      <c r="P51" s="139"/>
      <c r="Q51" s="178">
        <v>114.0</v>
      </c>
      <c r="R51" s="190">
        <v>27.0</v>
      </c>
      <c r="S51" s="178">
        <f t="shared" si="9"/>
        <v>2.04</v>
      </c>
      <c r="T51" s="162">
        <f t="shared" si="10"/>
        <v>1</v>
      </c>
      <c r="U51" s="162">
        <f t="shared" si="11"/>
        <v>2.04</v>
      </c>
      <c r="V51" s="191">
        <f t="shared" si="12"/>
        <v>110.705292</v>
      </c>
      <c r="W51" s="178">
        <f t="shared" ref="W51:X51" si="39">C51/100</f>
        <v>1.01</v>
      </c>
      <c r="X51" s="178">
        <f t="shared" si="39"/>
        <v>1.99</v>
      </c>
      <c r="Y51" s="178">
        <f t="shared" si="14"/>
        <v>2.04</v>
      </c>
      <c r="Z51" s="192">
        <f t="shared" si="15"/>
        <v>4.100196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24.0</v>
      </c>
      <c r="B52" s="193" t="s">
        <v>119</v>
      </c>
      <c r="C52" s="193">
        <v>102.0</v>
      </c>
      <c r="D52" s="193">
        <v>199.0</v>
      </c>
      <c r="E52" s="193">
        <v>160.0</v>
      </c>
      <c r="F52" s="193">
        <f t="shared" si="5"/>
        <v>0</v>
      </c>
      <c r="G52" s="193">
        <f t="shared" si="6"/>
        <v>87.68736</v>
      </c>
      <c r="H52" s="194">
        <f t="shared" si="7"/>
        <v>87.68736</v>
      </c>
      <c r="I52" s="193">
        <v>1.0</v>
      </c>
      <c r="J52" s="195">
        <f t="shared" si="8"/>
        <v>87.68736</v>
      </c>
      <c r="K52" s="139"/>
      <c r="L52" s="178">
        <f t="shared" si="17"/>
        <v>5.0546</v>
      </c>
      <c r="M52" s="162">
        <f t="shared" si="18"/>
        <v>1</v>
      </c>
      <c r="N52" s="162">
        <f t="shared" si="19"/>
        <v>5.0546</v>
      </c>
      <c r="O52" s="139"/>
      <c r="P52" s="139"/>
      <c r="Q52" s="178">
        <v>88.0</v>
      </c>
      <c r="R52" s="190">
        <v>27.0</v>
      </c>
      <c r="S52" s="178">
        <f t="shared" si="9"/>
        <v>1.6</v>
      </c>
      <c r="T52" s="162">
        <f t="shared" si="10"/>
        <v>1</v>
      </c>
      <c r="U52" s="162">
        <f t="shared" si="11"/>
        <v>1.6</v>
      </c>
      <c r="V52" s="191">
        <f t="shared" si="12"/>
        <v>87.68736</v>
      </c>
      <c r="W52" s="178">
        <f t="shared" ref="W52:X52" si="40">C52/100</f>
        <v>1.02</v>
      </c>
      <c r="X52" s="178">
        <f t="shared" si="40"/>
        <v>1.99</v>
      </c>
      <c r="Y52" s="178">
        <f t="shared" si="14"/>
        <v>1.6</v>
      </c>
      <c r="Z52" s="192">
        <f t="shared" si="15"/>
        <v>3.24768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25.0</v>
      </c>
      <c r="B53" s="193" t="s">
        <v>119</v>
      </c>
      <c r="C53" s="193">
        <v>98.0</v>
      </c>
      <c r="D53" s="193">
        <v>199.0</v>
      </c>
      <c r="E53" s="193">
        <v>2870.0</v>
      </c>
      <c r="F53" s="193">
        <f t="shared" si="5"/>
        <v>0</v>
      </c>
      <c r="G53" s="193">
        <f t="shared" si="6"/>
        <v>1511.20998</v>
      </c>
      <c r="H53" s="194">
        <f t="shared" si="7"/>
        <v>1511.20998</v>
      </c>
      <c r="I53" s="193">
        <v>1.0</v>
      </c>
      <c r="J53" s="195">
        <f t="shared" si="8"/>
        <v>1511.20998</v>
      </c>
      <c r="K53" s="139"/>
      <c r="L53" s="178">
        <f t="shared" si="17"/>
        <v>5.0546</v>
      </c>
      <c r="M53" s="162">
        <f t="shared" si="18"/>
        <v>1</v>
      </c>
      <c r="N53" s="162">
        <f t="shared" si="19"/>
        <v>5.0546</v>
      </c>
      <c r="O53" s="139"/>
      <c r="P53" s="139"/>
      <c r="Q53" s="178">
        <v>1530.0</v>
      </c>
      <c r="R53" s="190">
        <v>27.0</v>
      </c>
      <c r="S53" s="178">
        <f t="shared" si="9"/>
        <v>28.7</v>
      </c>
      <c r="T53" s="162">
        <f t="shared" si="10"/>
        <v>1</v>
      </c>
      <c r="U53" s="162">
        <f t="shared" si="11"/>
        <v>28.7</v>
      </c>
      <c r="V53" s="191">
        <f t="shared" si="12"/>
        <v>1511.20998</v>
      </c>
      <c r="W53" s="178">
        <f t="shared" ref="W53:X53" si="41">C53/100</f>
        <v>0.98</v>
      </c>
      <c r="X53" s="178">
        <f t="shared" si="41"/>
        <v>1.99</v>
      </c>
      <c r="Y53" s="178">
        <f t="shared" si="14"/>
        <v>28.7</v>
      </c>
      <c r="Z53" s="192">
        <f t="shared" si="15"/>
        <v>55.97074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26.0</v>
      </c>
      <c r="B54" s="193" t="s">
        <v>119</v>
      </c>
      <c r="C54" s="193">
        <v>98.0</v>
      </c>
      <c r="D54" s="193">
        <v>199.0</v>
      </c>
      <c r="E54" s="193">
        <v>2871.0</v>
      </c>
      <c r="F54" s="193">
        <f t="shared" si="5"/>
        <v>0</v>
      </c>
      <c r="G54" s="193">
        <f t="shared" si="6"/>
        <v>1511.736534</v>
      </c>
      <c r="H54" s="194">
        <f t="shared" si="7"/>
        <v>1511.736534</v>
      </c>
      <c r="I54" s="193">
        <v>1.0</v>
      </c>
      <c r="J54" s="195">
        <f t="shared" si="8"/>
        <v>1511.736534</v>
      </c>
      <c r="K54" s="139"/>
      <c r="L54" s="197"/>
      <c r="M54" s="198">
        <f t="shared" si="18"/>
        <v>1</v>
      </c>
      <c r="N54" s="198"/>
      <c r="O54" s="139"/>
      <c r="P54" s="139"/>
      <c r="Q54" s="178">
        <v>1540.0</v>
      </c>
      <c r="R54" s="190">
        <v>27.0</v>
      </c>
      <c r="S54" s="178">
        <f t="shared" si="9"/>
        <v>28.71</v>
      </c>
      <c r="T54" s="162">
        <f t="shared" si="10"/>
        <v>1</v>
      </c>
      <c r="U54" s="162">
        <f t="shared" si="11"/>
        <v>28.71</v>
      </c>
      <c r="V54" s="191">
        <f t="shared" si="12"/>
        <v>1511.736534</v>
      </c>
      <c r="W54" s="178">
        <f t="shared" ref="W54:X54" si="42">C54/100</f>
        <v>0.98</v>
      </c>
      <c r="X54" s="178">
        <f t="shared" si="42"/>
        <v>1.99</v>
      </c>
      <c r="Y54" s="178">
        <f t="shared" si="14"/>
        <v>28.71</v>
      </c>
      <c r="Z54" s="192">
        <f t="shared" si="15"/>
        <v>55.990242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27.0</v>
      </c>
      <c r="B55" s="193" t="s">
        <v>119</v>
      </c>
      <c r="C55" s="193">
        <v>101.0</v>
      </c>
      <c r="D55" s="193">
        <v>199.0</v>
      </c>
      <c r="E55" s="193">
        <v>2880.0</v>
      </c>
      <c r="F55" s="193">
        <f t="shared" si="5"/>
        <v>0</v>
      </c>
      <c r="G55" s="193">
        <f t="shared" si="6"/>
        <v>1562.89824</v>
      </c>
      <c r="H55" s="194">
        <f t="shared" si="7"/>
        <v>1562.89824</v>
      </c>
      <c r="I55" s="193">
        <v>1.0</v>
      </c>
      <c r="J55" s="195">
        <f t="shared" si="8"/>
        <v>1562.89824</v>
      </c>
      <c r="K55" s="139"/>
      <c r="L55" s="197"/>
      <c r="M55" s="198">
        <f t="shared" si="18"/>
        <v>1</v>
      </c>
      <c r="N55" s="198"/>
      <c r="O55" s="139"/>
      <c r="P55" s="139"/>
      <c r="Q55" s="178">
        <v>1570.0</v>
      </c>
      <c r="R55" s="190">
        <v>27.0</v>
      </c>
      <c r="S55" s="178">
        <f t="shared" si="9"/>
        <v>28.8</v>
      </c>
      <c r="T55" s="162">
        <f t="shared" si="10"/>
        <v>1</v>
      </c>
      <c r="U55" s="162">
        <f t="shared" si="11"/>
        <v>28.8</v>
      </c>
      <c r="V55" s="191">
        <f t="shared" si="12"/>
        <v>1562.89824</v>
      </c>
      <c r="W55" s="178">
        <f t="shared" ref="W55:X55" si="43">C55/100</f>
        <v>1.01</v>
      </c>
      <c r="X55" s="178">
        <f t="shared" si="43"/>
        <v>1.99</v>
      </c>
      <c r="Y55" s="178">
        <f t="shared" si="14"/>
        <v>28.8</v>
      </c>
      <c r="Z55" s="192">
        <f t="shared" si="15"/>
        <v>57.88512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28.0</v>
      </c>
      <c r="B56" s="183" t="s">
        <v>63</v>
      </c>
      <c r="C56" s="184">
        <v>90.0</v>
      </c>
      <c r="D56" s="184">
        <v>202.0</v>
      </c>
      <c r="E56" s="184">
        <v>172.0</v>
      </c>
      <c r="F56" s="184">
        <f t="shared" si="5"/>
        <v>0.8</v>
      </c>
      <c r="G56" s="184">
        <f t="shared" si="6"/>
        <v>93.8088</v>
      </c>
      <c r="H56" s="185">
        <f t="shared" si="7"/>
        <v>75.04704</v>
      </c>
      <c r="I56" s="184">
        <v>1.0</v>
      </c>
      <c r="J56" s="186">
        <f t="shared" si="8"/>
        <v>75.04704</v>
      </c>
      <c r="K56" s="187"/>
      <c r="L56" s="188"/>
      <c r="M56" s="189">
        <f t="shared" si="18"/>
        <v>1</v>
      </c>
      <c r="N56" s="189"/>
      <c r="O56" s="187"/>
      <c r="P56" s="187"/>
      <c r="Q56" s="188">
        <v>95.0</v>
      </c>
      <c r="R56" s="190">
        <v>30.0</v>
      </c>
      <c r="S56" s="178">
        <f t="shared" si="9"/>
        <v>1.72</v>
      </c>
      <c r="T56" s="162">
        <f t="shared" si="10"/>
        <v>1</v>
      </c>
      <c r="U56" s="162">
        <f t="shared" si="11"/>
        <v>1.72</v>
      </c>
      <c r="V56" s="191">
        <f t="shared" si="12"/>
        <v>93.8088</v>
      </c>
      <c r="W56" s="178">
        <f t="shared" ref="W56:X56" si="44">C56/100</f>
        <v>0.9</v>
      </c>
      <c r="X56" s="178">
        <f t="shared" si="44"/>
        <v>2.02</v>
      </c>
      <c r="Y56" s="178">
        <f t="shared" si="14"/>
        <v>1.72</v>
      </c>
      <c r="Z56" s="192">
        <f t="shared" si="15"/>
        <v>3.12696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29.0</v>
      </c>
      <c r="B57" s="193" t="s">
        <v>55</v>
      </c>
      <c r="C57" s="193">
        <v>100.0</v>
      </c>
      <c r="D57" s="193">
        <v>202.0</v>
      </c>
      <c r="E57" s="193">
        <v>203.0</v>
      </c>
      <c r="F57" s="193">
        <f t="shared" si="5"/>
        <v>0</v>
      </c>
      <c r="G57" s="193">
        <f t="shared" si="6"/>
        <v>123.018</v>
      </c>
      <c r="H57" s="194">
        <f t="shared" si="7"/>
        <v>123.018</v>
      </c>
      <c r="I57" s="193">
        <v>1.0</v>
      </c>
      <c r="J57" s="195">
        <f t="shared" si="8"/>
        <v>123.018</v>
      </c>
      <c r="K57" s="139"/>
      <c r="L57" s="197"/>
      <c r="M57" s="198">
        <f t="shared" si="18"/>
        <v>1</v>
      </c>
      <c r="N57" s="198"/>
      <c r="O57" s="139"/>
      <c r="P57" s="139"/>
      <c r="Q57" s="178">
        <v>124.0</v>
      </c>
      <c r="R57" s="190">
        <v>30.0</v>
      </c>
      <c r="S57" s="178">
        <f t="shared" si="9"/>
        <v>2.03</v>
      </c>
      <c r="T57" s="162">
        <f t="shared" si="10"/>
        <v>1</v>
      </c>
      <c r="U57" s="162">
        <f t="shared" si="11"/>
        <v>2.03</v>
      </c>
      <c r="V57" s="191">
        <f t="shared" si="12"/>
        <v>123.018</v>
      </c>
      <c r="W57" s="178">
        <f t="shared" ref="W57:X57" si="45">C57/100</f>
        <v>1</v>
      </c>
      <c r="X57" s="178">
        <f t="shared" si="45"/>
        <v>2.02</v>
      </c>
      <c r="Y57" s="178">
        <f t="shared" si="14"/>
        <v>2.03</v>
      </c>
      <c r="Z57" s="192">
        <f t="shared" si="15"/>
        <v>4.1006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30.0</v>
      </c>
      <c r="B58" s="193" t="s">
        <v>55</v>
      </c>
      <c r="C58" s="193">
        <v>100.0</v>
      </c>
      <c r="D58" s="193">
        <v>202.0</v>
      </c>
      <c r="E58" s="193">
        <v>2885.0</v>
      </c>
      <c r="F58" s="193">
        <f t="shared" si="5"/>
        <v>0</v>
      </c>
      <c r="G58" s="193">
        <f t="shared" si="6"/>
        <v>1748.31</v>
      </c>
      <c r="H58" s="194">
        <f t="shared" si="7"/>
        <v>1748.31</v>
      </c>
      <c r="I58" s="193">
        <v>1.0</v>
      </c>
      <c r="J58" s="195">
        <f t="shared" si="8"/>
        <v>1748.31</v>
      </c>
      <c r="K58" s="139"/>
      <c r="L58" s="197"/>
      <c r="M58" s="198">
        <f t="shared" si="18"/>
        <v>1</v>
      </c>
      <c r="N58" s="198"/>
      <c r="O58" s="139"/>
      <c r="P58" s="139"/>
      <c r="Q58" s="178">
        <v>1750.0</v>
      </c>
      <c r="R58" s="190">
        <v>30.0</v>
      </c>
      <c r="S58" s="178">
        <f t="shared" si="9"/>
        <v>28.85</v>
      </c>
      <c r="T58" s="162">
        <f t="shared" si="10"/>
        <v>1</v>
      </c>
      <c r="U58" s="162">
        <f t="shared" si="11"/>
        <v>28.85</v>
      </c>
      <c r="V58" s="191">
        <f t="shared" si="12"/>
        <v>1748.31</v>
      </c>
      <c r="W58" s="178">
        <f t="shared" ref="W58:X58" si="46">C58/100</f>
        <v>1</v>
      </c>
      <c r="X58" s="178">
        <f t="shared" si="46"/>
        <v>2.02</v>
      </c>
      <c r="Y58" s="178">
        <f t="shared" si="14"/>
        <v>28.85</v>
      </c>
      <c r="Z58" s="192">
        <f t="shared" si="15"/>
        <v>58.277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31.0</v>
      </c>
      <c r="B59" s="193" t="s">
        <v>55</v>
      </c>
      <c r="C59" s="193">
        <v>100.0</v>
      </c>
      <c r="D59" s="193">
        <v>202.0</v>
      </c>
      <c r="E59" s="193">
        <v>2885.0</v>
      </c>
      <c r="F59" s="193">
        <f t="shared" si="5"/>
        <v>0</v>
      </c>
      <c r="G59" s="193">
        <f t="shared" si="6"/>
        <v>1748.31</v>
      </c>
      <c r="H59" s="194">
        <f t="shared" si="7"/>
        <v>1748.31</v>
      </c>
      <c r="I59" s="193">
        <v>1.0</v>
      </c>
      <c r="J59" s="195">
        <f t="shared" si="8"/>
        <v>1748.31</v>
      </c>
      <c r="K59" s="139"/>
      <c r="L59" s="197"/>
      <c r="M59" s="198">
        <f t="shared" si="18"/>
        <v>1</v>
      </c>
      <c r="N59" s="198"/>
      <c r="O59" s="139"/>
      <c r="P59" s="139"/>
      <c r="Q59" s="178">
        <v>1750.0</v>
      </c>
      <c r="R59" s="190">
        <v>30.0</v>
      </c>
      <c r="S59" s="178">
        <f t="shared" si="9"/>
        <v>28.85</v>
      </c>
      <c r="T59" s="162">
        <f t="shared" si="10"/>
        <v>1</v>
      </c>
      <c r="U59" s="162">
        <f t="shared" si="11"/>
        <v>28.85</v>
      </c>
      <c r="V59" s="191">
        <f t="shared" si="12"/>
        <v>1748.31</v>
      </c>
      <c r="W59" s="178">
        <f t="shared" ref="W59:X59" si="47">C59/100</f>
        <v>1</v>
      </c>
      <c r="X59" s="178">
        <f t="shared" si="47"/>
        <v>2.02</v>
      </c>
      <c r="Y59" s="178">
        <f t="shared" si="14"/>
        <v>28.85</v>
      </c>
      <c r="Z59" s="192">
        <f t="shared" si="15"/>
        <v>58.277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32.0</v>
      </c>
      <c r="B60" s="193" t="s">
        <v>55</v>
      </c>
      <c r="C60" s="193">
        <v>98.0</v>
      </c>
      <c r="D60" s="193">
        <v>202.0</v>
      </c>
      <c r="E60" s="193">
        <v>2714.0</v>
      </c>
      <c r="F60" s="193">
        <f t="shared" si="5"/>
        <v>0</v>
      </c>
      <c r="G60" s="193">
        <f t="shared" si="6"/>
        <v>1611.79032</v>
      </c>
      <c r="H60" s="194">
        <f t="shared" si="7"/>
        <v>1611.79032</v>
      </c>
      <c r="I60" s="193">
        <v>1.0</v>
      </c>
      <c r="J60" s="195">
        <f t="shared" si="8"/>
        <v>1611.79032</v>
      </c>
      <c r="K60" s="139"/>
      <c r="L60" s="197"/>
      <c r="M60" s="198">
        <f t="shared" si="18"/>
        <v>1</v>
      </c>
      <c r="N60" s="198"/>
      <c r="O60" s="139"/>
      <c r="P60" s="139"/>
      <c r="Q60" s="178">
        <v>1610.0</v>
      </c>
      <c r="R60" s="190">
        <v>30.0</v>
      </c>
      <c r="S60" s="178">
        <f t="shared" si="9"/>
        <v>27.14</v>
      </c>
      <c r="T60" s="162">
        <f t="shared" si="10"/>
        <v>1</v>
      </c>
      <c r="U60" s="162">
        <f t="shared" si="11"/>
        <v>27.14</v>
      </c>
      <c r="V60" s="191">
        <f t="shared" si="12"/>
        <v>1611.79032</v>
      </c>
      <c r="W60" s="178">
        <f t="shared" ref="W60:X60" si="48">C60/100</f>
        <v>0.98</v>
      </c>
      <c r="X60" s="178">
        <f t="shared" si="48"/>
        <v>2.02</v>
      </c>
      <c r="Y60" s="178">
        <f t="shared" si="14"/>
        <v>27.14</v>
      </c>
      <c r="Z60" s="192">
        <f t="shared" si="15"/>
        <v>53.726344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33.0</v>
      </c>
      <c r="B61" s="193" t="s">
        <v>55</v>
      </c>
      <c r="C61" s="193">
        <v>98.0</v>
      </c>
      <c r="D61" s="193">
        <v>202.0</v>
      </c>
      <c r="E61" s="193">
        <v>2714.0</v>
      </c>
      <c r="F61" s="193">
        <f t="shared" si="5"/>
        <v>0</v>
      </c>
      <c r="G61" s="193">
        <f t="shared" si="6"/>
        <v>1611.79032</v>
      </c>
      <c r="H61" s="194">
        <f t="shared" si="7"/>
        <v>1611.79032</v>
      </c>
      <c r="I61" s="193">
        <v>1.0</v>
      </c>
      <c r="J61" s="195">
        <f t="shared" si="8"/>
        <v>1611.79032</v>
      </c>
      <c r="K61" s="139"/>
      <c r="L61" s="197"/>
      <c r="M61" s="198">
        <f t="shared" si="18"/>
        <v>1</v>
      </c>
      <c r="N61" s="198"/>
      <c r="O61" s="139"/>
      <c r="P61" s="139"/>
      <c r="Q61" s="178">
        <v>1610.0</v>
      </c>
      <c r="R61" s="190">
        <v>30.0</v>
      </c>
      <c r="S61" s="178">
        <f t="shared" si="9"/>
        <v>27.14</v>
      </c>
      <c r="T61" s="162">
        <f t="shared" si="10"/>
        <v>1</v>
      </c>
      <c r="U61" s="162">
        <f t="shared" si="11"/>
        <v>27.14</v>
      </c>
      <c r="V61" s="191">
        <f t="shared" si="12"/>
        <v>1611.79032</v>
      </c>
      <c r="W61" s="178">
        <f t="shared" ref="W61:X61" si="49">C61/100</f>
        <v>0.98</v>
      </c>
      <c r="X61" s="178">
        <f t="shared" si="49"/>
        <v>2.02</v>
      </c>
      <c r="Y61" s="178">
        <f t="shared" si="14"/>
        <v>27.14</v>
      </c>
      <c r="Z61" s="192">
        <f t="shared" si="15"/>
        <v>53.726344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34.0</v>
      </c>
      <c r="B62" s="183" t="s">
        <v>164</v>
      </c>
      <c r="C62" s="193">
        <v>98.0</v>
      </c>
      <c r="D62" s="193">
        <v>223.0</v>
      </c>
      <c r="E62" s="193">
        <v>1230.0</v>
      </c>
      <c r="F62" s="193">
        <f t="shared" si="5"/>
        <v>0.8</v>
      </c>
      <c r="G62" s="193">
        <f t="shared" si="6"/>
        <v>556.424694</v>
      </c>
      <c r="H62" s="194">
        <f t="shared" si="7"/>
        <v>445.1397552</v>
      </c>
      <c r="I62" s="193">
        <v>1.0</v>
      </c>
      <c r="J62" s="195">
        <f t="shared" si="8"/>
        <v>445.1397552</v>
      </c>
      <c r="K62" s="139"/>
      <c r="L62" s="197"/>
      <c r="M62" s="198">
        <f t="shared" si="18"/>
        <v>1</v>
      </c>
      <c r="N62" s="198"/>
      <c r="O62" s="139"/>
      <c r="P62" s="139"/>
      <c r="Q62" s="178">
        <v>570.0</v>
      </c>
      <c r="R62" s="190">
        <v>20.7</v>
      </c>
      <c r="S62" s="178">
        <f t="shared" si="9"/>
        <v>12.3</v>
      </c>
      <c r="T62" s="162">
        <f t="shared" si="10"/>
        <v>1</v>
      </c>
      <c r="U62" s="162">
        <f t="shared" si="11"/>
        <v>12.3</v>
      </c>
      <c r="V62" s="191">
        <f t="shared" si="12"/>
        <v>556.424694</v>
      </c>
      <c r="W62" s="178">
        <f t="shared" ref="W62:X62" si="50">C62/100</f>
        <v>0.98</v>
      </c>
      <c r="X62" s="178">
        <f t="shared" si="50"/>
        <v>2.23</v>
      </c>
      <c r="Y62" s="178">
        <f t="shared" si="14"/>
        <v>12.3</v>
      </c>
      <c r="Z62" s="192">
        <f t="shared" si="15"/>
        <v>26.88042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2">
        <v>35.0</v>
      </c>
      <c r="B63" s="193" t="s">
        <v>106</v>
      </c>
      <c r="C63" s="193">
        <v>97.0</v>
      </c>
      <c r="D63" s="193">
        <v>223.0</v>
      </c>
      <c r="E63" s="193">
        <v>2872.0</v>
      </c>
      <c r="F63" s="193">
        <f t="shared" si="5"/>
        <v>0</v>
      </c>
      <c r="G63" s="193">
        <f t="shared" si="6"/>
        <v>1285.971602</v>
      </c>
      <c r="H63" s="194">
        <f t="shared" si="7"/>
        <v>1285.971602</v>
      </c>
      <c r="I63" s="193">
        <v>1.0</v>
      </c>
      <c r="J63" s="195">
        <f t="shared" si="8"/>
        <v>1285.971602</v>
      </c>
      <c r="K63" s="139"/>
      <c r="L63" s="197"/>
      <c r="M63" s="198">
        <f t="shared" si="18"/>
        <v>1</v>
      </c>
      <c r="N63" s="198"/>
      <c r="O63" s="139"/>
      <c r="P63" s="139"/>
      <c r="Q63" s="178">
        <v>1295.0</v>
      </c>
      <c r="R63" s="190">
        <v>20.7</v>
      </c>
      <c r="S63" s="178">
        <f t="shared" si="9"/>
        <v>28.72</v>
      </c>
      <c r="T63" s="162">
        <f t="shared" si="10"/>
        <v>1</v>
      </c>
      <c r="U63" s="162">
        <f t="shared" si="11"/>
        <v>28.72</v>
      </c>
      <c r="V63" s="191">
        <f t="shared" si="12"/>
        <v>1285.971602</v>
      </c>
      <c r="W63" s="178">
        <f t="shared" ref="W63:X63" si="51">C63/100</f>
        <v>0.97</v>
      </c>
      <c r="X63" s="178">
        <f t="shared" si="51"/>
        <v>2.23</v>
      </c>
      <c r="Y63" s="178">
        <f t="shared" si="14"/>
        <v>28.72</v>
      </c>
      <c r="Z63" s="192">
        <f t="shared" si="15"/>
        <v>62.124232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2">
        <v>36.0</v>
      </c>
      <c r="B64" s="183" t="s">
        <v>102</v>
      </c>
      <c r="C64" s="184">
        <v>68.0</v>
      </c>
      <c r="D64" s="184">
        <v>223.0</v>
      </c>
      <c r="E64" s="184">
        <v>190.0</v>
      </c>
      <c r="F64" s="184">
        <f t="shared" si="5"/>
        <v>0.8</v>
      </c>
      <c r="G64" s="184">
        <f t="shared" si="6"/>
        <v>61.368708</v>
      </c>
      <c r="H64" s="185">
        <f t="shared" si="7"/>
        <v>49.0949664</v>
      </c>
      <c r="I64" s="184">
        <v>1.0</v>
      </c>
      <c r="J64" s="186">
        <f t="shared" si="8"/>
        <v>49.0949664</v>
      </c>
      <c r="K64" s="187"/>
      <c r="L64" s="188"/>
      <c r="M64" s="189">
        <f t="shared" si="18"/>
        <v>1</v>
      </c>
      <c r="N64" s="189"/>
      <c r="O64" s="187"/>
      <c r="P64" s="187"/>
      <c r="Q64" s="188">
        <v>72.0</v>
      </c>
      <c r="R64" s="190">
        <v>21.3</v>
      </c>
      <c r="S64" s="178">
        <f t="shared" si="9"/>
        <v>1.9</v>
      </c>
      <c r="T64" s="162">
        <f t="shared" si="10"/>
        <v>1</v>
      </c>
      <c r="U64" s="162">
        <f t="shared" si="11"/>
        <v>1.9</v>
      </c>
      <c r="V64" s="191">
        <f t="shared" si="12"/>
        <v>61.368708</v>
      </c>
      <c r="W64" s="178">
        <f t="shared" ref="W64:X64" si="52">C64/100</f>
        <v>0.68</v>
      </c>
      <c r="X64" s="178">
        <f t="shared" si="52"/>
        <v>2.23</v>
      </c>
      <c r="Y64" s="178">
        <f t="shared" si="14"/>
        <v>1.9</v>
      </c>
      <c r="Z64" s="192">
        <f t="shared" si="15"/>
        <v>2.88116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2">
        <v>37.0</v>
      </c>
      <c r="B65" s="193" t="s">
        <v>100</v>
      </c>
      <c r="C65" s="193">
        <v>98.0</v>
      </c>
      <c r="D65" s="193">
        <v>223.0</v>
      </c>
      <c r="E65" s="193">
        <v>194.0</v>
      </c>
      <c r="F65" s="193">
        <f t="shared" si="5"/>
        <v>0</v>
      </c>
      <c r="G65" s="193">
        <f t="shared" si="6"/>
        <v>90.3050988</v>
      </c>
      <c r="H65" s="194">
        <f t="shared" si="7"/>
        <v>90.3050988</v>
      </c>
      <c r="I65" s="193">
        <v>1.0</v>
      </c>
      <c r="J65" s="195">
        <f t="shared" si="8"/>
        <v>90.3050988</v>
      </c>
      <c r="K65" s="139"/>
      <c r="L65" s="197"/>
      <c r="M65" s="198">
        <f t="shared" si="18"/>
        <v>1</v>
      </c>
      <c r="N65" s="198"/>
      <c r="O65" s="139"/>
      <c r="P65" s="139"/>
      <c r="Q65" s="178">
        <v>90.0</v>
      </c>
      <c r="R65" s="190">
        <v>21.3</v>
      </c>
      <c r="S65" s="178">
        <f t="shared" si="9"/>
        <v>1.94</v>
      </c>
      <c r="T65" s="162">
        <f t="shared" si="10"/>
        <v>1</v>
      </c>
      <c r="U65" s="162">
        <f t="shared" si="11"/>
        <v>1.94</v>
      </c>
      <c r="V65" s="191">
        <f t="shared" si="12"/>
        <v>90.3050988</v>
      </c>
      <c r="W65" s="178">
        <f t="shared" ref="W65:X65" si="53">C65/100</f>
        <v>0.98</v>
      </c>
      <c r="X65" s="178">
        <f t="shared" si="53"/>
        <v>2.23</v>
      </c>
      <c r="Y65" s="178">
        <f t="shared" si="14"/>
        <v>1.94</v>
      </c>
      <c r="Z65" s="192">
        <f t="shared" si="15"/>
        <v>4.239676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2">
        <v>38.0</v>
      </c>
      <c r="B66" s="193" t="s">
        <v>100</v>
      </c>
      <c r="C66" s="193">
        <v>100.0</v>
      </c>
      <c r="D66" s="193">
        <v>223.0</v>
      </c>
      <c r="E66" s="193">
        <v>2886.0</v>
      </c>
      <c r="F66" s="193">
        <f t="shared" si="5"/>
        <v>0</v>
      </c>
      <c r="G66" s="193">
        <f t="shared" si="6"/>
        <v>1370.82114</v>
      </c>
      <c r="H66" s="194">
        <f t="shared" si="7"/>
        <v>1370.82114</v>
      </c>
      <c r="I66" s="193">
        <v>1.0</v>
      </c>
      <c r="J66" s="195">
        <f t="shared" si="8"/>
        <v>1370.82114</v>
      </c>
      <c r="K66" s="139"/>
      <c r="L66" s="197"/>
      <c r="M66" s="198">
        <f t="shared" si="18"/>
        <v>1</v>
      </c>
      <c r="N66" s="198"/>
      <c r="O66" s="139"/>
      <c r="P66" s="139"/>
      <c r="Q66" s="178">
        <v>1370.0</v>
      </c>
      <c r="R66" s="190">
        <v>21.3</v>
      </c>
      <c r="S66" s="178">
        <f t="shared" si="9"/>
        <v>28.86</v>
      </c>
      <c r="T66" s="162">
        <f t="shared" si="10"/>
        <v>1</v>
      </c>
      <c r="U66" s="162">
        <f t="shared" si="11"/>
        <v>28.86</v>
      </c>
      <c r="V66" s="191">
        <f t="shared" si="12"/>
        <v>1370.82114</v>
      </c>
      <c r="W66" s="178">
        <f t="shared" ref="W66:X66" si="54">C66/100</f>
        <v>1</v>
      </c>
      <c r="X66" s="178">
        <f t="shared" si="54"/>
        <v>2.23</v>
      </c>
      <c r="Y66" s="178">
        <f t="shared" si="14"/>
        <v>28.86</v>
      </c>
      <c r="Z66" s="192">
        <f t="shared" si="15"/>
        <v>64.3578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2">
        <v>39.0</v>
      </c>
      <c r="B67" s="193" t="s">
        <v>100</v>
      </c>
      <c r="C67" s="193">
        <v>99.0</v>
      </c>
      <c r="D67" s="193">
        <v>223.0</v>
      </c>
      <c r="E67" s="193">
        <v>2873.0</v>
      </c>
      <c r="F67" s="193">
        <f t="shared" si="5"/>
        <v>0</v>
      </c>
      <c r="G67" s="193">
        <f t="shared" si="6"/>
        <v>1350.999807</v>
      </c>
      <c r="H67" s="194">
        <f t="shared" si="7"/>
        <v>1350.999807</v>
      </c>
      <c r="I67" s="193">
        <v>1.0</v>
      </c>
      <c r="J67" s="195">
        <f t="shared" si="8"/>
        <v>1350.999807</v>
      </c>
      <c r="K67" s="139"/>
      <c r="L67" s="197"/>
      <c r="M67" s="198"/>
      <c r="N67" s="198"/>
      <c r="O67" s="139"/>
      <c r="P67" s="139"/>
      <c r="Q67" s="178">
        <v>1350.0</v>
      </c>
      <c r="R67" s="190">
        <v>21.3</v>
      </c>
      <c r="S67" s="178">
        <f t="shared" si="9"/>
        <v>28.73</v>
      </c>
      <c r="T67" s="162">
        <f t="shared" si="10"/>
        <v>1</v>
      </c>
      <c r="U67" s="162">
        <f t="shared" si="11"/>
        <v>28.73</v>
      </c>
      <c r="V67" s="191">
        <f t="shared" si="12"/>
        <v>1350.999807</v>
      </c>
      <c r="W67" s="178">
        <f t="shared" ref="W67:X67" si="55">C67/100</f>
        <v>0.99</v>
      </c>
      <c r="X67" s="178">
        <f t="shared" si="55"/>
        <v>2.23</v>
      </c>
      <c r="Y67" s="178">
        <f t="shared" si="14"/>
        <v>28.73</v>
      </c>
      <c r="Z67" s="192">
        <f t="shared" si="15"/>
        <v>63.427221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2">
        <v>101.0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6">C68/100</f>
        <v>0</v>
      </c>
      <c r="X68" s="199">
        <f t="shared" si="56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2">
        <v>102.0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7">C69/100</f>
        <v>0</v>
      </c>
      <c r="X69" s="199">
        <f t="shared" si="57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2">
        <v>103.0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8">C70/100</f>
        <v>0</v>
      </c>
      <c r="X70" s="199">
        <f t="shared" si="58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2">
        <v>104.0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59">C71/100</f>
        <v>0</v>
      </c>
      <c r="X71" s="199">
        <f t="shared" si="59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2">
        <v>105.0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0">C72/100</f>
        <v>0</v>
      </c>
      <c r="X72" s="199">
        <f t="shared" si="60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106.0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1">C73/100</f>
        <v>0</v>
      </c>
      <c r="X73" s="199">
        <f t="shared" si="61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107.0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2">C74/100</f>
        <v>0</v>
      </c>
      <c r="X74" s="199">
        <f t="shared" si="62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108.0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3">C75/100</f>
        <v>0</v>
      </c>
      <c r="X75" s="199">
        <f t="shared" si="63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109.0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4">C76/100</f>
        <v>0</v>
      </c>
      <c r="X76" s="199">
        <f t="shared" si="64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110.0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5">C77/100</f>
        <v>0</v>
      </c>
      <c r="X77" s="199">
        <f t="shared" si="65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111.0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6">C78/100</f>
        <v>0</v>
      </c>
      <c r="X78" s="199">
        <f t="shared" si="66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112.0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7">C79/100</f>
        <v>0</v>
      </c>
      <c r="X79" s="199">
        <f t="shared" si="67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113.0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8">C80/100</f>
        <v>0</v>
      </c>
      <c r="X80" s="199">
        <f t="shared" si="68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114.0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9">C81/100</f>
        <v>0</v>
      </c>
      <c r="X81" s="199">
        <f t="shared" si="69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115.0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0">C82/100</f>
        <v>0</v>
      </c>
      <c r="X82" s="199">
        <f t="shared" si="70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116.0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1">C83/100</f>
        <v>0</v>
      </c>
      <c r="X83" s="199">
        <f t="shared" si="71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117.0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2">C84/100</f>
        <v>0</v>
      </c>
      <c r="X84" s="199">
        <f t="shared" si="72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118.0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3">C85/100</f>
        <v>0</v>
      </c>
      <c r="X85" s="199">
        <f t="shared" si="73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119.0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4">C86/100</f>
        <v>0</v>
      </c>
      <c r="X86" s="199">
        <f t="shared" si="74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120.0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5">C87/100</f>
        <v>0</v>
      </c>
      <c r="X87" s="199">
        <f t="shared" si="75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121.0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6">C88/100</f>
        <v>0</v>
      </c>
      <c r="X88" s="199">
        <f t="shared" si="76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122.0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7">C89/100</f>
        <v>0</v>
      </c>
      <c r="X89" s="199">
        <f t="shared" si="77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123.0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8">C90/100</f>
        <v>0</v>
      </c>
      <c r="X90" s="199">
        <f t="shared" si="78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124.0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9">C91/100</f>
        <v>0</v>
      </c>
      <c r="X91" s="199">
        <f t="shared" si="79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125.0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0">C92/100</f>
        <v>0</v>
      </c>
      <c r="X92" s="199">
        <f t="shared" si="80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126.0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1">C93/100</f>
        <v>0</v>
      </c>
      <c r="X93" s="199">
        <f t="shared" si="81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127.0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2">C94/100</f>
        <v>0</v>
      </c>
      <c r="X94" s="199">
        <f t="shared" si="82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128.0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3">C95/100</f>
        <v>0</v>
      </c>
      <c r="X95" s="199">
        <f t="shared" si="83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129.0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4">C96/100</f>
        <v>0</v>
      </c>
      <c r="X96" s="199">
        <f t="shared" si="84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130.0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5">C97/100</f>
        <v>0</v>
      </c>
      <c r="X97" s="199">
        <f t="shared" si="85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131.0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6">C98/100</f>
        <v>0</v>
      </c>
      <c r="X98" s="199">
        <f t="shared" si="86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132.0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7">C99/100</f>
        <v>0</v>
      </c>
      <c r="X99" s="199">
        <f t="shared" si="87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133.0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8">C100/100</f>
        <v>0</v>
      </c>
      <c r="X100" s="199">
        <f t="shared" si="88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134.0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9">C101/100</f>
        <v>0</v>
      </c>
      <c r="X101" s="199">
        <f t="shared" si="89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135.0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0">C102/100</f>
        <v>0</v>
      </c>
      <c r="X102" s="199">
        <f t="shared" si="90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136.0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1">C103/100</f>
        <v>0</v>
      </c>
      <c r="X103" s="199">
        <f t="shared" si="91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137.0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2">C104/100</f>
        <v>0</v>
      </c>
      <c r="X104" s="199">
        <f t="shared" si="92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138.0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3">C105/100</f>
        <v>0</v>
      </c>
      <c r="X105" s="199">
        <f t="shared" si="93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139.0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4">C106/100</f>
        <v>0</v>
      </c>
      <c r="X106" s="199">
        <f t="shared" si="94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140.0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5">C107/100</f>
        <v>0</v>
      </c>
      <c r="X107" s="199">
        <f t="shared" si="95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141.0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6">C108/100</f>
        <v>0</v>
      </c>
      <c r="X108" s="199">
        <f t="shared" si="96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142.0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7">C109/100</f>
        <v>0</v>
      </c>
      <c r="X109" s="199">
        <f t="shared" si="97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143.0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8">C110/100</f>
        <v>0</v>
      </c>
      <c r="X110" s="199">
        <f t="shared" si="98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144.0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9">C111/100</f>
        <v>0</v>
      </c>
      <c r="X111" s="199">
        <f t="shared" si="99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145.0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0">C112/100</f>
        <v>0</v>
      </c>
      <c r="X112" s="199">
        <f t="shared" si="100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146.0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1">C113/100</f>
        <v>0</v>
      </c>
      <c r="X113" s="199">
        <f t="shared" si="101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147.0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2">C114/100</f>
        <v>0</v>
      </c>
      <c r="X114" s="199">
        <f t="shared" si="102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148.0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3">C115/100</f>
        <v>0</v>
      </c>
      <c r="X115" s="199">
        <f t="shared" si="103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149.0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4">C116/100</f>
        <v>0</v>
      </c>
      <c r="X116" s="199">
        <f t="shared" si="104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150.0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5">C117/100</f>
        <v>0</v>
      </c>
      <c r="X117" s="199">
        <f t="shared" si="105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151.0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6">C118/100</f>
        <v>0</v>
      </c>
      <c r="X118" s="199">
        <f t="shared" si="106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152.0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7">C119/100</f>
        <v>0</v>
      </c>
      <c r="X119" s="199">
        <f t="shared" si="107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153.0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8">C120/100</f>
        <v>0</v>
      </c>
      <c r="X120" s="199">
        <f t="shared" si="108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154.0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9">C121/100</f>
        <v>0</v>
      </c>
      <c r="X121" s="199">
        <f t="shared" si="109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155.0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0">C122/100</f>
        <v>0</v>
      </c>
      <c r="X122" s="199">
        <f t="shared" si="110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156.0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1">C123/100</f>
        <v>0</v>
      </c>
      <c r="X123" s="199">
        <f t="shared" si="111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157.0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2">C124/100</f>
        <v>0</v>
      </c>
      <c r="X124" s="199">
        <f t="shared" si="112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158.0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3">C125/100</f>
        <v>0</v>
      </c>
      <c r="X125" s="199">
        <f t="shared" si="113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159.0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4">C126/100</f>
        <v>0</v>
      </c>
      <c r="X126" s="199">
        <f t="shared" si="114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160.0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5">C127/100</f>
        <v>0</v>
      </c>
      <c r="X127" s="199">
        <f t="shared" si="115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161.0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6">C128/100</f>
        <v>0</v>
      </c>
      <c r="X128" s="199">
        <f t="shared" si="116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162.0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7">C129/100</f>
        <v>0</v>
      </c>
      <c r="X129" s="199">
        <f t="shared" si="117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163.0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8">C130/100</f>
        <v>0</v>
      </c>
      <c r="X130" s="199">
        <f t="shared" si="118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164.0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9">C131/100</f>
        <v>0</v>
      </c>
      <c r="X131" s="199">
        <f t="shared" si="119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165.0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0">C132/100</f>
        <v>0</v>
      </c>
      <c r="X132" s="199">
        <f t="shared" si="120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166.0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1">C133/100</f>
        <v>0</v>
      </c>
      <c r="X133" s="199">
        <f t="shared" si="121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167.0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2">C134/100</f>
        <v>0</v>
      </c>
      <c r="X134" s="199">
        <f t="shared" si="122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168.0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3">C135/100</f>
        <v>0</v>
      </c>
      <c r="X135" s="199">
        <f t="shared" si="123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169.0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4">C136/100</f>
        <v>0</v>
      </c>
      <c r="X136" s="199">
        <f t="shared" si="124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170.0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5">C137/100</f>
        <v>0</v>
      </c>
      <c r="X137" s="199">
        <f t="shared" si="125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171.0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6">C138/100</f>
        <v>0</v>
      </c>
      <c r="X138" s="199">
        <f t="shared" si="126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172.0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7">C139/100</f>
        <v>0</v>
      </c>
      <c r="X139" s="199">
        <f t="shared" si="127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173.0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8">C140/100</f>
        <v>0</v>
      </c>
      <c r="X140" s="199">
        <f t="shared" si="128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174.0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9">C141/100</f>
        <v>0</v>
      </c>
      <c r="X141" s="199">
        <f t="shared" si="129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175.0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0">C142/100</f>
        <v>0</v>
      </c>
      <c r="X142" s="199">
        <f t="shared" si="130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176.0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1">C143/100</f>
        <v>0</v>
      </c>
      <c r="X143" s="199">
        <f t="shared" si="131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177.0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2">C144/100</f>
        <v>0</v>
      </c>
      <c r="X144" s="199">
        <f t="shared" si="132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178.0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3">C145/100</f>
        <v>0</v>
      </c>
      <c r="X145" s="199">
        <f t="shared" si="133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179.0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4">C146/100</f>
        <v>0</v>
      </c>
      <c r="X146" s="199">
        <f t="shared" si="134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180.0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5">C147/100</f>
        <v>0</v>
      </c>
      <c r="X147" s="199">
        <f t="shared" si="135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181.0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6">C148/100</f>
        <v>0</v>
      </c>
      <c r="X148" s="199">
        <f t="shared" si="136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182.0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7">C149/100</f>
        <v>0</v>
      </c>
      <c r="X149" s="199">
        <f t="shared" si="137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183.0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8">C150/100</f>
        <v>0</v>
      </c>
      <c r="X150" s="199">
        <f t="shared" si="138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184.0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9">C151/100</f>
        <v>0</v>
      </c>
      <c r="X151" s="199">
        <f t="shared" si="139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185.0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0">C152/100</f>
        <v>0</v>
      </c>
      <c r="X152" s="199">
        <f t="shared" si="140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186.0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1">C153/100</f>
        <v>0</v>
      </c>
      <c r="X153" s="199">
        <f t="shared" si="141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187.0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2">C154/100</f>
        <v>0</v>
      </c>
      <c r="X154" s="199">
        <f t="shared" si="142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188.0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3">C155/100</f>
        <v>0</v>
      </c>
      <c r="X155" s="199">
        <f t="shared" si="143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189.0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4">C156/100</f>
        <v>0</v>
      </c>
      <c r="X156" s="199">
        <f t="shared" si="144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190.0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5">C157/100</f>
        <v>0</v>
      </c>
      <c r="X157" s="199">
        <f t="shared" si="145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191.0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6">C158/100</f>
        <v>0</v>
      </c>
      <c r="X158" s="199">
        <f t="shared" si="146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192.0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7">C159/100</f>
        <v>0</v>
      </c>
      <c r="X159" s="199">
        <f t="shared" si="147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193.0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8">C160/100</f>
        <v>0</v>
      </c>
      <c r="X160" s="199">
        <f t="shared" si="148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194.0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9">C161/100</f>
        <v>0</v>
      </c>
      <c r="X161" s="199">
        <f t="shared" si="149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195.0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0">C162/100</f>
        <v>0</v>
      </c>
      <c r="X162" s="199">
        <f t="shared" si="150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196.0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1">C163/100</f>
        <v>0</v>
      </c>
      <c r="X163" s="199">
        <f t="shared" si="151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197.0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2">C164/100</f>
        <v>0</v>
      </c>
      <c r="X164" s="199">
        <f t="shared" si="152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198.0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3">C165/100</f>
        <v>0</v>
      </c>
      <c r="X165" s="199">
        <f t="shared" si="153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199.0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4">C166/100</f>
        <v>0</v>
      </c>
      <c r="X166" s="199">
        <f t="shared" si="154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200.0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5">C167/100</f>
        <v>0</v>
      </c>
      <c r="X167" s="199">
        <f t="shared" si="155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201.0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6">C168/100</f>
        <v>0</v>
      </c>
      <c r="X168" s="199">
        <f t="shared" si="156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202.0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7">C169/100</f>
        <v>0</v>
      </c>
      <c r="X169" s="199">
        <f t="shared" si="157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203.0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8">C170/100</f>
        <v>0</v>
      </c>
      <c r="X170" s="199">
        <f t="shared" si="158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204.0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9">C171/100</f>
        <v>0</v>
      </c>
      <c r="X171" s="199">
        <f t="shared" si="159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205.0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0">C172/100</f>
        <v>0</v>
      </c>
      <c r="X172" s="199">
        <f t="shared" si="160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206.0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1">C173/100</f>
        <v>0</v>
      </c>
      <c r="X173" s="199">
        <f t="shared" si="161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207.0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2">C174/100</f>
        <v>0</v>
      </c>
      <c r="X174" s="199">
        <f t="shared" si="162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208.0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3">C175/100</f>
        <v>0</v>
      </c>
      <c r="X175" s="199">
        <f t="shared" si="163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209.0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4">C176/100</f>
        <v>0</v>
      </c>
      <c r="X176" s="199">
        <f t="shared" si="164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210.0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5">C177/100</f>
        <v>0</v>
      </c>
      <c r="X177" s="199">
        <f t="shared" si="165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211.0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6">C178/100</f>
        <v>0</v>
      </c>
      <c r="X178" s="199">
        <f t="shared" si="166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212.0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7">C179/100</f>
        <v>0</v>
      </c>
      <c r="X179" s="199">
        <f t="shared" si="167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2">
        <v>213.0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8">C180/100</f>
        <v>0</v>
      </c>
      <c r="X180" s="199">
        <f t="shared" si="168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2">
        <v>214.0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9">C181/100</f>
        <v>0</v>
      </c>
      <c r="X181" s="199">
        <f t="shared" si="169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2">
        <v>215.0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0">C182/100</f>
        <v>0</v>
      </c>
      <c r="X182" s="199">
        <f t="shared" si="170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2">
        <v>216.0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1">C183/100</f>
        <v>0</v>
      </c>
      <c r="X183" s="199">
        <f t="shared" si="171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2">
        <v>217.0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2">C184/100</f>
        <v>0</v>
      </c>
      <c r="X184" s="199">
        <f t="shared" si="172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customHeight="1">
      <c r="A185" s="162"/>
      <c r="B185" s="178"/>
      <c r="C185" s="178"/>
      <c r="D185" s="178"/>
      <c r="E185" s="178"/>
      <c r="F185" s="178"/>
      <c r="G185" s="178"/>
      <c r="H185" s="181"/>
      <c r="I185" s="162"/>
      <c r="J185" s="204">
        <f>+Q244</f>
        <v>128.4</v>
      </c>
      <c r="K185" s="139"/>
      <c r="L185" s="139"/>
      <c r="M185" s="139"/>
      <c r="N185" s="139"/>
      <c r="O185" s="139"/>
      <c r="P185" s="139"/>
      <c r="Q185" s="139"/>
      <c r="R185" s="205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3">C185/100</f>
        <v>0</v>
      </c>
      <c r="X185" s="199">
        <f t="shared" si="173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customHeight="1">
      <c r="A186" s="162"/>
      <c r="B186" s="206"/>
      <c r="C186" s="206"/>
      <c r="D186" s="206"/>
      <c r="E186" s="206"/>
      <c r="F186" s="206"/>
      <c r="G186" s="206"/>
      <c r="H186" s="207"/>
      <c r="I186" s="208">
        <f>SUM(I29:I184)</f>
        <v>39</v>
      </c>
      <c r="J186" s="209">
        <f>SUM(J29:J185)</f>
        <v>38599.86759</v>
      </c>
      <c r="K186" s="210"/>
      <c r="L186" s="210"/>
      <c r="M186" s="210"/>
      <c r="N186" s="210"/>
      <c r="O186" s="210"/>
      <c r="P186" s="210"/>
      <c r="Q186" s="210"/>
      <c r="R186" s="141"/>
      <c r="S186" s="210">
        <f>SUMIFS($T$29:$T$184,$S$29:$S$184,"&gt;=3")</f>
        <v>27</v>
      </c>
      <c r="T186" s="210">
        <f t="shared" ref="T186:U186" si="174">SUM(T29:T184)</f>
        <v>39</v>
      </c>
      <c r="U186" s="210">
        <f t="shared" si="174"/>
        <v>747.71</v>
      </c>
      <c r="V186" s="210"/>
      <c r="W186" s="210"/>
      <c r="X186" s="210"/>
      <c r="Y186" s="210"/>
      <c r="Z186" s="211">
        <f>SUM(Z29:Z185)</f>
        <v>1506.220281</v>
      </c>
      <c r="AA186" s="210"/>
      <c r="AB186" s="210"/>
      <c r="AC186" s="210"/>
      <c r="AD186" s="210"/>
      <c r="AE186" s="210"/>
      <c r="AF186" s="210"/>
      <c r="AG186" s="210"/>
      <c r="AH186" s="210"/>
      <c r="AI186" s="210"/>
      <c r="AJ186" s="210"/>
      <c r="AK186" s="210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203"/>
      <c r="T187" s="139">
        <f>+T186-S186</f>
        <v>12</v>
      </c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9.25" customHeight="1">
      <c r="A188" s="139"/>
      <c r="B188" s="139"/>
      <c r="C188" s="139"/>
      <c r="D188" s="139"/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205"/>
      <c r="S188" s="139"/>
      <c r="T188" s="139" t="s">
        <v>48</v>
      </c>
      <c r="U188" s="139" t="s">
        <v>68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141"/>
      <c r="S189" s="139" t="s">
        <v>31</v>
      </c>
      <c r="T189" s="212">
        <f>SUMIFS($J$29:$J$184,$S$29:$S$184,"&gt;=3")</f>
        <v>37480.67227</v>
      </c>
      <c r="U189" s="213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29.25" customHeight="1">
      <c r="A190" s="139" t="s">
        <v>32</v>
      </c>
      <c r="B190" s="139"/>
      <c r="C190" s="139"/>
      <c r="D190" s="139" t="s">
        <v>33</v>
      </c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139" t="s">
        <v>34</v>
      </c>
      <c r="T190" s="266">
        <f>J186-T189</f>
        <v>1119.195313</v>
      </c>
      <c r="U190" s="213">
        <f>+SUMIFS($U$29:$U$184,$S$29:$S$184,"&gt;=3")</f>
        <v>725.02</v>
      </c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5"/>
      <c r="S191" s="139"/>
      <c r="T191" s="214">
        <f>+I186</f>
        <v>39</v>
      </c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39.0" customHeight="1">
      <c r="A192" s="178"/>
      <c r="B192" s="162" t="s">
        <v>12</v>
      </c>
      <c r="C192" s="179" t="s">
        <v>69</v>
      </c>
      <c r="D192" s="52"/>
      <c r="E192" s="53"/>
      <c r="F192" s="180"/>
      <c r="G192" s="180"/>
      <c r="H192" s="181" t="s">
        <v>14</v>
      </c>
      <c r="I192" s="162" t="s">
        <v>15</v>
      </c>
      <c r="J192" s="162" t="s">
        <v>16</v>
      </c>
      <c r="K192" s="139"/>
      <c r="L192" s="139"/>
      <c r="M192" s="139"/>
      <c r="N192" s="139"/>
      <c r="O192" s="139"/>
      <c r="P192" s="139"/>
      <c r="Q192" s="139"/>
      <c r="R192" s="141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customHeight="1">
      <c r="A193" s="155">
        <v>1.0</v>
      </c>
      <c r="B193" s="215" t="s">
        <v>85</v>
      </c>
      <c r="C193" s="215">
        <v>85.0</v>
      </c>
      <c r="D193" s="215">
        <v>205.0</v>
      </c>
      <c r="E193" s="215">
        <v>201.0</v>
      </c>
      <c r="F193" s="215">
        <f t="shared" ref="F193:F196" si="175">1-VALUE(IF(RIGHT(B193, 1)="%", RIGHT(B193, 3), 0))</f>
        <v>0.2</v>
      </c>
      <c r="G193" s="215">
        <f t="shared" ref="G193:G196" si="176">+Q193*C193/100*D193/100*E193/100</f>
        <v>0</v>
      </c>
      <c r="H193" s="216">
        <f t="shared" ref="H193:H196" si="177">IF(F193=0, G193, F193*G193)</f>
        <v>0</v>
      </c>
      <c r="I193" s="215"/>
      <c r="J193" s="217"/>
      <c r="K193" s="139"/>
      <c r="L193" s="178">
        <f t="shared" ref="L193:L196" si="178">D193*25.4/1000</f>
        <v>5.207</v>
      </c>
      <c r="M193" s="162" t="str">
        <f t="shared" ref="M193:M196" si="179">+I193</f>
        <v/>
      </c>
      <c r="N193" s="162">
        <f t="shared" ref="N193:N196" si="180">M193*L193</f>
        <v>0</v>
      </c>
      <c r="O193" s="139"/>
      <c r="P193" s="139"/>
      <c r="Q193" s="139"/>
      <c r="R193" s="141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customHeight="1">
      <c r="A194" s="155">
        <v>2.0</v>
      </c>
      <c r="B194" s="215" t="s">
        <v>66</v>
      </c>
      <c r="C194" s="215">
        <v>90.0</v>
      </c>
      <c r="D194" s="215">
        <v>195.0</v>
      </c>
      <c r="E194" s="215">
        <v>180.0</v>
      </c>
      <c r="F194" s="215">
        <f t="shared" si="175"/>
        <v>0.2</v>
      </c>
      <c r="G194" s="215">
        <f t="shared" si="176"/>
        <v>0</v>
      </c>
      <c r="H194" s="216">
        <f t="shared" si="177"/>
        <v>0</v>
      </c>
      <c r="I194" s="215"/>
      <c r="J194" s="217">
        <f t="shared" ref="J194:J196" si="181">+I194*H194</f>
        <v>0</v>
      </c>
      <c r="K194" s="139"/>
      <c r="L194" s="178">
        <f t="shared" si="178"/>
        <v>4.953</v>
      </c>
      <c r="M194" s="162" t="str">
        <f t="shared" si="179"/>
        <v/>
      </c>
      <c r="N194" s="162">
        <f t="shared" si="180"/>
        <v>0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customHeight="1">
      <c r="A195" s="155">
        <v>3.0</v>
      </c>
      <c r="B195" s="218" t="s">
        <v>147</v>
      </c>
      <c r="C195" s="218">
        <v>91.0</v>
      </c>
      <c r="D195" s="218">
        <v>184.0</v>
      </c>
      <c r="E195" s="218">
        <v>189.0</v>
      </c>
      <c r="F195" s="218">
        <f t="shared" si="175"/>
        <v>0.2</v>
      </c>
      <c r="G195" s="218">
        <f t="shared" si="176"/>
        <v>0</v>
      </c>
      <c r="H195" s="219">
        <f t="shared" si="177"/>
        <v>0</v>
      </c>
      <c r="I195" s="218"/>
      <c r="J195" s="195">
        <f t="shared" si="181"/>
        <v>0</v>
      </c>
      <c r="K195" s="139"/>
      <c r="L195" s="178">
        <f t="shared" si="178"/>
        <v>4.6736</v>
      </c>
      <c r="M195" s="162" t="str">
        <f t="shared" si="179"/>
        <v/>
      </c>
      <c r="N195" s="162">
        <f t="shared" si="180"/>
        <v>0</v>
      </c>
      <c r="O195" s="139"/>
      <c r="P195" s="139"/>
      <c r="Q195" s="139"/>
      <c r="R195" s="139"/>
      <c r="S195" s="220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5">
        <v>4.0</v>
      </c>
      <c r="B196" s="218" t="s">
        <v>122</v>
      </c>
      <c r="C196" s="218">
        <v>84.0</v>
      </c>
      <c r="D196" s="218">
        <v>199.0</v>
      </c>
      <c r="E196" s="218">
        <v>182.0</v>
      </c>
      <c r="F196" s="218">
        <f t="shared" si="175"/>
        <v>0.2</v>
      </c>
      <c r="G196" s="218">
        <f t="shared" si="176"/>
        <v>0</v>
      </c>
      <c r="H196" s="219">
        <f t="shared" si="177"/>
        <v>0</v>
      </c>
      <c r="I196" s="218"/>
      <c r="J196" s="195">
        <f t="shared" si="181"/>
        <v>0</v>
      </c>
      <c r="K196" s="139"/>
      <c r="L196" s="178">
        <f t="shared" si="178"/>
        <v>5.0546</v>
      </c>
      <c r="M196" s="162" t="str">
        <f t="shared" si="179"/>
        <v/>
      </c>
      <c r="N196" s="162">
        <f t="shared" si="180"/>
        <v>0</v>
      </c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5">
        <v>5.0</v>
      </c>
      <c r="B197" s="218" t="s">
        <v>63</v>
      </c>
      <c r="C197" s="218">
        <v>90.0</v>
      </c>
      <c r="D197" s="218">
        <v>202.0</v>
      </c>
      <c r="E197" s="218">
        <v>172.0</v>
      </c>
      <c r="F197" s="218">
        <v>1.0</v>
      </c>
      <c r="G197" s="218">
        <v>0.0</v>
      </c>
      <c r="H197" s="219">
        <v>0.0</v>
      </c>
      <c r="I197" s="218"/>
      <c r="J197" s="195">
        <v>0.0</v>
      </c>
      <c r="K197" s="139"/>
      <c r="L197" s="178"/>
      <c r="M197" s="162"/>
      <c r="N197" s="162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5">
        <v>6.0</v>
      </c>
      <c r="B198" s="218" t="s">
        <v>164</v>
      </c>
      <c r="C198" s="218">
        <v>98.0</v>
      </c>
      <c r="D198" s="218">
        <v>223.0</v>
      </c>
      <c r="E198" s="218">
        <v>1230.0</v>
      </c>
      <c r="F198" s="218">
        <v>1.0</v>
      </c>
      <c r="G198" s="218">
        <v>0.0</v>
      </c>
      <c r="H198" s="219">
        <v>0.0</v>
      </c>
      <c r="I198" s="218"/>
      <c r="J198" s="195">
        <v>0.0</v>
      </c>
      <c r="K198" s="139"/>
      <c r="L198" s="178"/>
      <c r="M198" s="162"/>
      <c r="N198" s="162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customHeight="1">
      <c r="A199" s="155">
        <v>7.0</v>
      </c>
      <c r="B199" s="218" t="s">
        <v>102</v>
      </c>
      <c r="C199" s="218">
        <v>68.0</v>
      </c>
      <c r="D199" s="218">
        <v>223.0</v>
      </c>
      <c r="E199" s="218">
        <v>190.0</v>
      </c>
      <c r="F199" s="218">
        <f t="shared" ref="F199:F208" si="182">1-VALUE(IF(RIGHT(B199, 1)="%", RIGHT(B199, 3), 0))</f>
        <v>0.2</v>
      </c>
      <c r="G199" s="218">
        <f t="shared" ref="G199:G208" si="183">+Q199*C199/100*D199/100*E199/100</f>
        <v>0</v>
      </c>
      <c r="H199" s="219">
        <f t="shared" ref="H199:H208" si="184">IF(F199=0, G199, F199*G199)</f>
        <v>0</v>
      </c>
      <c r="I199" s="218"/>
      <c r="J199" s="195">
        <f t="shared" ref="J199:J208" si="185">+I199*H199</f>
        <v>0</v>
      </c>
      <c r="K199" s="139"/>
      <c r="L199" s="178">
        <f t="shared" ref="L199:L203" si="186">D199*25.4/1000</f>
        <v>5.6642</v>
      </c>
      <c r="M199" s="162" t="str">
        <f>+I199</f>
        <v/>
      </c>
      <c r="N199" s="162">
        <f>M199*L199</f>
        <v>0</v>
      </c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55">
        <v>6.0</v>
      </c>
      <c r="B200" s="218"/>
      <c r="C200" s="218"/>
      <c r="D200" s="218"/>
      <c r="E200" s="218"/>
      <c r="F200" s="218">
        <f t="shared" si="182"/>
        <v>1</v>
      </c>
      <c r="G200" s="218">
        <f t="shared" si="183"/>
        <v>0</v>
      </c>
      <c r="H200" s="219">
        <f t="shared" si="184"/>
        <v>0</v>
      </c>
      <c r="I200" s="218"/>
      <c r="J200" s="195">
        <f t="shared" si="185"/>
        <v>0</v>
      </c>
      <c r="K200" s="139"/>
      <c r="L200" s="139">
        <f t="shared" si="186"/>
        <v>0</v>
      </c>
      <c r="M200" s="221"/>
      <c r="N200" s="221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5">
        <v>7.0</v>
      </c>
      <c r="B201" s="218"/>
      <c r="C201" s="218"/>
      <c r="D201" s="218"/>
      <c r="E201" s="218"/>
      <c r="F201" s="218">
        <f t="shared" si="182"/>
        <v>1</v>
      </c>
      <c r="G201" s="218">
        <f t="shared" si="183"/>
        <v>0</v>
      </c>
      <c r="H201" s="219">
        <f t="shared" si="184"/>
        <v>0</v>
      </c>
      <c r="I201" s="218"/>
      <c r="J201" s="195">
        <f t="shared" si="185"/>
        <v>0</v>
      </c>
      <c r="K201" s="139"/>
      <c r="L201" s="139">
        <f t="shared" si="186"/>
        <v>0</v>
      </c>
      <c r="M201" s="221"/>
      <c r="N201" s="221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55">
        <v>8.0</v>
      </c>
      <c r="B202" s="218"/>
      <c r="C202" s="218"/>
      <c r="D202" s="218"/>
      <c r="E202" s="218"/>
      <c r="F202" s="218">
        <f t="shared" si="182"/>
        <v>1</v>
      </c>
      <c r="G202" s="218">
        <f t="shared" si="183"/>
        <v>0</v>
      </c>
      <c r="H202" s="219">
        <f t="shared" si="184"/>
        <v>0</v>
      </c>
      <c r="I202" s="218"/>
      <c r="J202" s="195">
        <f t="shared" si="185"/>
        <v>0</v>
      </c>
      <c r="K202" s="139"/>
      <c r="L202" s="139">
        <f t="shared" si="186"/>
        <v>0</v>
      </c>
      <c r="M202" s="221"/>
      <c r="N202" s="221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55">
        <v>9.0</v>
      </c>
      <c r="B203" s="218"/>
      <c r="C203" s="218"/>
      <c r="D203" s="218"/>
      <c r="E203" s="218"/>
      <c r="F203" s="218">
        <f t="shared" si="182"/>
        <v>1</v>
      </c>
      <c r="G203" s="218">
        <f t="shared" si="183"/>
        <v>0</v>
      </c>
      <c r="H203" s="219">
        <f t="shared" si="184"/>
        <v>0</v>
      </c>
      <c r="I203" s="218"/>
      <c r="J203" s="195">
        <f t="shared" si="185"/>
        <v>0</v>
      </c>
      <c r="K203" s="139"/>
      <c r="L203" s="139">
        <f t="shared" si="186"/>
        <v>0</v>
      </c>
      <c r="M203" s="221"/>
      <c r="N203" s="221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55">
        <v>10.0</v>
      </c>
      <c r="B204" s="193"/>
      <c r="C204" s="193"/>
      <c r="D204" s="193"/>
      <c r="E204" s="193"/>
      <c r="F204" s="193">
        <f t="shared" si="182"/>
        <v>1</v>
      </c>
      <c r="G204" s="193">
        <f t="shared" si="183"/>
        <v>0</v>
      </c>
      <c r="H204" s="194">
        <f t="shared" si="184"/>
        <v>0</v>
      </c>
      <c r="I204" s="193"/>
      <c r="J204" s="195">
        <f t="shared" si="185"/>
        <v>0</v>
      </c>
      <c r="K204" s="139"/>
      <c r="L204" s="139"/>
      <c r="M204" s="221"/>
      <c r="N204" s="221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55">
        <v>11.0</v>
      </c>
      <c r="B205" s="193"/>
      <c r="C205" s="193"/>
      <c r="D205" s="193"/>
      <c r="E205" s="193"/>
      <c r="F205" s="193">
        <f t="shared" si="182"/>
        <v>1</v>
      </c>
      <c r="G205" s="193">
        <f t="shared" si="183"/>
        <v>0</v>
      </c>
      <c r="H205" s="194">
        <f t="shared" si="184"/>
        <v>0</v>
      </c>
      <c r="I205" s="193"/>
      <c r="J205" s="195">
        <f t="shared" si="185"/>
        <v>0</v>
      </c>
      <c r="K205" s="139"/>
      <c r="L205" s="139"/>
      <c r="M205" s="221"/>
      <c r="N205" s="221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55">
        <v>12.0</v>
      </c>
      <c r="B206" s="193"/>
      <c r="C206" s="193"/>
      <c r="D206" s="193"/>
      <c r="E206" s="193"/>
      <c r="F206" s="193">
        <f t="shared" si="182"/>
        <v>1</v>
      </c>
      <c r="G206" s="193">
        <f t="shared" si="183"/>
        <v>0</v>
      </c>
      <c r="H206" s="194">
        <f t="shared" si="184"/>
        <v>0</v>
      </c>
      <c r="I206" s="193"/>
      <c r="J206" s="195">
        <f t="shared" si="185"/>
        <v>0</v>
      </c>
      <c r="K206" s="139"/>
      <c r="L206" s="139"/>
      <c r="M206" s="221"/>
      <c r="N206" s="221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55">
        <v>13.0</v>
      </c>
      <c r="B207" s="193"/>
      <c r="C207" s="193"/>
      <c r="D207" s="193"/>
      <c r="E207" s="193"/>
      <c r="F207" s="193">
        <f t="shared" si="182"/>
        <v>1</v>
      </c>
      <c r="G207" s="193">
        <f t="shared" si="183"/>
        <v>0</v>
      </c>
      <c r="H207" s="194">
        <f t="shared" si="184"/>
        <v>0</v>
      </c>
      <c r="I207" s="193"/>
      <c r="J207" s="195">
        <f t="shared" si="185"/>
        <v>0</v>
      </c>
      <c r="K207" s="139"/>
      <c r="L207" s="139"/>
      <c r="M207" s="221"/>
      <c r="N207" s="221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55">
        <v>14.0</v>
      </c>
      <c r="B208" s="193"/>
      <c r="C208" s="193"/>
      <c r="D208" s="193"/>
      <c r="E208" s="193"/>
      <c r="F208" s="193">
        <f t="shared" si="182"/>
        <v>1</v>
      </c>
      <c r="G208" s="193">
        <f t="shared" si="183"/>
        <v>0</v>
      </c>
      <c r="H208" s="194">
        <f t="shared" si="184"/>
        <v>0</v>
      </c>
      <c r="I208" s="193"/>
      <c r="J208" s="195">
        <f t="shared" si="185"/>
        <v>0</v>
      </c>
      <c r="K208" s="139"/>
      <c r="L208" s="139"/>
      <c r="M208" s="221"/>
      <c r="N208" s="221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4.75" customHeight="1">
      <c r="A209" s="162"/>
      <c r="B209" s="197"/>
      <c r="C209" s="197"/>
      <c r="D209" s="197"/>
      <c r="E209" s="197"/>
      <c r="F209" s="197"/>
      <c r="G209" s="197"/>
      <c r="H209" s="222" t="s">
        <v>38</v>
      </c>
      <c r="I209" s="197"/>
      <c r="J209" s="223">
        <f>SUM(J193:J208)</f>
        <v>0</v>
      </c>
      <c r="K209" s="139"/>
      <c r="L209" s="139"/>
      <c r="M209" s="139"/>
      <c r="N209" s="139"/>
      <c r="O209" s="139"/>
      <c r="P209" s="139"/>
      <c r="Q209" s="139"/>
      <c r="R209" s="141"/>
      <c r="S209" s="224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18.75" customHeight="1">
      <c r="A210" s="176"/>
      <c r="B210" s="144"/>
      <c r="C210" s="144"/>
      <c r="D210" s="144"/>
      <c r="E210" s="144"/>
      <c r="F210" s="144"/>
      <c r="G210" s="144"/>
      <c r="H210" s="145"/>
      <c r="I210" s="144"/>
      <c r="J210" s="177"/>
      <c r="K210" s="139"/>
      <c r="L210" s="139"/>
      <c r="M210" s="139"/>
      <c r="N210" s="139"/>
      <c r="O210" s="139"/>
      <c r="P210" s="139"/>
      <c r="Q210" s="139"/>
      <c r="R210" s="141"/>
      <c r="S210" s="224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18.75" customHeight="1">
      <c r="A211" s="139"/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141"/>
      <c r="S211" s="224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224"/>
      <c r="S212" s="22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18.75" customHeight="1">
      <c r="A213" s="139" t="s">
        <v>39</v>
      </c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224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18.75" customHeight="1">
      <c r="A214" s="139"/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224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42.0" customHeight="1">
      <c r="A215" s="178"/>
      <c r="B215" s="162" t="s">
        <v>12</v>
      </c>
      <c r="C215" s="179" t="s">
        <v>75</v>
      </c>
      <c r="D215" s="52"/>
      <c r="E215" s="53"/>
      <c r="F215" s="225"/>
      <c r="G215" s="225"/>
      <c r="H215" s="181" t="s">
        <v>14</v>
      </c>
      <c r="I215" s="226" t="s">
        <v>15</v>
      </c>
      <c r="J215" s="162" t="s">
        <v>16</v>
      </c>
      <c r="K215" s="139"/>
      <c r="L215" s="139"/>
      <c r="M215" s="139"/>
      <c r="N215" s="139"/>
      <c r="O215" s="139"/>
      <c r="P215" s="139"/>
      <c r="Q215" s="139"/>
      <c r="R215" s="224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24.75" customHeight="1">
      <c r="A216" s="162">
        <v>1.0</v>
      </c>
      <c r="B216" s="183" t="s">
        <v>78</v>
      </c>
      <c r="C216" s="200"/>
      <c r="D216" s="200"/>
      <c r="E216" s="200"/>
      <c r="F216" s="200"/>
      <c r="G216" s="200"/>
      <c r="H216" s="227">
        <v>28.0</v>
      </c>
      <c r="I216" s="200">
        <v>1.0</v>
      </c>
      <c r="J216" s="195">
        <f t="shared" ref="J216:J242" si="187">+I216*H216</f>
        <v>28</v>
      </c>
      <c r="K216" s="178"/>
      <c r="L216" s="178"/>
      <c r="M216" s="178"/>
      <c r="N216" s="178"/>
      <c r="O216" s="178"/>
      <c r="P216" s="178"/>
      <c r="Q216" s="228"/>
      <c r="R216" s="224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8"/>
      <c r="AF216" s="178"/>
      <c r="AG216" s="178"/>
      <c r="AH216" s="178"/>
      <c r="AI216" s="178"/>
      <c r="AJ216" s="178"/>
      <c r="AK216" s="178"/>
    </row>
    <row r="217" ht="24.75" customHeight="1">
      <c r="A217" s="162">
        <v>2.0</v>
      </c>
      <c r="B217" s="193" t="s">
        <v>78</v>
      </c>
      <c r="C217" s="200"/>
      <c r="D217" s="200"/>
      <c r="E217" s="200"/>
      <c r="F217" s="200"/>
      <c r="G217" s="200"/>
      <c r="H217" s="227">
        <v>26.0</v>
      </c>
      <c r="I217" s="200">
        <v>1.0</v>
      </c>
      <c r="J217" s="195">
        <f t="shared" si="187"/>
        <v>26</v>
      </c>
      <c r="K217" s="178"/>
      <c r="L217" s="178"/>
      <c r="M217" s="178"/>
      <c r="N217" s="178"/>
      <c r="O217" s="178"/>
      <c r="P217" s="178"/>
      <c r="Q217" s="228"/>
      <c r="R217" s="224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8"/>
      <c r="AF217" s="178"/>
      <c r="AG217" s="178"/>
      <c r="AH217" s="178"/>
      <c r="AI217" s="178"/>
      <c r="AJ217" s="178"/>
      <c r="AK217" s="178"/>
    </row>
    <row r="218" ht="24.75" customHeight="1">
      <c r="A218" s="162">
        <v>3.0</v>
      </c>
      <c r="B218" s="183" t="s">
        <v>58</v>
      </c>
      <c r="C218" s="200"/>
      <c r="D218" s="200"/>
      <c r="E218" s="200"/>
      <c r="F218" s="200"/>
      <c r="G218" s="200"/>
      <c r="H218" s="227">
        <v>27.0</v>
      </c>
      <c r="I218" s="200">
        <v>1.0</v>
      </c>
      <c r="J218" s="195">
        <f t="shared" si="187"/>
        <v>27</v>
      </c>
      <c r="K218" s="178"/>
      <c r="L218" s="178"/>
      <c r="M218" s="178"/>
      <c r="N218" s="178"/>
      <c r="O218" s="178"/>
      <c r="P218" s="178"/>
      <c r="Q218" s="228"/>
      <c r="R218" s="224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8"/>
      <c r="AF218" s="178"/>
      <c r="AG218" s="178"/>
      <c r="AH218" s="178"/>
      <c r="AI218" s="178"/>
      <c r="AJ218" s="178"/>
      <c r="AK218" s="178"/>
    </row>
    <row r="219" ht="24.75" customHeight="1">
      <c r="A219" s="162">
        <v>4.0</v>
      </c>
      <c r="B219" s="193" t="s">
        <v>58</v>
      </c>
      <c r="C219" s="200"/>
      <c r="D219" s="200"/>
      <c r="E219" s="200"/>
      <c r="F219" s="200"/>
      <c r="G219" s="200"/>
      <c r="H219" s="227">
        <v>26.0</v>
      </c>
      <c r="I219" s="200">
        <v>1.0</v>
      </c>
      <c r="J219" s="195">
        <f t="shared" si="187"/>
        <v>26</v>
      </c>
      <c r="K219" s="178"/>
      <c r="L219" s="178"/>
      <c r="M219" s="178"/>
      <c r="N219" s="178"/>
      <c r="O219" s="178"/>
      <c r="P219" s="178"/>
      <c r="Q219" s="228"/>
      <c r="R219" s="224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8"/>
      <c r="AF219" s="178"/>
      <c r="AG219" s="178"/>
      <c r="AH219" s="178"/>
      <c r="AI219" s="178"/>
      <c r="AJ219" s="178"/>
      <c r="AK219" s="178"/>
    </row>
    <row r="220" ht="24.75" customHeight="1">
      <c r="A220" s="162">
        <v>5.0</v>
      </c>
      <c r="B220" s="183" t="s">
        <v>90</v>
      </c>
      <c r="C220" s="200"/>
      <c r="D220" s="200"/>
      <c r="E220" s="200"/>
      <c r="F220" s="200"/>
      <c r="G220" s="200"/>
      <c r="H220" s="227">
        <v>39.0</v>
      </c>
      <c r="I220" s="200">
        <v>1.0</v>
      </c>
      <c r="J220" s="195">
        <f t="shared" si="187"/>
        <v>39</v>
      </c>
      <c r="K220" s="178"/>
      <c r="L220" s="178"/>
      <c r="M220" s="178"/>
      <c r="N220" s="178"/>
      <c r="O220" s="178"/>
      <c r="P220" s="178"/>
      <c r="Q220" s="228"/>
      <c r="R220" s="224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8"/>
      <c r="AF220" s="178"/>
      <c r="AG220" s="178"/>
      <c r="AH220" s="178"/>
      <c r="AI220" s="178"/>
      <c r="AJ220" s="178"/>
      <c r="AK220" s="178"/>
    </row>
    <row r="221" ht="24.75" customHeight="1">
      <c r="A221" s="162">
        <v>6.0</v>
      </c>
      <c r="B221" s="193" t="s">
        <v>90</v>
      </c>
      <c r="C221" s="200"/>
      <c r="D221" s="200"/>
      <c r="E221" s="200"/>
      <c r="F221" s="200"/>
      <c r="G221" s="200"/>
      <c r="H221" s="227">
        <v>23.0</v>
      </c>
      <c r="I221" s="200">
        <v>1.0</v>
      </c>
      <c r="J221" s="195">
        <f t="shared" si="187"/>
        <v>23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8"/>
      <c r="AF221" s="178"/>
      <c r="AG221" s="178"/>
      <c r="AH221" s="178"/>
      <c r="AI221" s="178"/>
      <c r="AJ221" s="178"/>
      <c r="AK221" s="178"/>
    </row>
    <row r="222" ht="24.75" customHeight="1">
      <c r="A222" s="162">
        <v>7.0</v>
      </c>
      <c r="B222" s="183" t="s">
        <v>119</v>
      </c>
      <c r="C222" s="200"/>
      <c r="D222" s="200"/>
      <c r="E222" s="200"/>
      <c r="F222" s="200"/>
      <c r="G222" s="200"/>
      <c r="H222" s="227">
        <v>27.0</v>
      </c>
      <c r="I222" s="200">
        <v>1.0</v>
      </c>
      <c r="J222" s="195">
        <f t="shared" si="187"/>
        <v>27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8"/>
      <c r="AF222" s="178"/>
      <c r="AG222" s="178"/>
      <c r="AH222" s="178"/>
      <c r="AI222" s="178"/>
      <c r="AJ222" s="178"/>
      <c r="AK222" s="178"/>
    </row>
    <row r="223" ht="24.75" customHeight="1">
      <c r="A223" s="162">
        <v>8.0</v>
      </c>
      <c r="B223" s="193" t="s">
        <v>119</v>
      </c>
      <c r="C223" s="200"/>
      <c r="D223" s="200"/>
      <c r="E223" s="200"/>
      <c r="F223" s="200"/>
      <c r="G223" s="200"/>
      <c r="H223" s="227">
        <v>18.0</v>
      </c>
      <c r="I223" s="200">
        <v>1.0</v>
      </c>
      <c r="J223" s="195">
        <f t="shared" si="187"/>
        <v>18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8"/>
      <c r="AF223" s="178"/>
      <c r="AG223" s="178"/>
      <c r="AH223" s="178"/>
      <c r="AI223" s="178"/>
      <c r="AJ223" s="178"/>
      <c r="AK223" s="178"/>
    </row>
    <row r="224" ht="24.75" customHeight="1">
      <c r="A224" s="162">
        <v>9.0</v>
      </c>
      <c r="B224" s="183" t="s">
        <v>55</v>
      </c>
      <c r="C224" s="200"/>
      <c r="D224" s="200"/>
      <c r="E224" s="200"/>
      <c r="F224" s="200"/>
      <c r="G224" s="200"/>
      <c r="H224" s="227">
        <v>32.0</v>
      </c>
      <c r="I224" s="200">
        <v>1.0</v>
      </c>
      <c r="J224" s="195">
        <f t="shared" si="187"/>
        <v>32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8"/>
      <c r="AF224" s="178"/>
      <c r="AG224" s="178"/>
      <c r="AH224" s="178"/>
      <c r="AI224" s="178"/>
      <c r="AJ224" s="178"/>
      <c r="AK224" s="178"/>
    </row>
    <row r="225" ht="24.75" customHeight="1">
      <c r="A225" s="162">
        <v>10.0</v>
      </c>
      <c r="B225" s="193" t="s">
        <v>55</v>
      </c>
      <c r="C225" s="200"/>
      <c r="D225" s="200"/>
      <c r="E225" s="200"/>
      <c r="F225" s="200"/>
      <c r="G225" s="200"/>
      <c r="H225" s="227">
        <v>26.0</v>
      </c>
      <c r="I225" s="200">
        <v>1.0</v>
      </c>
      <c r="J225" s="195">
        <f t="shared" si="187"/>
        <v>26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8"/>
      <c r="AF225" s="178"/>
      <c r="AG225" s="178"/>
      <c r="AH225" s="178"/>
      <c r="AI225" s="178"/>
      <c r="AJ225" s="178"/>
      <c r="AK225" s="178"/>
    </row>
    <row r="226" ht="24.75" customHeight="1">
      <c r="A226" s="162">
        <v>11.0</v>
      </c>
      <c r="B226" s="183" t="s">
        <v>106</v>
      </c>
      <c r="C226" s="200"/>
      <c r="D226" s="200"/>
      <c r="E226" s="200"/>
      <c r="F226" s="200"/>
      <c r="G226" s="200"/>
      <c r="H226" s="227">
        <v>33.0</v>
      </c>
      <c r="I226" s="200">
        <v>1.0</v>
      </c>
      <c r="J226" s="195">
        <f t="shared" si="187"/>
        <v>33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8"/>
      <c r="AF226" s="178"/>
      <c r="AG226" s="178"/>
      <c r="AH226" s="178"/>
      <c r="AI226" s="178"/>
      <c r="AJ226" s="178"/>
      <c r="AK226" s="178"/>
    </row>
    <row r="227" ht="24.75" customHeight="1">
      <c r="A227" s="162">
        <v>12.0</v>
      </c>
      <c r="B227" s="193" t="s">
        <v>100</v>
      </c>
      <c r="C227" s="200"/>
      <c r="D227" s="200"/>
      <c r="E227" s="200"/>
      <c r="F227" s="200"/>
      <c r="G227" s="200"/>
      <c r="H227" s="227">
        <v>16.0</v>
      </c>
      <c r="I227" s="200">
        <v>1.0</v>
      </c>
      <c r="J227" s="195">
        <f t="shared" si="187"/>
        <v>16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8"/>
      <c r="AF227" s="178"/>
      <c r="AG227" s="178"/>
      <c r="AH227" s="178"/>
      <c r="AI227" s="178"/>
      <c r="AJ227" s="178"/>
      <c r="AK227" s="178"/>
    </row>
    <row r="228" ht="24.75" hidden="1" customHeight="1">
      <c r="A228" s="162">
        <v>21.0</v>
      </c>
      <c r="B228" s="229"/>
      <c r="C228" s="200"/>
      <c r="D228" s="200"/>
      <c r="E228" s="200"/>
      <c r="F228" s="200"/>
      <c r="G228" s="200"/>
      <c r="H228" s="227"/>
      <c r="I228" s="200"/>
      <c r="J228" s="195">
        <f t="shared" si="187"/>
        <v>0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78"/>
      <c r="AF228" s="178"/>
      <c r="AG228" s="178"/>
      <c r="AH228" s="178"/>
      <c r="AI228" s="178"/>
      <c r="AJ228" s="178"/>
      <c r="AK228" s="178"/>
    </row>
    <row r="229" ht="24.75" hidden="1" customHeight="1">
      <c r="A229" s="162">
        <v>22.0</v>
      </c>
      <c r="B229" s="229"/>
      <c r="C229" s="200"/>
      <c r="D229" s="200"/>
      <c r="E229" s="200"/>
      <c r="F229" s="200"/>
      <c r="G229" s="200"/>
      <c r="H229" s="227"/>
      <c r="I229" s="200"/>
      <c r="J229" s="195">
        <f t="shared" si="187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78"/>
      <c r="AF229" s="178"/>
      <c r="AG229" s="178"/>
      <c r="AH229" s="178"/>
      <c r="AI229" s="178"/>
      <c r="AJ229" s="178"/>
      <c r="AK229" s="178"/>
    </row>
    <row r="230" ht="24.75" hidden="1" customHeight="1">
      <c r="A230" s="162">
        <v>23.0</v>
      </c>
      <c r="B230" s="229"/>
      <c r="C230" s="200"/>
      <c r="D230" s="200"/>
      <c r="E230" s="200"/>
      <c r="F230" s="200"/>
      <c r="G230" s="200"/>
      <c r="H230" s="227"/>
      <c r="I230" s="200"/>
      <c r="J230" s="195">
        <f t="shared" si="187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78"/>
      <c r="AF230" s="178"/>
      <c r="AG230" s="178"/>
      <c r="AH230" s="178"/>
      <c r="AI230" s="178"/>
      <c r="AJ230" s="178"/>
      <c r="AK230" s="178"/>
    </row>
    <row r="231" ht="24.75" hidden="1" customHeight="1">
      <c r="A231" s="162">
        <v>24.0</v>
      </c>
      <c r="B231" s="229"/>
      <c r="C231" s="200"/>
      <c r="D231" s="200"/>
      <c r="E231" s="200"/>
      <c r="F231" s="200"/>
      <c r="G231" s="200"/>
      <c r="H231" s="227"/>
      <c r="I231" s="200"/>
      <c r="J231" s="195">
        <f t="shared" si="187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78"/>
      <c r="AF231" s="178"/>
      <c r="AG231" s="178"/>
      <c r="AH231" s="178"/>
      <c r="AI231" s="178"/>
      <c r="AJ231" s="178"/>
      <c r="AK231" s="178"/>
    </row>
    <row r="232" ht="24.75" hidden="1" customHeight="1">
      <c r="A232" s="162">
        <v>25.0</v>
      </c>
      <c r="B232" s="229"/>
      <c r="C232" s="200"/>
      <c r="D232" s="200"/>
      <c r="E232" s="200"/>
      <c r="F232" s="200"/>
      <c r="G232" s="200"/>
      <c r="H232" s="227"/>
      <c r="I232" s="200"/>
      <c r="J232" s="195">
        <f t="shared" si="187"/>
        <v>0</v>
      </c>
      <c r="K232" s="178"/>
      <c r="L232" s="178"/>
      <c r="M232" s="178"/>
      <c r="N232" s="178"/>
      <c r="O232" s="178"/>
      <c r="P232" s="178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78"/>
      <c r="AF232" s="178"/>
      <c r="AG232" s="178"/>
      <c r="AH232" s="178"/>
      <c r="AI232" s="178"/>
      <c r="AJ232" s="178"/>
      <c r="AK232" s="178"/>
    </row>
    <row r="233" ht="24.75" hidden="1" customHeight="1">
      <c r="A233" s="162">
        <v>26.0</v>
      </c>
      <c r="B233" s="229"/>
      <c r="C233" s="200"/>
      <c r="D233" s="200"/>
      <c r="E233" s="200"/>
      <c r="F233" s="200"/>
      <c r="G233" s="200"/>
      <c r="H233" s="227"/>
      <c r="I233" s="200"/>
      <c r="J233" s="195">
        <f t="shared" si="187"/>
        <v>0</v>
      </c>
      <c r="K233" s="178"/>
      <c r="L233" s="178"/>
      <c r="M233" s="178"/>
      <c r="N233" s="178"/>
      <c r="O233" s="178"/>
      <c r="P233" s="178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78"/>
      <c r="AF233" s="178"/>
      <c r="AG233" s="178"/>
      <c r="AH233" s="178"/>
      <c r="AI233" s="178"/>
      <c r="AJ233" s="178"/>
      <c r="AK233" s="178"/>
    </row>
    <row r="234" ht="24.75" hidden="1" customHeight="1">
      <c r="A234" s="162">
        <v>27.0</v>
      </c>
      <c r="B234" s="229"/>
      <c r="C234" s="200"/>
      <c r="D234" s="200"/>
      <c r="E234" s="200"/>
      <c r="F234" s="200"/>
      <c r="G234" s="200"/>
      <c r="H234" s="200"/>
      <c r="I234" s="200"/>
      <c r="J234" s="195">
        <f t="shared" si="187"/>
        <v>0</v>
      </c>
      <c r="K234" s="178"/>
      <c r="L234" s="178"/>
      <c r="M234" s="178"/>
      <c r="N234" s="178"/>
      <c r="O234" s="178"/>
      <c r="P234" s="178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78"/>
      <c r="AF234" s="178"/>
      <c r="AG234" s="178"/>
      <c r="AH234" s="178"/>
      <c r="AI234" s="178"/>
      <c r="AJ234" s="178"/>
      <c r="AK234" s="178"/>
    </row>
    <row r="235" ht="24.75" hidden="1" customHeight="1">
      <c r="A235" s="162">
        <v>28.0</v>
      </c>
      <c r="B235" s="229"/>
      <c r="C235" s="200"/>
      <c r="D235" s="200"/>
      <c r="E235" s="200"/>
      <c r="F235" s="200"/>
      <c r="G235" s="200"/>
      <c r="H235" s="200"/>
      <c r="I235" s="200"/>
      <c r="J235" s="195">
        <f t="shared" si="187"/>
        <v>0</v>
      </c>
      <c r="K235" s="178"/>
      <c r="L235" s="178"/>
      <c r="M235" s="178"/>
      <c r="N235" s="178"/>
      <c r="O235" s="178"/>
      <c r="P235" s="178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78"/>
      <c r="AF235" s="178"/>
      <c r="AG235" s="178"/>
      <c r="AH235" s="178"/>
      <c r="AI235" s="178"/>
      <c r="AJ235" s="178"/>
      <c r="AK235" s="178"/>
    </row>
    <row r="236" ht="24.75" hidden="1" customHeight="1">
      <c r="A236" s="162">
        <v>29.0</v>
      </c>
      <c r="B236" s="230"/>
      <c r="C236" s="200"/>
      <c r="D236" s="200"/>
      <c r="E236" s="200"/>
      <c r="F236" s="200"/>
      <c r="G236" s="200"/>
      <c r="H236" s="200"/>
      <c r="I236" s="200"/>
      <c r="J236" s="195">
        <f t="shared" si="187"/>
        <v>0</v>
      </c>
      <c r="K236" s="178"/>
      <c r="L236" s="178"/>
      <c r="M236" s="178"/>
      <c r="N236" s="178"/>
      <c r="O236" s="178"/>
      <c r="P236" s="178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4.75" hidden="1" customHeight="1">
      <c r="A237" s="162">
        <v>30.0</v>
      </c>
      <c r="B237" s="230"/>
      <c r="C237" s="200"/>
      <c r="D237" s="200"/>
      <c r="E237" s="200"/>
      <c r="F237" s="200"/>
      <c r="G237" s="200"/>
      <c r="H237" s="227"/>
      <c r="I237" s="200"/>
      <c r="J237" s="195">
        <f t="shared" si="187"/>
        <v>0</v>
      </c>
      <c r="K237" s="178"/>
      <c r="L237" s="178"/>
      <c r="M237" s="178"/>
      <c r="N237" s="178"/>
      <c r="O237" s="178"/>
      <c r="P237" s="178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4.75" hidden="1" customHeight="1">
      <c r="A238" s="162">
        <v>31.0</v>
      </c>
      <c r="B238" s="218"/>
      <c r="C238" s="200"/>
      <c r="D238" s="200"/>
      <c r="E238" s="200"/>
      <c r="F238" s="200"/>
      <c r="G238" s="200"/>
      <c r="H238" s="227"/>
      <c r="I238" s="200"/>
      <c r="J238" s="195">
        <f t="shared" si="187"/>
        <v>0</v>
      </c>
      <c r="K238" s="178"/>
      <c r="L238" s="178"/>
      <c r="M238" s="178"/>
      <c r="N238" s="178"/>
      <c r="O238" s="178"/>
      <c r="P238" s="178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4.75" hidden="1" customHeight="1">
      <c r="A239" s="162">
        <v>32.0</v>
      </c>
      <c r="B239" s="218"/>
      <c r="C239" s="162"/>
      <c r="D239" s="162"/>
      <c r="E239" s="162"/>
      <c r="F239" s="162"/>
      <c r="G239" s="162"/>
      <c r="H239" s="162"/>
      <c r="I239" s="162"/>
      <c r="J239" s="195">
        <f t="shared" si="187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4.75" hidden="1" customHeight="1">
      <c r="A240" s="162">
        <v>33.0</v>
      </c>
      <c r="B240" s="230"/>
      <c r="C240" s="162"/>
      <c r="D240" s="162"/>
      <c r="E240" s="162"/>
      <c r="F240" s="162"/>
      <c r="G240" s="162"/>
      <c r="H240" s="162"/>
      <c r="I240" s="162"/>
      <c r="J240" s="195">
        <f t="shared" si="187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4.75" hidden="1" customHeight="1">
      <c r="A241" s="162">
        <v>34.0</v>
      </c>
      <c r="B241" s="231"/>
      <c r="C241" s="162"/>
      <c r="D241" s="162"/>
      <c r="E241" s="162"/>
      <c r="F241" s="162"/>
      <c r="G241" s="162"/>
      <c r="H241" s="162"/>
      <c r="I241" s="162"/>
      <c r="J241" s="195">
        <f t="shared" si="187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4.75" hidden="1" customHeight="1">
      <c r="A242" s="162">
        <v>35.0</v>
      </c>
      <c r="B242" s="232"/>
      <c r="C242" s="162"/>
      <c r="D242" s="162"/>
      <c r="E242" s="162"/>
      <c r="F242" s="162"/>
      <c r="G242" s="162"/>
      <c r="H242" s="162"/>
      <c r="I242" s="162"/>
      <c r="J242" s="195">
        <f t="shared" si="187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 t="s">
        <v>38</v>
      </c>
      <c r="I243" s="139"/>
      <c r="J243" s="233">
        <f>SUM(J216:J242)</f>
        <v>321</v>
      </c>
      <c r="K243" s="234"/>
      <c r="L243" s="234"/>
      <c r="M243" s="234"/>
      <c r="N243" s="234"/>
      <c r="O243" s="234"/>
      <c r="P243" s="234"/>
      <c r="Q243" s="234"/>
      <c r="R243" s="139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44"/>
      <c r="B244" s="144"/>
      <c r="C244" s="144"/>
      <c r="D244" s="144"/>
      <c r="E244" s="144"/>
      <c r="F244" s="144"/>
      <c r="G244" s="144"/>
      <c r="H244" s="145"/>
      <c r="I244" s="175"/>
      <c r="J244" s="206">
        <f>+J243*60%</f>
        <v>192.6</v>
      </c>
      <c r="K244" s="206"/>
      <c r="L244" s="206"/>
      <c r="M244" s="206"/>
      <c r="N244" s="206"/>
      <c r="O244" s="206"/>
      <c r="P244" s="206"/>
      <c r="Q244" s="206">
        <f>+J243*40%</f>
        <v>128.4</v>
      </c>
      <c r="R244" s="139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9.5" customHeight="1">
      <c r="A247" s="235" t="s">
        <v>41</v>
      </c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57.0" customHeight="1">
      <c r="A248" s="236"/>
      <c r="B248" s="237" t="s">
        <v>42</v>
      </c>
      <c r="C248" s="237" t="s">
        <v>43</v>
      </c>
      <c r="D248" s="237" t="s">
        <v>44</v>
      </c>
      <c r="E248" s="237" t="s">
        <v>45</v>
      </c>
      <c r="F248" s="237"/>
      <c r="G248" s="237"/>
      <c r="H248" s="238" t="s">
        <v>46</v>
      </c>
      <c r="I248" s="239" t="s">
        <v>47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240" t="s">
        <v>48</v>
      </c>
      <c r="B249" s="241">
        <f>+E22</f>
        <v>42498.824</v>
      </c>
      <c r="C249" s="242">
        <f>+J186</f>
        <v>38599.86759</v>
      </c>
      <c r="D249" s="242">
        <f>+J209</f>
        <v>0</v>
      </c>
      <c r="E249" s="243">
        <f>J244</f>
        <v>192.6</v>
      </c>
      <c r="F249" s="243"/>
      <c r="G249" s="243"/>
      <c r="H249" s="244">
        <f>+I22</f>
        <v>2211.350853</v>
      </c>
      <c r="I249" s="245">
        <f>+B249-C249-D249-E249-H249</f>
        <v>1495.005558</v>
      </c>
      <c r="J249" s="139"/>
      <c r="K249" s="139"/>
      <c r="L249" s="139"/>
      <c r="M249" s="139"/>
      <c r="N249" s="139"/>
      <c r="O249" s="139"/>
      <c r="P249" s="139"/>
      <c r="Q249" s="139"/>
      <c r="R249" s="141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9.5" customHeight="1">
      <c r="A250" s="246" t="s">
        <v>49</v>
      </c>
      <c r="B250" s="247"/>
      <c r="C250" s="248">
        <f>+C249/B249</f>
        <v>0.9082573106</v>
      </c>
      <c r="D250" s="248">
        <f>+D249/B249</f>
        <v>0</v>
      </c>
      <c r="E250" s="248">
        <f>+E249/B249</f>
        <v>0.004531890106</v>
      </c>
      <c r="F250" s="248"/>
      <c r="G250" s="248"/>
      <c r="H250" s="249">
        <f>+H249/B249</f>
        <v>0.05203322458</v>
      </c>
      <c r="I250" s="250">
        <f>+I249/B249</f>
        <v>0.03517757476</v>
      </c>
      <c r="J250" s="139"/>
      <c r="K250" s="139"/>
      <c r="L250" s="139"/>
      <c r="M250" s="139"/>
      <c r="N250" s="139"/>
      <c r="O250" s="139"/>
      <c r="P250" s="139"/>
      <c r="Q250" s="139"/>
      <c r="R250" s="141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9.5" customHeight="1">
      <c r="A251" s="165"/>
      <c r="B251" s="221"/>
      <c r="C251" s="251"/>
      <c r="D251" s="251"/>
      <c r="E251" s="251"/>
      <c r="F251" s="251"/>
      <c r="G251" s="251"/>
      <c r="H251" s="252"/>
      <c r="I251" s="253"/>
      <c r="J251" s="139"/>
      <c r="K251" s="139"/>
      <c r="L251" s="139"/>
      <c r="M251" s="139"/>
      <c r="N251" s="139"/>
      <c r="O251" s="139"/>
      <c r="P251" s="139"/>
      <c r="Q251" s="139"/>
      <c r="R251" s="141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254"/>
      <c r="B252" s="255"/>
      <c r="C252" s="255"/>
      <c r="D252" s="255" t="s">
        <v>50</v>
      </c>
      <c r="E252" s="255" t="s">
        <v>48</v>
      </c>
      <c r="F252" s="255"/>
      <c r="G252" s="255"/>
      <c r="H252" s="256">
        <f>+D249+E249+H249+I249</f>
        <v>3898.956412</v>
      </c>
      <c r="I252" s="257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258"/>
      <c r="B253" s="139"/>
      <c r="C253" s="139"/>
      <c r="D253" s="139"/>
      <c r="E253" s="139" t="s">
        <v>49</v>
      </c>
      <c r="F253" s="139"/>
      <c r="G253" s="139"/>
      <c r="H253" s="252">
        <f>+H252/B249</f>
        <v>0.09174268944</v>
      </c>
      <c r="I253" s="259"/>
      <c r="J253" s="139"/>
      <c r="K253" s="139"/>
      <c r="L253" s="139"/>
      <c r="M253" s="139"/>
      <c r="N253" s="139"/>
      <c r="O253" s="139"/>
      <c r="P253" s="139"/>
      <c r="Q253" s="139"/>
      <c r="R253" s="141"/>
      <c r="S253" s="140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258"/>
      <c r="B254" s="139"/>
      <c r="C254" s="139" t="s">
        <v>51</v>
      </c>
      <c r="D254" s="139"/>
      <c r="E254" s="139"/>
      <c r="F254" s="139"/>
      <c r="G254" s="139"/>
      <c r="H254" s="140"/>
      <c r="I254" s="259"/>
      <c r="J254" s="139"/>
      <c r="K254" s="139"/>
      <c r="L254" s="139"/>
      <c r="M254" s="139"/>
      <c r="N254" s="139"/>
      <c r="O254" s="139"/>
      <c r="P254" s="139"/>
      <c r="Q254" s="139"/>
      <c r="R254" s="141"/>
      <c r="S254" s="140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258"/>
      <c r="B255" s="139"/>
      <c r="C255" s="139"/>
      <c r="D255" s="139" t="s">
        <v>52</v>
      </c>
      <c r="E255" s="139"/>
      <c r="F255" s="139"/>
      <c r="G255" s="139"/>
      <c r="H255" s="140">
        <f>+H254*(H252-H249)</f>
        <v>0</v>
      </c>
      <c r="I255" s="259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9.5" customHeight="1">
      <c r="A256" s="260"/>
      <c r="B256" s="261"/>
      <c r="C256" s="261"/>
      <c r="D256" s="261"/>
      <c r="E256" s="261"/>
      <c r="F256" s="261"/>
      <c r="G256" s="261"/>
      <c r="H256" s="262"/>
      <c r="I256" s="263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41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41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92:E192"/>
    <mergeCell ref="C215:E215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44551.0</v>
      </c>
      <c r="J4" s="139" t="str">
        <f>+B8&amp;"/"&amp;B9&amp;"/"&amp;B10&amp;"/"&amp;B11&amp;"/"&amp;B12&amp;"/"&amp;B13&amp;"/"&amp;B14&amp;"/"&amp;B15&amp;"/"&amp;B16</f>
        <v>HRD2940/HRD2930/D2240/D3550/D2050CC/A150/D3050CC///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165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+I250</f>
        <v>0.033338586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252.8*51.8</f>
        <v>13095.04</v>
      </c>
      <c r="F8" s="157"/>
      <c r="G8" s="157"/>
      <c r="H8" s="158">
        <v>51.8</v>
      </c>
      <c r="I8" s="159">
        <f t="shared" ref="I8:I20" si="1">+D8*E8</f>
        <v>191.187584</v>
      </c>
      <c r="J8" s="160">
        <f t="shared" ref="J8:J20" si="2">E8-I8</f>
        <v>12903.85242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57</v>
      </c>
      <c r="C9" s="155">
        <v>29.5</v>
      </c>
      <c r="D9" s="156">
        <v>0.0155</v>
      </c>
      <c r="E9" s="157">
        <f>253.14*36</f>
        <v>9113.04</v>
      </c>
      <c r="F9" s="157"/>
      <c r="G9" s="157"/>
      <c r="H9" s="158">
        <v>36.0</v>
      </c>
      <c r="I9" s="159">
        <f t="shared" si="1"/>
        <v>141.25212</v>
      </c>
      <c r="J9" s="160">
        <f t="shared" si="2"/>
        <v>8971.78788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144</v>
      </c>
      <c r="C10" s="155">
        <v>22.5</v>
      </c>
      <c r="D10" s="156">
        <v>0.0805</v>
      </c>
      <c r="E10" s="157">
        <f>206.53*67.3</f>
        <v>13899.469</v>
      </c>
      <c r="F10" s="157"/>
      <c r="G10" s="157"/>
      <c r="H10" s="158">
        <v>67.3</v>
      </c>
      <c r="I10" s="159">
        <f t="shared" si="1"/>
        <v>1118.907255</v>
      </c>
      <c r="J10" s="160">
        <f t="shared" si="2"/>
        <v>12780.56175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166</v>
      </c>
      <c r="C11" s="155">
        <v>35.5</v>
      </c>
      <c r="D11" s="163">
        <v>0.0441</v>
      </c>
      <c r="E11" s="164">
        <f>245.72*32.6</f>
        <v>8010.472</v>
      </c>
      <c r="F11" s="164"/>
      <c r="G11" s="164"/>
      <c r="H11" s="158">
        <v>32.6</v>
      </c>
      <c r="I11" s="159">
        <f t="shared" si="1"/>
        <v>353.2618152</v>
      </c>
      <c r="J11" s="160">
        <f t="shared" si="2"/>
        <v>7657.210185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91</v>
      </c>
      <c r="C12" s="162">
        <v>20.5</v>
      </c>
      <c r="D12" s="163">
        <v>0.0845</v>
      </c>
      <c r="E12" s="164">
        <f>223.311*25.5</f>
        <v>5694.4305</v>
      </c>
      <c r="F12" s="164"/>
      <c r="G12" s="164"/>
      <c r="H12" s="158">
        <v>25.5</v>
      </c>
      <c r="I12" s="159">
        <f t="shared" si="1"/>
        <v>481.1793773</v>
      </c>
      <c r="J12" s="160">
        <f t="shared" si="2"/>
        <v>5213.251123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167</v>
      </c>
      <c r="C13" s="162">
        <v>30.5</v>
      </c>
      <c r="D13" s="163">
        <v>0.0491</v>
      </c>
      <c r="E13" s="164">
        <f>277.79*7.2</f>
        <v>2000.088</v>
      </c>
      <c r="F13" s="164"/>
      <c r="G13" s="164"/>
      <c r="H13" s="158">
        <v>7.2</v>
      </c>
      <c r="I13" s="159">
        <f t="shared" si="1"/>
        <v>98.2043208</v>
      </c>
      <c r="J13" s="160">
        <f t="shared" si="2"/>
        <v>1901.883679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5"/>
      <c r="B21" s="166"/>
      <c r="C21" s="167"/>
      <c r="D21" s="168"/>
      <c r="E21" s="169">
        <f>SUM(E8:E20)</f>
        <v>51812.5395</v>
      </c>
      <c r="F21" s="170"/>
      <c r="G21" s="170"/>
      <c r="H21" s="171"/>
      <c r="I21" s="172">
        <f t="shared" ref="I21:J21" si="3">SUM(I8:I20)</f>
        <v>2383.992472</v>
      </c>
      <c r="J21" s="173">
        <f t="shared" si="3"/>
        <v>49428.54703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4"/>
      <c r="B22" s="144"/>
      <c r="C22" s="144"/>
      <c r="D22" s="175"/>
      <c r="E22" s="176"/>
      <c r="F22" s="151"/>
      <c r="G22" s="151"/>
      <c r="H22" s="147"/>
      <c r="I22" s="177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40.5" customHeight="1">
      <c r="A27" s="178"/>
      <c r="B27" s="162" t="s">
        <v>12</v>
      </c>
      <c r="C27" s="179" t="s">
        <v>60</v>
      </c>
      <c r="D27" s="52"/>
      <c r="E27" s="53"/>
      <c r="F27" s="180"/>
      <c r="G27" s="180"/>
      <c r="H27" s="181" t="s">
        <v>14</v>
      </c>
      <c r="I27" s="162" t="s">
        <v>15</v>
      </c>
      <c r="J27" s="162" t="s">
        <v>16</v>
      </c>
      <c r="K27" s="139"/>
      <c r="L27" s="162" t="s">
        <v>17</v>
      </c>
      <c r="M27" s="162" t="s">
        <v>15</v>
      </c>
      <c r="N27" s="178" t="s">
        <v>18</v>
      </c>
      <c r="O27" s="139"/>
      <c r="P27" s="139"/>
      <c r="Q27" s="178" t="s">
        <v>61</v>
      </c>
      <c r="R27" s="182"/>
      <c r="S27" s="162" t="s">
        <v>17</v>
      </c>
      <c r="T27" s="162" t="s">
        <v>15</v>
      </c>
      <c r="U27" s="178" t="s">
        <v>18</v>
      </c>
      <c r="V27" s="139"/>
      <c r="W27" s="178" t="s">
        <v>19</v>
      </c>
      <c r="X27" s="178" t="s">
        <v>20</v>
      </c>
      <c r="Y27" s="178" t="s">
        <v>21</v>
      </c>
      <c r="Z27" s="178" t="s">
        <v>168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27.0" customHeight="1">
      <c r="A28" s="162">
        <v>1.0</v>
      </c>
      <c r="B28" s="183" t="s">
        <v>63</v>
      </c>
      <c r="C28" s="184">
        <v>86.0</v>
      </c>
      <c r="D28" s="184">
        <v>202.0</v>
      </c>
      <c r="E28" s="184">
        <v>189.0</v>
      </c>
      <c r="F28" s="184">
        <f t="shared" ref="F28:F187" si="5">VALUE(IF(RIGHT(B28, 1)="%", RIGHT(B28, 3), 0))</f>
        <v>0.8</v>
      </c>
      <c r="G28" s="184">
        <f t="shared" ref="G28:G187" si="6">+R28*C28/100*D28/100*E28/100</f>
        <v>98.49924</v>
      </c>
      <c r="H28" s="185">
        <f t="shared" ref="H28:H187" si="7">IF(F28=0, G28, F28*G28)</f>
        <v>78.799392</v>
      </c>
      <c r="I28" s="184">
        <v>1.0</v>
      </c>
      <c r="J28" s="186">
        <f t="shared" ref="J28:J187" si="8">+I28*H28</f>
        <v>78.799392</v>
      </c>
      <c r="K28" s="187"/>
      <c r="L28" s="188">
        <f>D28*25.4/1000</f>
        <v>5.1308</v>
      </c>
      <c r="M28" s="189">
        <f>+I28</f>
        <v>1</v>
      </c>
      <c r="N28" s="189">
        <f>M28*L28</f>
        <v>5.1308</v>
      </c>
      <c r="O28" s="187"/>
      <c r="P28" s="187"/>
      <c r="Q28" s="188">
        <v>107.0</v>
      </c>
      <c r="R28" s="190">
        <v>30.0</v>
      </c>
      <c r="S28" s="178">
        <f t="shared" ref="S28:S188" si="9">E28/100</f>
        <v>1.89</v>
      </c>
      <c r="T28" s="162">
        <f t="shared" ref="T28:T188" si="10">I28</f>
        <v>1</v>
      </c>
      <c r="U28" s="162">
        <f t="shared" ref="U28:U188" si="11">T28*S28</f>
        <v>1.89</v>
      </c>
      <c r="V28" s="191">
        <f t="shared" ref="V28:V70" si="12">R28*C28/100*D28/100*E28/100</f>
        <v>98.49924</v>
      </c>
      <c r="W28" s="178">
        <f t="shared" ref="W28:X28" si="4">C28/100</f>
        <v>0.86</v>
      </c>
      <c r="X28" s="178">
        <f t="shared" si="4"/>
        <v>2.02</v>
      </c>
      <c r="Y28" s="178">
        <f t="shared" ref="Y28:Y188" si="14">U28</f>
        <v>1.89</v>
      </c>
      <c r="Z28" s="192">
        <f t="shared" ref="Z28:Z188" si="15">W28*X28*Y28</f>
        <v>3.283308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2">
        <v>2.0</v>
      </c>
      <c r="B29" s="193" t="s">
        <v>55</v>
      </c>
      <c r="C29" s="193">
        <v>99.0</v>
      </c>
      <c r="D29" s="193">
        <v>202.0</v>
      </c>
      <c r="E29" s="193">
        <v>204.0</v>
      </c>
      <c r="F29" s="193">
        <f t="shared" si="5"/>
        <v>0</v>
      </c>
      <c r="G29" s="193">
        <f t="shared" si="6"/>
        <v>122.38776</v>
      </c>
      <c r="H29" s="194">
        <f t="shared" si="7"/>
        <v>122.38776</v>
      </c>
      <c r="I29" s="193">
        <v>1.0</v>
      </c>
      <c r="J29" s="195">
        <f t="shared" si="8"/>
        <v>122.38776</v>
      </c>
      <c r="K29" s="139"/>
      <c r="L29" s="178"/>
      <c r="M29" s="162"/>
      <c r="N29" s="162"/>
      <c r="O29" s="139"/>
      <c r="P29" s="139"/>
      <c r="Q29" s="178">
        <v>126.0</v>
      </c>
      <c r="R29" s="190">
        <v>30.0</v>
      </c>
      <c r="S29" s="178">
        <f t="shared" si="9"/>
        <v>2.04</v>
      </c>
      <c r="T29" s="162">
        <f t="shared" si="10"/>
        <v>1</v>
      </c>
      <c r="U29" s="162">
        <f t="shared" si="11"/>
        <v>2.04</v>
      </c>
      <c r="V29" s="191">
        <f t="shared" si="12"/>
        <v>122.38776</v>
      </c>
      <c r="W29" s="178">
        <f t="shared" ref="W29:X29" si="13">C29/100</f>
        <v>0.99</v>
      </c>
      <c r="X29" s="178">
        <f t="shared" si="13"/>
        <v>2.02</v>
      </c>
      <c r="Y29" s="178">
        <f t="shared" si="14"/>
        <v>2.04</v>
      </c>
      <c r="Z29" s="192">
        <f t="shared" si="15"/>
        <v>4.079592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3.0</v>
      </c>
      <c r="B30" s="193" t="s">
        <v>55</v>
      </c>
      <c r="C30" s="193">
        <v>100.0</v>
      </c>
      <c r="D30" s="193">
        <v>202.0</v>
      </c>
      <c r="E30" s="193">
        <v>2880.0</v>
      </c>
      <c r="F30" s="193">
        <f t="shared" si="5"/>
        <v>0</v>
      </c>
      <c r="G30" s="193">
        <f t="shared" si="6"/>
        <v>1745.28</v>
      </c>
      <c r="H30" s="194">
        <f t="shared" si="7"/>
        <v>1745.28</v>
      </c>
      <c r="I30" s="193">
        <v>1.0</v>
      </c>
      <c r="J30" s="195">
        <f t="shared" si="8"/>
        <v>1745.28</v>
      </c>
      <c r="K30" s="139"/>
      <c r="L30" s="178">
        <f t="shared" ref="L30:L52" si="17">D30*25.4/1000</f>
        <v>5.1308</v>
      </c>
      <c r="M30" s="162">
        <f t="shared" ref="M30:M65" si="18">+I30</f>
        <v>1</v>
      </c>
      <c r="N30" s="162">
        <f t="shared" ref="N30:N52" si="19">M30*L30</f>
        <v>5.1308</v>
      </c>
      <c r="O30" s="139"/>
      <c r="P30" s="139"/>
      <c r="Q30" s="178">
        <v>1740.0</v>
      </c>
      <c r="R30" s="190">
        <v>30.0</v>
      </c>
      <c r="S30" s="178">
        <f t="shared" si="9"/>
        <v>28.8</v>
      </c>
      <c r="T30" s="162">
        <f t="shared" si="10"/>
        <v>1</v>
      </c>
      <c r="U30" s="162">
        <f t="shared" si="11"/>
        <v>28.8</v>
      </c>
      <c r="V30" s="191">
        <f t="shared" si="12"/>
        <v>1745.28</v>
      </c>
      <c r="W30" s="178">
        <f t="shared" ref="W30:X30" si="16">C30/100</f>
        <v>1</v>
      </c>
      <c r="X30" s="178">
        <f t="shared" si="16"/>
        <v>2.02</v>
      </c>
      <c r="Y30" s="178">
        <f t="shared" si="14"/>
        <v>28.8</v>
      </c>
      <c r="Z30" s="192">
        <f t="shared" si="15"/>
        <v>58.176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4.0</v>
      </c>
      <c r="B31" s="193" t="s">
        <v>55</v>
      </c>
      <c r="C31" s="193">
        <v>98.0</v>
      </c>
      <c r="D31" s="193">
        <v>202.0</v>
      </c>
      <c r="E31" s="193">
        <v>2884.0</v>
      </c>
      <c r="F31" s="193">
        <f t="shared" si="5"/>
        <v>0</v>
      </c>
      <c r="G31" s="193">
        <f t="shared" si="6"/>
        <v>1712.74992</v>
      </c>
      <c r="H31" s="194">
        <f t="shared" si="7"/>
        <v>1712.74992</v>
      </c>
      <c r="I31" s="193">
        <v>1.0</v>
      </c>
      <c r="J31" s="195">
        <f t="shared" si="8"/>
        <v>1712.74992</v>
      </c>
      <c r="K31" s="139"/>
      <c r="L31" s="178">
        <f t="shared" si="17"/>
        <v>5.1308</v>
      </c>
      <c r="M31" s="162">
        <f t="shared" si="18"/>
        <v>1</v>
      </c>
      <c r="N31" s="162">
        <f t="shared" si="19"/>
        <v>5.1308</v>
      </c>
      <c r="O31" s="139"/>
      <c r="P31" s="139"/>
      <c r="Q31" s="178">
        <v>1760.0</v>
      </c>
      <c r="R31" s="190">
        <v>30.0</v>
      </c>
      <c r="S31" s="178">
        <f t="shared" si="9"/>
        <v>28.84</v>
      </c>
      <c r="T31" s="162">
        <f t="shared" si="10"/>
        <v>1</v>
      </c>
      <c r="U31" s="162">
        <f t="shared" si="11"/>
        <v>28.84</v>
      </c>
      <c r="V31" s="191">
        <f t="shared" si="12"/>
        <v>1712.74992</v>
      </c>
      <c r="W31" s="178">
        <f t="shared" ref="W31:X31" si="20">C31/100</f>
        <v>0.98</v>
      </c>
      <c r="X31" s="178">
        <f t="shared" si="20"/>
        <v>2.02</v>
      </c>
      <c r="Y31" s="178">
        <f t="shared" si="14"/>
        <v>28.84</v>
      </c>
      <c r="Z31" s="192">
        <f t="shared" si="15"/>
        <v>57.091664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5.0</v>
      </c>
      <c r="B32" s="193" t="s">
        <v>55</v>
      </c>
      <c r="C32" s="193">
        <v>100.0</v>
      </c>
      <c r="D32" s="193">
        <v>202.0</v>
      </c>
      <c r="E32" s="193">
        <v>2882.0</v>
      </c>
      <c r="F32" s="193">
        <f t="shared" si="5"/>
        <v>0</v>
      </c>
      <c r="G32" s="193">
        <f t="shared" si="6"/>
        <v>1746.492</v>
      </c>
      <c r="H32" s="194">
        <f t="shared" si="7"/>
        <v>1746.492</v>
      </c>
      <c r="I32" s="193">
        <v>1.0</v>
      </c>
      <c r="J32" s="195">
        <f t="shared" si="8"/>
        <v>1746.492</v>
      </c>
      <c r="K32" s="139"/>
      <c r="L32" s="178">
        <f t="shared" si="17"/>
        <v>5.1308</v>
      </c>
      <c r="M32" s="162">
        <f t="shared" si="18"/>
        <v>1</v>
      </c>
      <c r="N32" s="162">
        <f t="shared" si="19"/>
        <v>5.1308</v>
      </c>
      <c r="O32" s="139"/>
      <c r="P32" s="139"/>
      <c r="Q32" s="178">
        <v>1760.0</v>
      </c>
      <c r="R32" s="190">
        <v>30.0</v>
      </c>
      <c r="S32" s="178">
        <f t="shared" si="9"/>
        <v>28.82</v>
      </c>
      <c r="T32" s="162">
        <f t="shared" si="10"/>
        <v>1</v>
      </c>
      <c r="U32" s="162">
        <f t="shared" si="11"/>
        <v>28.82</v>
      </c>
      <c r="V32" s="191">
        <f t="shared" si="12"/>
        <v>1746.492</v>
      </c>
      <c r="W32" s="178">
        <f t="shared" ref="W32:X32" si="21">C32/100</f>
        <v>1</v>
      </c>
      <c r="X32" s="178">
        <f t="shared" si="21"/>
        <v>2.02</v>
      </c>
      <c r="Y32" s="178">
        <f t="shared" si="14"/>
        <v>28.82</v>
      </c>
      <c r="Z32" s="192">
        <f t="shared" si="15"/>
        <v>58.2164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6.0</v>
      </c>
      <c r="B33" s="193" t="s">
        <v>55</v>
      </c>
      <c r="C33" s="193">
        <v>100.0</v>
      </c>
      <c r="D33" s="193">
        <v>202.0</v>
      </c>
      <c r="E33" s="193">
        <v>2884.0</v>
      </c>
      <c r="F33" s="193">
        <f t="shared" si="5"/>
        <v>0</v>
      </c>
      <c r="G33" s="193">
        <f t="shared" si="6"/>
        <v>1747.704</v>
      </c>
      <c r="H33" s="194">
        <f t="shared" si="7"/>
        <v>1747.704</v>
      </c>
      <c r="I33" s="193">
        <v>1.0</v>
      </c>
      <c r="J33" s="195">
        <f t="shared" si="8"/>
        <v>1747.704</v>
      </c>
      <c r="K33" s="139"/>
      <c r="L33" s="178">
        <f t="shared" si="17"/>
        <v>5.1308</v>
      </c>
      <c r="M33" s="162">
        <f t="shared" si="18"/>
        <v>1</v>
      </c>
      <c r="N33" s="162">
        <f t="shared" si="19"/>
        <v>5.1308</v>
      </c>
      <c r="O33" s="139"/>
      <c r="P33" s="139"/>
      <c r="Q33" s="178">
        <v>1760.0</v>
      </c>
      <c r="R33" s="190">
        <v>30.0</v>
      </c>
      <c r="S33" s="178">
        <f t="shared" si="9"/>
        <v>28.84</v>
      </c>
      <c r="T33" s="162">
        <f t="shared" si="10"/>
        <v>1</v>
      </c>
      <c r="U33" s="162">
        <f t="shared" si="11"/>
        <v>28.84</v>
      </c>
      <c r="V33" s="191">
        <f t="shared" si="12"/>
        <v>1747.704</v>
      </c>
      <c r="W33" s="178">
        <f t="shared" ref="W33:X33" si="22">C33/100</f>
        <v>1</v>
      </c>
      <c r="X33" s="178">
        <f t="shared" si="22"/>
        <v>2.02</v>
      </c>
      <c r="Y33" s="178">
        <f t="shared" si="14"/>
        <v>28.84</v>
      </c>
      <c r="Z33" s="192">
        <f t="shared" si="15"/>
        <v>58.2568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7.0</v>
      </c>
      <c r="B34" s="193" t="s">
        <v>55</v>
      </c>
      <c r="C34" s="193">
        <v>99.0</v>
      </c>
      <c r="D34" s="193">
        <v>202.0</v>
      </c>
      <c r="E34" s="193">
        <v>2671.0</v>
      </c>
      <c r="F34" s="193">
        <f t="shared" si="5"/>
        <v>0</v>
      </c>
      <c r="G34" s="193">
        <f t="shared" si="6"/>
        <v>1602.43974</v>
      </c>
      <c r="H34" s="194">
        <f t="shared" si="7"/>
        <v>1602.43974</v>
      </c>
      <c r="I34" s="193">
        <v>1.0</v>
      </c>
      <c r="J34" s="195">
        <f t="shared" si="8"/>
        <v>1602.43974</v>
      </c>
      <c r="K34" s="139"/>
      <c r="L34" s="178">
        <f t="shared" si="17"/>
        <v>5.1308</v>
      </c>
      <c r="M34" s="162">
        <f t="shared" si="18"/>
        <v>1</v>
      </c>
      <c r="N34" s="162">
        <f t="shared" si="19"/>
        <v>5.1308</v>
      </c>
      <c r="O34" s="139"/>
      <c r="P34" s="139"/>
      <c r="Q34" s="178">
        <v>1610.0</v>
      </c>
      <c r="R34" s="190">
        <v>30.0</v>
      </c>
      <c r="S34" s="178">
        <f t="shared" si="9"/>
        <v>26.71</v>
      </c>
      <c r="T34" s="162">
        <f t="shared" si="10"/>
        <v>1</v>
      </c>
      <c r="U34" s="162">
        <f t="shared" si="11"/>
        <v>26.71</v>
      </c>
      <c r="V34" s="191">
        <f t="shared" si="12"/>
        <v>1602.43974</v>
      </c>
      <c r="W34" s="178">
        <f t="shared" ref="W34:X34" si="23">C34/100</f>
        <v>0.99</v>
      </c>
      <c r="X34" s="178">
        <f t="shared" si="23"/>
        <v>2.02</v>
      </c>
      <c r="Y34" s="178">
        <f t="shared" si="14"/>
        <v>26.71</v>
      </c>
      <c r="Z34" s="192">
        <f t="shared" si="15"/>
        <v>53.414658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8.0</v>
      </c>
      <c r="B35" s="193" t="s">
        <v>55</v>
      </c>
      <c r="C35" s="193">
        <v>100.0</v>
      </c>
      <c r="D35" s="193">
        <v>202.0</v>
      </c>
      <c r="E35" s="193">
        <v>2882.0</v>
      </c>
      <c r="F35" s="193">
        <f t="shared" si="5"/>
        <v>0</v>
      </c>
      <c r="G35" s="193">
        <f t="shared" si="6"/>
        <v>1746.492</v>
      </c>
      <c r="H35" s="194">
        <f t="shared" si="7"/>
        <v>1746.492</v>
      </c>
      <c r="I35" s="193">
        <v>1.0</v>
      </c>
      <c r="J35" s="195">
        <f t="shared" si="8"/>
        <v>1746.492</v>
      </c>
      <c r="K35" s="139"/>
      <c r="L35" s="178">
        <f t="shared" si="17"/>
        <v>5.1308</v>
      </c>
      <c r="M35" s="162">
        <f t="shared" si="18"/>
        <v>1</v>
      </c>
      <c r="N35" s="162">
        <f t="shared" si="19"/>
        <v>5.1308</v>
      </c>
      <c r="O35" s="139"/>
      <c r="P35" s="139"/>
      <c r="Q35" s="178">
        <v>1740.0</v>
      </c>
      <c r="R35" s="190">
        <v>30.0</v>
      </c>
      <c r="S35" s="178">
        <f t="shared" si="9"/>
        <v>28.82</v>
      </c>
      <c r="T35" s="162">
        <f t="shared" si="10"/>
        <v>1</v>
      </c>
      <c r="U35" s="162">
        <f t="shared" si="11"/>
        <v>28.82</v>
      </c>
      <c r="V35" s="191">
        <f t="shared" si="12"/>
        <v>1746.492</v>
      </c>
      <c r="W35" s="178">
        <f t="shared" ref="W35:X35" si="24">C35/100</f>
        <v>1</v>
      </c>
      <c r="X35" s="178">
        <f t="shared" si="24"/>
        <v>2.02</v>
      </c>
      <c r="Y35" s="178">
        <f t="shared" si="14"/>
        <v>28.82</v>
      </c>
      <c r="Z35" s="192">
        <f t="shared" si="15"/>
        <v>58.2164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9.0</v>
      </c>
      <c r="B36" s="193" t="s">
        <v>55</v>
      </c>
      <c r="C36" s="193">
        <v>100.0</v>
      </c>
      <c r="D36" s="193">
        <v>202.0</v>
      </c>
      <c r="E36" s="193">
        <v>2882.0</v>
      </c>
      <c r="F36" s="193">
        <f t="shared" si="5"/>
        <v>0</v>
      </c>
      <c r="G36" s="193">
        <f t="shared" si="6"/>
        <v>1746.492</v>
      </c>
      <c r="H36" s="194">
        <f t="shared" si="7"/>
        <v>1746.492</v>
      </c>
      <c r="I36" s="193">
        <v>1.0</v>
      </c>
      <c r="J36" s="195">
        <f t="shared" si="8"/>
        <v>1746.492</v>
      </c>
      <c r="K36" s="139"/>
      <c r="L36" s="178">
        <f t="shared" si="17"/>
        <v>5.1308</v>
      </c>
      <c r="M36" s="162">
        <f t="shared" si="18"/>
        <v>1</v>
      </c>
      <c r="N36" s="162">
        <f t="shared" si="19"/>
        <v>5.1308</v>
      </c>
      <c r="O36" s="139"/>
      <c r="P36" s="139"/>
      <c r="Q36" s="178">
        <v>1755.0</v>
      </c>
      <c r="R36" s="190">
        <v>30.0</v>
      </c>
      <c r="S36" s="178">
        <f t="shared" si="9"/>
        <v>28.82</v>
      </c>
      <c r="T36" s="162">
        <f t="shared" si="10"/>
        <v>1</v>
      </c>
      <c r="U36" s="162">
        <f t="shared" si="11"/>
        <v>28.82</v>
      </c>
      <c r="V36" s="191">
        <f t="shared" si="12"/>
        <v>1746.492</v>
      </c>
      <c r="W36" s="178">
        <f t="shared" ref="W36:X36" si="25">C36/100</f>
        <v>1</v>
      </c>
      <c r="X36" s="178">
        <f t="shared" si="25"/>
        <v>2.02</v>
      </c>
      <c r="Y36" s="178">
        <f t="shared" si="14"/>
        <v>28.82</v>
      </c>
      <c r="Z36" s="192">
        <f t="shared" si="15"/>
        <v>58.2164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10.0</v>
      </c>
      <c r="B37" s="196" t="s">
        <v>57</v>
      </c>
      <c r="C37" s="193">
        <v>100.0</v>
      </c>
      <c r="D37" s="193">
        <v>202.0</v>
      </c>
      <c r="E37" s="193">
        <v>208.0</v>
      </c>
      <c r="F37" s="193">
        <f t="shared" si="5"/>
        <v>0</v>
      </c>
      <c r="G37" s="193">
        <f t="shared" si="6"/>
        <v>126.048</v>
      </c>
      <c r="H37" s="194">
        <f t="shared" si="7"/>
        <v>126.048</v>
      </c>
      <c r="I37" s="193">
        <v>1.0</v>
      </c>
      <c r="J37" s="195">
        <f t="shared" si="8"/>
        <v>126.048</v>
      </c>
      <c r="K37" s="139"/>
      <c r="L37" s="178">
        <f t="shared" si="17"/>
        <v>5.1308</v>
      </c>
      <c r="M37" s="162">
        <f t="shared" si="18"/>
        <v>1</v>
      </c>
      <c r="N37" s="162">
        <f t="shared" si="19"/>
        <v>5.1308</v>
      </c>
      <c r="O37" s="139"/>
      <c r="P37" s="139"/>
      <c r="Q37" s="178">
        <v>126.0</v>
      </c>
      <c r="R37" s="190">
        <v>30.0</v>
      </c>
      <c r="S37" s="178">
        <f t="shared" si="9"/>
        <v>2.08</v>
      </c>
      <c r="T37" s="162">
        <f t="shared" si="10"/>
        <v>1</v>
      </c>
      <c r="U37" s="162">
        <f t="shared" si="11"/>
        <v>2.08</v>
      </c>
      <c r="V37" s="191">
        <f t="shared" si="12"/>
        <v>126.048</v>
      </c>
      <c r="W37" s="178">
        <f t="shared" ref="W37:X37" si="26">C37/100</f>
        <v>1</v>
      </c>
      <c r="X37" s="178">
        <f t="shared" si="26"/>
        <v>2.02</v>
      </c>
      <c r="Y37" s="178">
        <f t="shared" si="14"/>
        <v>2.08</v>
      </c>
      <c r="Z37" s="192">
        <f t="shared" si="15"/>
        <v>4.2016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11.0</v>
      </c>
      <c r="B38" s="193" t="s">
        <v>57</v>
      </c>
      <c r="C38" s="193">
        <v>101.0</v>
      </c>
      <c r="D38" s="193">
        <v>202.0</v>
      </c>
      <c r="E38" s="193">
        <v>2883.0</v>
      </c>
      <c r="F38" s="193">
        <f t="shared" si="5"/>
        <v>0</v>
      </c>
      <c r="G38" s="193">
        <f t="shared" si="6"/>
        <v>1764.56898</v>
      </c>
      <c r="H38" s="194">
        <f t="shared" si="7"/>
        <v>1764.56898</v>
      </c>
      <c r="I38" s="193">
        <v>1.0</v>
      </c>
      <c r="J38" s="195">
        <f t="shared" si="8"/>
        <v>1764.56898</v>
      </c>
      <c r="K38" s="139"/>
      <c r="L38" s="178">
        <f t="shared" si="17"/>
        <v>5.1308</v>
      </c>
      <c r="M38" s="162">
        <f t="shared" si="18"/>
        <v>1</v>
      </c>
      <c r="N38" s="162">
        <f t="shared" si="19"/>
        <v>5.1308</v>
      </c>
      <c r="O38" s="139"/>
      <c r="P38" s="139"/>
      <c r="Q38" s="178">
        <v>1745.0</v>
      </c>
      <c r="R38" s="190">
        <v>30.0</v>
      </c>
      <c r="S38" s="178">
        <f t="shared" si="9"/>
        <v>28.83</v>
      </c>
      <c r="T38" s="162">
        <f t="shared" si="10"/>
        <v>1</v>
      </c>
      <c r="U38" s="162">
        <f t="shared" si="11"/>
        <v>28.83</v>
      </c>
      <c r="V38" s="191">
        <f t="shared" si="12"/>
        <v>1764.56898</v>
      </c>
      <c r="W38" s="178">
        <f t="shared" ref="W38:X38" si="27">C38/100</f>
        <v>1.01</v>
      </c>
      <c r="X38" s="178">
        <f t="shared" si="27"/>
        <v>2.02</v>
      </c>
      <c r="Y38" s="178">
        <f t="shared" si="14"/>
        <v>28.83</v>
      </c>
      <c r="Z38" s="192">
        <f t="shared" si="15"/>
        <v>58.818966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12.0</v>
      </c>
      <c r="B39" s="193" t="s">
        <v>57</v>
      </c>
      <c r="C39" s="193">
        <v>100.0</v>
      </c>
      <c r="D39" s="193">
        <v>202.0</v>
      </c>
      <c r="E39" s="193">
        <v>2885.0</v>
      </c>
      <c r="F39" s="193">
        <f t="shared" si="5"/>
        <v>0</v>
      </c>
      <c r="G39" s="193">
        <f t="shared" si="6"/>
        <v>1748.31</v>
      </c>
      <c r="H39" s="194">
        <f t="shared" si="7"/>
        <v>1748.31</v>
      </c>
      <c r="I39" s="193">
        <v>1.0</v>
      </c>
      <c r="J39" s="195">
        <f t="shared" si="8"/>
        <v>1748.31</v>
      </c>
      <c r="K39" s="139"/>
      <c r="L39" s="178">
        <f t="shared" si="17"/>
        <v>5.1308</v>
      </c>
      <c r="M39" s="162">
        <f t="shared" si="18"/>
        <v>1</v>
      </c>
      <c r="N39" s="162">
        <f t="shared" si="19"/>
        <v>5.1308</v>
      </c>
      <c r="O39" s="139"/>
      <c r="P39" s="139"/>
      <c r="Q39" s="178">
        <v>1730.0</v>
      </c>
      <c r="R39" s="190">
        <v>30.0</v>
      </c>
      <c r="S39" s="178">
        <f t="shared" si="9"/>
        <v>28.85</v>
      </c>
      <c r="T39" s="162">
        <f t="shared" si="10"/>
        <v>1</v>
      </c>
      <c r="U39" s="162">
        <f t="shared" si="11"/>
        <v>28.85</v>
      </c>
      <c r="V39" s="191">
        <f t="shared" si="12"/>
        <v>1748.31</v>
      </c>
      <c r="W39" s="178">
        <f t="shared" ref="W39:X39" si="28">C39/100</f>
        <v>1</v>
      </c>
      <c r="X39" s="178">
        <f t="shared" si="28"/>
        <v>2.02</v>
      </c>
      <c r="Y39" s="178">
        <f t="shared" si="14"/>
        <v>28.85</v>
      </c>
      <c r="Z39" s="192">
        <f t="shared" si="15"/>
        <v>58.277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13.0</v>
      </c>
      <c r="B40" s="193" t="s">
        <v>57</v>
      </c>
      <c r="C40" s="193">
        <v>101.0</v>
      </c>
      <c r="D40" s="193">
        <v>202.0</v>
      </c>
      <c r="E40" s="193">
        <v>2879.0</v>
      </c>
      <c r="F40" s="193">
        <f t="shared" si="5"/>
        <v>0</v>
      </c>
      <c r="G40" s="193">
        <f t="shared" si="6"/>
        <v>1762.12074</v>
      </c>
      <c r="H40" s="194">
        <f t="shared" si="7"/>
        <v>1762.12074</v>
      </c>
      <c r="I40" s="193">
        <v>1.0</v>
      </c>
      <c r="J40" s="195">
        <f t="shared" si="8"/>
        <v>1762.12074</v>
      </c>
      <c r="K40" s="139"/>
      <c r="L40" s="178">
        <f t="shared" si="17"/>
        <v>5.1308</v>
      </c>
      <c r="M40" s="162">
        <f t="shared" si="18"/>
        <v>1</v>
      </c>
      <c r="N40" s="162">
        <f t="shared" si="19"/>
        <v>5.1308</v>
      </c>
      <c r="O40" s="139"/>
      <c r="P40" s="139"/>
      <c r="Q40" s="178">
        <v>1730.0</v>
      </c>
      <c r="R40" s="190">
        <v>30.0</v>
      </c>
      <c r="S40" s="178">
        <f t="shared" si="9"/>
        <v>28.79</v>
      </c>
      <c r="T40" s="162">
        <f t="shared" si="10"/>
        <v>1</v>
      </c>
      <c r="U40" s="162">
        <f t="shared" si="11"/>
        <v>28.79</v>
      </c>
      <c r="V40" s="191">
        <f t="shared" si="12"/>
        <v>1762.12074</v>
      </c>
      <c r="W40" s="178">
        <f t="shared" ref="W40:X40" si="29">C40/100</f>
        <v>1.01</v>
      </c>
      <c r="X40" s="178">
        <f t="shared" si="29"/>
        <v>2.02</v>
      </c>
      <c r="Y40" s="178">
        <f t="shared" si="14"/>
        <v>28.79</v>
      </c>
      <c r="Z40" s="192">
        <f t="shared" si="15"/>
        <v>58.737358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14.0</v>
      </c>
      <c r="B41" s="193" t="s">
        <v>57</v>
      </c>
      <c r="C41" s="193">
        <v>100.0</v>
      </c>
      <c r="D41" s="193">
        <v>202.0</v>
      </c>
      <c r="E41" s="193">
        <v>2542.0</v>
      </c>
      <c r="F41" s="193">
        <f t="shared" si="5"/>
        <v>0</v>
      </c>
      <c r="G41" s="193">
        <f t="shared" si="6"/>
        <v>1540.452</v>
      </c>
      <c r="H41" s="194">
        <f t="shared" si="7"/>
        <v>1540.452</v>
      </c>
      <c r="I41" s="193">
        <v>1.0</v>
      </c>
      <c r="J41" s="195">
        <f t="shared" si="8"/>
        <v>1540.452</v>
      </c>
      <c r="K41" s="139"/>
      <c r="L41" s="178">
        <f t="shared" si="17"/>
        <v>5.1308</v>
      </c>
      <c r="M41" s="162">
        <f t="shared" si="18"/>
        <v>1</v>
      </c>
      <c r="N41" s="162">
        <f t="shared" si="19"/>
        <v>5.1308</v>
      </c>
      <c r="O41" s="139"/>
      <c r="P41" s="139"/>
      <c r="Q41" s="178">
        <v>1515.0</v>
      </c>
      <c r="R41" s="190">
        <v>30.0</v>
      </c>
      <c r="S41" s="178">
        <f t="shared" si="9"/>
        <v>25.42</v>
      </c>
      <c r="T41" s="162">
        <f t="shared" si="10"/>
        <v>1</v>
      </c>
      <c r="U41" s="162">
        <f t="shared" si="11"/>
        <v>25.42</v>
      </c>
      <c r="V41" s="191">
        <f t="shared" si="12"/>
        <v>1540.452</v>
      </c>
      <c r="W41" s="178">
        <f t="shared" ref="W41:X41" si="30">C41/100</f>
        <v>1</v>
      </c>
      <c r="X41" s="178">
        <f t="shared" si="30"/>
        <v>2.02</v>
      </c>
      <c r="Y41" s="178">
        <f t="shared" si="14"/>
        <v>25.42</v>
      </c>
      <c r="Z41" s="192">
        <f t="shared" si="15"/>
        <v>51.3484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15.0</v>
      </c>
      <c r="B42" s="193" t="s">
        <v>57</v>
      </c>
      <c r="C42" s="193">
        <v>100.0</v>
      </c>
      <c r="D42" s="193">
        <v>202.0</v>
      </c>
      <c r="E42" s="193">
        <v>2879.0</v>
      </c>
      <c r="F42" s="193">
        <f t="shared" si="5"/>
        <v>0</v>
      </c>
      <c r="G42" s="193">
        <f t="shared" si="6"/>
        <v>1744.674</v>
      </c>
      <c r="H42" s="194">
        <f t="shared" si="7"/>
        <v>1744.674</v>
      </c>
      <c r="I42" s="193">
        <v>1.0</v>
      </c>
      <c r="J42" s="195">
        <f t="shared" si="8"/>
        <v>1744.674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1730.0</v>
      </c>
      <c r="R42" s="190">
        <v>30.0</v>
      </c>
      <c r="S42" s="178">
        <f t="shared" si="9"/>
        <v>28.79</v>
      </c>
      <c r="T42" s="162">
        <f t="shared" si="10"/>
        <v>1</v>
      </c>
      <c r="U42" s="162">
        <f t="shared" si="11"/>
        <v>28.79</v>
      </c>
      <c r="V42" s="191">
        <f t="shared" si="12"/>
        <v>1744.674</v>
      </c>
      <c r="W42" s="178">
        <f t="shared" ref="W42:X42" si="31">C42/100</f>
        <v>1</v>
      </c>
      <c r="X42" s="178">
        <f t="shared" si="31"/>
        <v>2.02</v>
      </c>
      <c r="Y42" s="178">
        <f t="shared" si="14"/>
        <v>28.79</v>
      </c>
      <c r="Z42" s="192">
        <f t="shared" si="15"/>
        <v>58.1558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16.0</v>
      </c>
      <c r="B43" s="272" t="s">
        <v>121</v>
      </c>
      <c r="C43" s="272">
        <v>101.0</v>
      </c>
      <c r="D43" s="272">
        <v>202.0</v>
      </c>
      <c r="E43" s="272">
        <v>208.0</v>
      </c>
      <c r="F43" s="272">
        <f t="shared" si="5"/>
        <v>0.5</v>
      </c>
      <c r="G43" s="272">
        <f t="shared" si="6"/>
        <v>127.30848</v>
      </c>
      <c r="H43" s="273">
        <f t="shared" si="7"/>
        <v>63.65424</v>
      </c>
      <c r="I43" s="272">
        <v>1.0</v>
      </c>
      <c r="J43" s="274">
        <f t="shared" si="8"/>
        <v>63.65424</v>
      </c>
      <c r="K43" s="275"/>
      <c r="L43" s="276">
        <f t="shared" si="17"/>
        <v>5.1308</v>
      </c>
      <c r="M43" s="277">
        <f t="shared" si="18"/>
        <v>1</v>
      </c>
      <c r="N43" s="277">
        <f t="shared" si="19"/>
        <v>5.1308</v>
      </c>
      <c r="O43" s="275"/>
      <c r="P43" s="275"/>
      <c r="Q43" s="276">
        <v>128.0</v>
      </c>
      <c r="R43" s="190">
        <v>30.0</v>
      </c>
      <c r="S43" s="178">
        <f t="shared" si="9"/>
        <v>2.08</v>
      </c>
      <c r="T43" s="162">
        <f t="shared" si="10"/>
        <v>1</v>
      </c>
      <c r="U43" s="162">
        <f t="shared" si="11"/>
        <v>2.08</v>
      </c>
      <c r="V43" s="191">
        <f t="shared" si="12"/>
        <v>127.30848</v>
      </c>
      <c r="W43" s="178">
        <f t="shared" ref="W43:X43" si="32">C43/100</f>
        <v>1.01</v>
      </c>
      <c r="X43" s="178">
        <f t="shared" si="32"/>
        <v>2.02</v>
      </c>
      <c r="Y43" s="178">
        <f t="shared" si="14"/>
        <v>2.08</v>
      </c>
      <c r="Z43" s="192">
        <f t="shared" si="15"/>
        <v>4.243616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17.0</v>
      </c>
      <c r="B44" s="183" t="s">
        <v>146</v>
      </c>
      <c r="C44" s="184">
        <v>86.0</v>
      </c>
      <c r="D44" s="184">
        <v>191.0</v>
      </c>
      <c r="E44" s="184">
        <v>186.0</v>
      </c>
      <c r="F44" s="184">
        <f t="shared" si="5"/>
        <v>0.8</v>
      </c>
      <c r="G44" s="184">
        <f t="shared" si="6"/>
        <v>67.215192</v>
      </c>
      <c r="H44" s="185">
        <f t="shared" si="7"/>
        <v>53.7721536</v>
      </c>
      <c r="I44" s="184">
        <v>1.0</v>
      </c>
      <c r="J44" s="186">
        <f t="shared" si="8"/>
        <v>53.7721536</v>
      </c>
      <c r="K44" s="187"/>
      <c r="L44" s="188">
        <f t="shared" si="17"/>
        <v>4.8514</v>
      </c>
      <c r="M44" s="189">
        <f t="shared" si="18"/>
        <v>1</v>
      </c>
      <c r="N44" s="189">
        <f t="shared" si="19"/>
        <v>4.8514</v>
      </c>
      <c r="O44" s="187"/>
      <c r="P44" s="187"/>
      <c r="Q44" s="188">
        <v>77.0</v>
      </c>
      <c r="R44" s="190">
        <v>22.0</v>
      </c>
      <c r="S44" s="178">
        <f t="shared" si="9"/>
        <v>1.86</v>
      </c>
      <c r="T44" s="162">
        <f t="shared" si="10"/>
        <v>1</v>
      </c>
      <c r="U44" s="162">
        <f t="shared" si="11"/>
        <v>1.86</v>
      </c>
      <c r="V44" s="191">
        <f t="shared" si="12"/>
        <v>67.215192</v>
      </c>
      <c r="W44" s="178">
        <f t="shared" ref="W44:X44" si="33">C44/100</f>
        <v>0.86</v>
      </c>
      <c r="X44" s="178">
        <f t="shared" si="33"/>
        <v>1.91</v>
      </c>
      <c r="Y44" s="178">
        <f t="shared" si="14"/>
        <v>1.86</v>
      </c>
      <c r="Z44" s="192">
        <f t="shared" si="15"/>
        <v>3.055236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18.0</v>
      </c>
      <c r="B45" s="193" t="s">
        <v>144</v>
      </c>
      <c r="C45" s="193">
        <v>100.0</v>
      </c>
      <c r="D45" s="193">
        <v>191.0</v>
      </c>
      <c r="E45" s="193">
        <v>189.0</v>
      </c>
      <c r="F45" s="193">
        <f t="shared" si="5"/>
        <v>0</v>
      </c>
      <c r="G45" s="193">
        <f t="shared" si="6"/>
        <v>79.4178</v>
      </c>
      <c r="H45" s="194">
        <f t="shared" si="7"/>
        <v>79.4178</v>
      </c>
      <c r="I45" s="193">
        <v>1.0</v>
      </c>
      <c r="J45" s="195">
        <f t="shared" si="8"/>
        <v>79.4178</v>
      </c>
      <c r="K45" s="139"/>
      <c r="L45" s="178">
        <f t="shared" si="17"/>
        <v>4.8514</v>
      </c>
      <c r="M45" s="162">
        <f t="shared" si="18"/>
        <v>1</v>
      </c>
      <c r="N45" s="162">
        <f t="shared" si="19"/>
        <v>4.8514</v>
      </c>
      <c r="O45" s="139"/>
      <c r="P45" s="139"/>
      <c r="Q45" s="178">
        <v>86.0</v>
      </c>
      <c r="R45" s="190">
        <v>22.0</v>
      </c>
      <c r="S45" s="178">
        <f t="shared" si="9"/>
        <v>1.89</v>
      </c>
      <c r="T45" s="162">
        <f t="shared" si="10"/>
        <v>1</v>
      </c>
      <c r="U45" s="162">
        <f t="shared" si="11"/>
        <v>1.89</v>
      </c>
      <c r="V45" s="191">
        <f t="shared" si="12"/>
        <v>79.4178</v>
      </c>
      <c r="W45" s="178">
        <f t="shared" ref="W45:X45" si="34">C45/100</f>
        <v>1</v>
      </c>
      <c r="X45" s="178">
        <f t="shared" si="34"/>
        <v>1.91</v>
      </c>
      <c r="Y45" s="178">
        <f t="shared" si="14"/>
        <v>1.89</v>
      </c>
      <c r="Z45" s="192">
        <f t="shared" si="15"/>
        <v>3.6099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19.0</v>
      </c>
      <c r="B46" s="193" t="s">
        <v>144</v>
      </c>
      <c r="C46" s="193">
        <v>103.0</v>
      </c>
      <c r="D46" s="193">
        <v>191.0</v>
      </c>
      <c r="E46" s="193">
        <v>2887.0</v>
      </c>
      <c r="F46" s="193">
        <f t="shared" si="5"/>
        <v>0</v>
      </c>
      <c r="G46" s="193">
        <f t="shared" si="6"/>
        <v>1249.510922</v>
      </c>
      <c r="H46" s="194">
        <f t="shared" si="7"/>
        <v>1249.510922</v>
      </c>
      <c r="I46" s="193">
        <v>1.0</v>
      </c>
      <c r="J46" s="195">
        <f t="shared" si="8"/>
        <v>1249.510922</v>
      </c>
      <c r="K46" s="139"/>
      <c r="L46" s="178">
        <f t="shared" si="17"/>
        <v>4.8514</v>
      </c>
      <c r="M46" s="162">
        <f t="shared" si="18"/>
        <v>1</v>
      </c>
      <c r="N46" s="162">
        <f t="shared" si="19"/>
        <v>4.8514</v>
      </c>
      <c r="O46" s="139"/>
      <c r="P46" s="139"/>
      <c r="Q46" s="178">
        <v>1250.0</v>
      </c>
      <c r="R46" s="190">
        <v>22.0</v>
      </c>
      <c r="S46" s="178">
        <f t="shared" si="9"/>
        <v>28.87</v>
      </c>
      <c r="T46" s="162">
        <f t="shared" si="10"/>
        <v>1</v>
      </c>
      <c r="U46" s="162">
        <f t="shared" si="11"/>
        <v>28.87</v>
      </c>
      <c r="V46" s="191">
        <f t="shared" si="12"/>
        <v>1249.510922</v>
      </c>
      <c r="W46" s="178">
        <f t="shared" ref="W46:X46" si="35">C46/100</f>
        <v>1.03</v>
      </c>
      <c r="X46" s="178">
        <f t="shared" si="35"/>
        <v>1.91</v>
      </c>
      <c r="Y46" s="178">
        <f t="shared" si="14"/>
        <v>28.87</v>
      </c>
      <c r="Z46" s="192">
        <f t="shared" si="15"/>
        <v>56.795951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20.0</v>
      </c>
      <c r="B47" s="193" t="s">
        <v>144</v>
      </c>
      <c r="C47" s="193">
        <v>103.0</v>
      </c>
      <c r="D47" s="193">
        <v>191.0</v>
      </c>
      <c r="E47" s="193">
        <v>2882.0</v>
      </c>
      <c r="F47" s="193">
        <f t="shared" si="5"/>
        <v>0</v>
      </c>
      <c r="G47" s="193">
        <f t="shared" si="6"/>
        <v>1247.346892</v>
      </c>
      <c r="H47" s="194">
        <f t="shared" si="7"/>
        <v>1247.346892</v>
      </c>
      <c r="I47" s="193">
        <v>1.0</v>
      </c>
      <c r="J47" s="195">
        <f t="shared" si="8"/>
        <v>1247.346892</v>
      </c>
      <c r="K47" s="139"/>
      <c r="L47" s="178">
        <f t="shared" si="17"/>
        <v>4.8514</v>
      </c>
      <c r="M47" s="162">
        <f t="shared" si="18"/>
        <v>1</v>
      </c>
      <c r="N47" s="162">
        <f t="shared" si="19"/>
        <v>4.8514</v>
      </c>
      <c r="O47" s="139"/>
      <c r="P47" s="139"/>
      <c r="Q47" s="178">
        <v>1255.0</v>
      </c>
      <c r="R47" s="190">
        <v>22.0</v>
      </c>
      <c r="S47" s="178">
        <f t="shared" si="9"/>
        <v>28.82</v>
      </c>
      <c r="T47" s="162">
        <f t="shared" si="10"/>
        <v>1</v>
      </c>
      <c r="U47" s="162">
        <f t="shared" si="11"/>
        <v>28.82</v>
      </c>
      <c r="V47" s="191">
        <f t="shared" si="12"/>
        <v>1247.346892</v>
      </c>
      <c r="W47" s="178">
        <f t="shared" ref="W47:X47" si="36">C47/100</f>
        <v>1.03</v>
      </c>
      <c r="X47" s="178">
        <f t="shared" si="36"/>
        <v>1.91</v>
      </c>
      <c r="Y47" s="178">
        <f t="shared" si="14"/>
        <v>28.82</v>
      </c>
      <c r="Z47" s="192">
        <f t="shared" si="15"/>
        <v>56.697586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21.0</v>
      </c>
      <c r="B48" s="193" t="s">
        <v>144</v>
      </c>
      <c r="C48" s="193">
        <v>101.0</v>
      </c>
      <c r="D48" s="193">
        <v>191.0</v>
      </c>
      <c r="E48" s="193">
        <v>2868.0</v>
      </c>
      <c r="F48" s="193">
        <f t="shared" si="5"/>
        <v>0</v>
      </c>
      <c r="G48" s="193">
        <f t="shared" si="6"/>
        <v>1217.184936</v>
      </c>
      <c r="H48" s="194">
        <f t="shared" si="7"/>
        <v>1217.184936</v>
      </c>
      <c r="I48" s="193">
        <v>1.0</v>
      </c>
      <c r="J48" s="195">
        <f t="shared" si="8"/>
        <v>1217.184936</v>
      </c>
      <c r="K48" s="139"/>
      <c r="L48" s="178">
        <f t="shared" si="17"/>
        <v>4.8514</v>
      </c>
      <c r="M48" s="162">
        <f t="shared" si="18"/>
        <v>1</v>
      </c>
      <c r="N48" s="162">
        <f t="shared" si="19"/>
        <v>4.8514</v>
      </c>
      <c r="O48" s="139"/>
      <c r="P48" s="139"/>
      <c r="Q48" s="178">
        <v>1225.0</v>
      </c>
      <c r="R48" s="190">
        <v>22.0</v>
      </c>
      <c r="S48" s="178">
        <f t="shared" si="9"/>
        <v>28.68</v>
      </c>
      <c r="T48" s="162">
        <f t="shared" si="10"/>
        <v>1</v>
      </c>
      <c r="U48" s="162">
        <f t="shared" si="11"/>
        <v>28.68</v>
      </c>
      <c r="V48" s="191">
        <f t="shared" si="12"/>
        <v>1217.184936</v>
      </c>
      <c r="W48" s="178">
        <f t="shared" ref="W48:X48" si="37">C48/100</f>
        <v>1.01</v>
      </c>
      <c r="X48" s="178">
        <f t="shared" si="37"/>
        <v>1.91</v>
      </c>
      <c r="Y48" s="178">
        <f t="shared" si="14"/>
        <v>28.68</v>
      </c>
      <c r="Z48" s="192">
        <f t="shared" si="15"/>
        <v>55.326588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22.0</v>
      </c>
      <c r="B49" s="193" t="s">
        <v>144</v>
      </c>
      <c r="C49" s="193">
        <v>103.0</v>
      </c>
      <c r="D49" s="193">
        <v>191.0</v>
      </c>
      <c r="E49" s="193">
        <v>2868.0</v>
      </c>
      <c r="F49" s="193">
        <f t="shared" si="5"/>
        <v>0</v>
      </c>
      <c r="G49" s="193">
        <f t="shared" si="6"/>
        <v>1241.287608</v>
      </c>
      <c r="H49" s="194">
        <f t="shared" si="7"/>
        <v>1241.287608</v>
      </c>
      <c r="I49" s="193">
        <v>1.0</v>
      </c>
      <c r="J49" s="195">
        <f t="shared" si="8"/>
        <v>1241.287608</v>
      </c>
      <c r="K49" s="139"/>
      <c r="L49" s="178">
        <f t="shared" si="17"/>
        <v>4.8514</v>
      </c>
      <c r="M49" s="162">
        <f t="shared" si="18"/>
        <v>1</v>
      </c>
      <c r="N49" s="162">
        <f t="shared" si="19"/>
        <v>4.8514</v>
      </c>
      <c r="O49" s="139"/>
      <c r="P49" s="139"/>
      <c r="Q49" s="178">
        <v>1240.0</v>
      </c>
      <c r="R49" s="190">
        <v>22.0</v>
      </c>
      <c r="S49" s="178">
        <f t="shared" si="9"/>
        <v>28.68</v>
      </c>
      <c r="T49" s="162">
        <f t="shared" si="10"/>
        <v>1</v>
      </c>
      <c r="U49" s="162">
        <f t="shared" si="11"/>
        <v>28.68</v>
      </c>
      <c r="V49" s="191">
        <f t="shared" si="12"/>
        <v>1241.287608</v>
      </c>
      <c r="W49" s="178">
        <f t="shared" ref="W49:X49" si="38">C49/100</f>
        <v>1.03</v>
      </c>
      <c r="X49" s="178">
        <f t="shared" si="38"/>
        <v>1.91</v>
      </c>
      <c r="Y49" s="178">
        <f t="shared" si="14"/>
        <v>28.68</v>
      </c>
      <c r="Z49" s="192">
        <f t="shared" si="15"/>
        <v>56.422164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23.0</v>
      </c>
      <c r="B50" s="193" t="s">
        <v>144</v>
      </c>
      <c r="C50" s="193">
        <v>100.0</v>
      </c>
      <c r="D50" s="193">
        <v>191.0</v>
      </c>
      <c r="E50" s="193">
        <v>2683.0</v>
      </c>
      <c r="F50" s="193">
        <f t="shared" si="5"/>
        <v>0</v>
      </c>
      <c r="G50" s="193">
        <f t="shared" si="6"/>
        <v>1127.3966</v>
      </c>
      <c r="H50" s="194">
        <f t="shared" si="7"/>
        <v>1127.3966</v>
      </c>
      <c r="I50" s="193">
        <v>1.0</v>
      </c>
      <c r="J50" s="195">
        <f t="shared" si="8"/>
        <v>1127.3966</v>
      </c>
      <c r="K50" s="139"/>
      <c r="L50" s="178">
        <f t="shared" si="17"/>
        <v>4.8514</v>
      </c>
      <c r="M50" s="162">
        <f t="shared" si="18"/>
        <v>1</v>
      </c>
      <c r="N50" s="162">
        <f t="shared" si="19"/>
        <v>4.8514</v>
      </c>
      <c r="O50" s="139"/>
      <c r="P50" s="139"/>
      <c r="Q50" s="178">
        <v>1135.0</v>
      </c>
      <c r="R50" s="190">
        <v>22.0</v>
      </c>
      <c r="S50" s="178">
        <f t="shared" si="9"/>
        <v>26.83</v>
      </c>
      <c r="T50" s="162">
        <f t="shared" si="10"/>
        <v>1</v>
      </c>
      <c r="U50" s="162">
        <f t="shared" si="11"/>
        <v>26.83</v>
      </c>
      <c r="V50" s="191">
        <f t="shared" si="12"/>
        <v>1127.3966</v>
      </c>
      <c r="W50" s="178">
        <f t="shared" ref="W50:X50" si="39">C50/100</f>
        <v>1</v>
      </c>
      <c r="X50" s="178">
        <f t="shared" si="39"/>
        <v>1.91</v>
      </c>
      <c r="Y50" s="178">
        <f t="shared" si="14"/>
        <v>26.83</v>
      </c>
      <c r="Z50" s="192">
        <f t="shared" si="15"/>
        <v>51.2453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24.0</v>
      </c>
      <c r="B51" s="193" t="s">
        <v>144</v>
      </c>
      <c r="C51" s="193">
        <v>101.0</v>
      </c>
      <c r="D51" s="193">
        <v>191.0</v>
      </c>
      <c r="E51" s="193">
        <v>2868.0</v>
      </c>
      <c r="F51" s="193">
        <f t="shared" si="5"/>
        <v>0</v>
      </c>
      <c r="G51" s="193">
        <f t="shared" si="6"/>
        <v>1217.184936</v>
      </c>
      <c r="H51" s="194">
        <f t="shared" si="7"/>
        <v>1217.184936</v>
      </c>
      <c r="I51" s="193">
        <v>1.0</v>
      </c>
      <c r="J51" s="195">
        <f t="shared" si="8"/>
        <v>1217.184936</v>
      </c>
      <c r="K51" s="139"/>
      <c r="L51" s="178">
        <f t="shared" si="17"/>
        <v>4.8514</v>
      </c>
      <c r="M51" s="162">
        <f t="shared" si="18"/>
        <v>1</v>
      </c>
      <c r="N51" s="162">
        <f t="shared" si="19"/>
        <v>4.8514</v>
      </c>
      <c r="O51" s="139"/>
      <c r="P51" s="139"/>
      <c r="Q51" s="178">
        <v>1220.0</v>
      </c>
      <c r="R51" s="190">
        <v>22.0</v>
      </c>
      <c r="S51" s="178">
        <f t="shared" si="9"/>
        <v>28.68</v>
      </c>
      <c r="T51" s="162">
        <f t="shared" si="10"/>
        <v>1</v>
      </c>
      <c r="U51" s="162">
        <f t="shared" si="11"/>
        <v>28.68</v>
      </c>
      <c r="V51" s="191">
        <f t="shared" si="12"/>
        <v>1217.184936</v>
      </c>
      <c r="W51" s="178">
        <f t="shared" ref="W51:X51" si="40">C51/100</f>
        <v>1.01</v>
      </c>
      <c r="X51" s="178">
        <f t="shared" si="40"/>
        <v>1.91</v>
      </c>
      <c r="Y51" s="178">
        <f t="shared" si="14"/>
        <v>28.68</v>
      </c>
      <c r="Z51" s="192">
        <f t="shared" si="15"/>
        <v>55.326588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25.0</v>
      </c>
      <c r="B52" s="193" t="s">
        <v>144</v>
      </c>
      <c r="C52" s="193">
        <v>101.0</v>
      </c>
      <c r="D52" s="193">
        <v>191.0</v>
      </c>
      <c r="E52" s="193">
        <v>2867.0</v>
      </c>
      <c r="F52" s="193">
        <f t="shared" si="5"/>
        <v>0</v>
      </c>
      <c r="G52" s="193">
        <f t="shared" si="6"/>
        <v>1216.760534</v>
      </c>
      <c r="H52" s="194">
        <f t="shared" si="7"/>
        <v>1216.760534</v>
      </c>
      <c r="I52" s="193">
        <v>1.0</v>
      </c>
      <c r="J52" s="195">
        <f t="shared" si="8"/>
        <v>1216.760534</v>
      </c>
      <c r="K52" s="139"/>
      <c r="L52" s="178">
        <f t="shared" si="17"/>
        <v>4.8514</v>
      </c>
      <c r="M52" s="162">
        <f t="shared" si="18"/>
        <v>1</v>
      </c>
      <c r="N52" s="162">
        <f t="shared" si="19"/>
        <v>4.8514</v>
      </c>
      <c r="O52" s="139"/>
      <c r="P52" s="139"/>
      <c r="Q52" s="178">
        <v>1220.0</v>
      </c>
      <c r="R52" s="190">
        <v>22.0</v>
      </c>
      <c r="S52" s="178">
        <f t="shared" si="9"/>
        <v>28.67</v>
      </c>
      <c r="T52" s="162">
        <f t="shared" si="10"/>
        <v>1</v>
      </c>
      <c r="U52" s="162">
        <f t="shared" si="11"/>
        <v>28.67</v>
      </c>
      <c r="V52" s="191">
        <f t="shared" si="12"/>
        <v>1216.760534</v>
      </c>
      <c r="W52" s="178">
        <f t="shared" ref="W52:X52" si="41">C52/100</f>
        <v>1.01</v>
      </c>
      <c r="X52" s="178">
        <f t="shared" si="41"/>
        <v>1.91</v>
      </c>
      <c r="Y52" s="178">
        <f t="shared" si="14"/>
        <v>28.67</v>
      </c>
      <c r="Z52" s="192">
        <f t="shared" si="15"/>
        <v>55.307297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26.0</v>
      </c>
      <c r="B53" s="193" t="s">
        <v>144</v>
      </c>
      <c r="C53" s="193">
        <v>101.0</v>
      </c>
      <c r="D53" s="193">
        <v>191.0</v>
      </c>
      <c r="E53" s="193">
        <v>2867.0</v>
      </c>
      <c r="F53" s="193">
        <f t="shared" si="5"/>
        <v>0</v>
      </c>
      <c r="G53" s="193">
        <f t="shared" si="6"/>
        <v>1216.760534</v>
      </c>
      <c r="H53" s="194">
        <f t="shared" si="7"/>
        <v>1216.760534</v>
      </c>
      <c r="I53" s="193">
        <v>1.0</v>
      </c>
      <c r="J53" s="195">
        <f t="shared" si="8"/>
        <v>1216.760534</v>
      </c>
      <c r="K53" s="139"/>
      <c r="L53" s="197"/>
      <c r="M53" s="198">
        <f t="shared" si="18"/>
        <v>1</v>
      </c>
      <c r="N53" s="198"/>
      <c r="O53" s="139"/>
      <c r="P53" s="139"/>
      <c r="Q53" s="178">
        <v>1220.0</v>
      </c>
      <c r="R53" s="190">
        <v>22.0</v>
      </c>
      <c r="S53" s="178">
        <f t="shared" si="9"/>
        <v>28.67</v>
      </c>
      <c r="T53" s="162">
        <f t="shared" si="10"/>
        <v>1</v>
      </c>
      <c r="U53" s="162">
        <f t="shared" si="11"/>
        <v>28.67</v>
      </c>
      <c r="V53" s="191">
        <f t="shared" si="12"/>
        <v>1216.760534</v>
      </c>
      <c r="W53" s="178">
        <f t="shared" ref="W53:X53" si="42">C53/100</f>
        <v>1.01</v>
      </c>
      <c r="X53" s="178">
        <f t="shared" si="42"/>
        <v>1.91</v>
      </c>
      <c r="Y53" s="178">
        <f t="shared" si="14"/>
        <v>28.67</v>
      </c>
      <c r="Z53" s="192">
        <f t="shared" si="15"/>
        <v>55.307297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27.0</v>
      </c>
      <c r="B54" s="193" t="s">
        <v>144</v>
      </c>
      <c r="C54" s="193">
        <v>101.0</v>
      </c>
      <c r="D54" s="193">
        <v>191.0</v>
      </c>
      <c r="E54" s="193">
        <v>2868.0</v>
      </c>
      <c r="F54" s="193">
        <f t="shared" si="5"/>
        <v>0</v>
      </c>
      <c r="G54" s="193">
        <f t="shared" si="6"/>
        <v>1217.184936</v>
      </c>
      <c r="H54" s="194">
        <f t="shared" si="7"/>
        <v>1217.184936</v>
      </c>
      <c r="I54" s="193">
        <v>1.0</v>
      </c>
      <c r="J54" s="195">
        <f t="shared" si="8"/>
        <v>1217.184936</v>
      </c>
      <c r="K54" s="139"/>
      <c r="L54" s="197"/>
      <c r="M54" s="198">
        <f t="shared" si="18"/>
        <v>1</v>
      </c>
      <c r="N54" s="198"/>
      <c r="O54" s="139"/>
      <c r="P54" s="139"/>
      <c r="Q54" s="178">
        <v>1215.0</v>
      </c>
      <c r="R54" s="190">
        <v>22.0</v>
      </c>
      <c r="S54" s="178">
        <f t="shared" si="9"/>
        <v>28.68</v>
      </c>
      <c r="T54" s="162">
        <f t="shared" si="10"/>
        <v>1</v>
      </c>
      <c r="U54" s="162">
        <f t="shared" si="11"/>
        <v>28.68</v>
      </c>
      <c r="V54" s="191">
        <f t="shared" si="12"/>
        <v>1217.184936</v>
      </c>
      <c r="W54" s="178">
        <f t="shared" ref="W54:X54" si="43">C54/100</f>
        <v>1.01</v>
      </c>
      <c r="X54" s="178">
        <f t="shared" si="43"/>
        <v>1.91</v>
      </c>
      <c r="Y54" s="178">
        <f t="shared" si="14"/>
        <v>28.68</v>
      </c>
      <c r="Z54" s="192">
        <f t="shared" si="15"/>
        <v>55.326588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28.0</v>
      </c>
      <c r="B55" s="193" t="s">
        <v>144</v>
      </c>
      <c r="C55" s="193">
        <v>101.0</v>
      </c>
      <c r="D55" s="193">
        <v>191.0</v>
      </c>
      <c r="E55" s="193">
        <v>2868.0</v>
      </c>
      <c r="F55" s="193">
        <f t="shared" si="5"/>
        <v>0</v>
      </c>
      <c r="G55" s="193">
        <f t="shared" si="6"/>
        <v>1217.184936</v>
      </c>
      <c r="H55" s="194">
        <f t="shared" si="7"/>
        <v>1217.184936</v>
      </c>
      <c r="I55" s="193">
        <v>1.0</v>
      </c>
      <c r="J55" s="195">
        <f t="shared" si="8"/>
        <v>1217.184936</v>
      </c>
      <c r="K55" s="139"/>
      <c r="L55" s="197"/>
      <c r="M55" s="198">
        <f t="shared" si="18"/>
        <v>1</v>
      </c>
      <c r="N55" s="198"/>
      <c r="O55" s="139"/>
      <c r="P55" s="139"/>
      <c r="Q55" s="178">
        <v>1205.0</v>
      </c>
      <c r="R55" s="190">
        <v>22.0</v>
      </c>
      <c r="S55" s="178">
        <f t="shared" si="9"/>
        <v>28.68</v>
      </c>
      <c r="T55" s="162">
        <f t="shared" si="10"/>
        <v>1</v>
      </c>
      <c r="U55" s="162">
        <f t="shared" si="11"/>
        <v>28.68</v>
      </c>
      <c r="V55" s="191">
        <f t="shared" si="12"/>
        <v>1217.184936</v>
      </c>
      <c r="W55" s="178">
        <f t="shared" ref="W55:X55" si="44">C55/100</f>
        <v>1.01</v>
      </c>
      <c r="X55" s="178">
        <f t="shared" si="44"/>
        <v>1.91</v>
      </c>
      <c r="Y55" s="178">
        <f t="shared" si="14"/>
        <v>28.68</v>
      </c>
      <c r="Z55" s="192">
        <f t="shared" si="15"/>
        <v>55.326588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29.0</v>
      </c>
      <c r="B56" s="183" t="s">
        <v>169</v>
      </c>
      <c r="C56" s="184">
        <v>76.0</v>
      </c>
      <c r="D56" s="184">
        <v>205.0</v>
      </c>
      <c r="E56" s="184">
        <v>187.0</v>
      </c>
      <c r="F56" s="184">
        <f t="shared" si="5"/>
        <v>0.8</v>
      </c>
      <c r="G56" s="184">
        <f t="shared" si="6"/>
        <v>96.14418</v>
      </c>
      <c r="H56" s="185">
        <f t="shared" si="7"/>
        <v>76.915344</v>
      </c>
      <c r="I56" s="184">
        <v>1.0</v>
      </c>
      <c r="J56" s="186">
        <f t="shared" si="8"/>
        <v>76.915344</v>
      </c>
      <c r="K56" s="187"/>
      <c r="L56" s="188"/>
      <c r="M56" s="189">
        <f t="shared" si="18"/>
        <v>1</v>
      </c>
      <c r="N56" s="189"/>
      <c r="O56" s="187"/>
      <c r="P56" s="187"/>
      <c r="Q56" s="188">
        <v>102.0</v>
      </c>
      <c r="R56" s="190">
        <v>33.0</v>
      </c>
      <c r="S56" s="178">
        <f t="shared" si="9"/>
        <v>1.87</v>
      </c>
      <c r="T56" s="162">
        <f t="shared" si="10"/>
        <v>1</v>
      </c>
      <c r="U56" s="162">
        <f t="shared" si="11"/>
        <v>1.87</v>
      </c>
      <c r="V56" s="191">
        <f t="shared" si="12"/>
        <v>96.14418</v>
      </c>
      <c r="W56" s="178">
        <f t="shared" ref="W56:X56" si="45">C56/100</f>
        <v>0.76</v>
      </c>
      <c r="X56" s="178">
        <f t="shared" si="45"/>
        <v>2.05</v>
      </c>
      <c r="Y56" s="178">
        <f t="shared" si="14"/>
        <v>1.87</v>
      </c>
      <c r="Z56" s="192">
        <f t="shared" si="15"/>
        <v>2.91346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30.0</v>
      </c>
      <c r="B57" s="193" t="s">
        <v>166</v>
      </c>
      <c r="C57" s="193">
        <v>89.0</v>
      </c>
      <c r="D57" s="193">
        <v>205.0</v>
      </c>
      <c r="E57" s="193">
        <v>185.0</v>
      </c>
      <c r="F57" s="193">
        <f t="shared" si="5"/>
        <v>0</v>
      </c>
      <c r="G57" s="193">
        <f t="shared" si="6"/>
        <v>111.385725</v>
      </c>
      <c r="H57" s="194">
        <f t="shared" si="7"/>
        <v>111.385725</v>
      </c>
      <c r="I57" s="193">
        <v>1.0</v>
      </c>
      <c r="J57" s="195">
        <f t="shared" si="8"/>
        <v>111.385725</v>
      </c>
      <c r="K57" s="139"/>
      <c r="L57" s="197"/>
      <c r="M57" s="198">
        <f t="shared" si="18"/>
        <v>1</v>
      </c>
      <c r="N57" s="198"/>
      <c r="O57" s="139"/>
      <c r="P57" s="139"/>
      <c r="Q57" s="178">
        <v>117.0</v>
      </c>
      <c r="R57" s="190">
        <v>33.0</v>
      </c>
      <c r="S57" s="178">
        <f t="shared" si="9"/>
        <v>1.85</v>
      </c>
      <c r="T57" s="162">
        <f t="shared" si="10"/>
        <v>1</v>
      </c>
      <c r="U57" s="162">
        <f t="shared" si="11"/>
        <v>1.85</v>
      </c>
      <c r="V57" s="191">
        <f t="shared" si="12"/>
        <v>111.385725</v>
      </c>
      <c r="W57" s="178">
        <f t="shared" ref="W57:X57" si="46">C57/100</f>
        <v>0.89</v>
      </c>
      <c r="X57" s="178">
        <f t="shared" si="46"/>
        <v>2.05</v>
      </c>
      <c r="Y57" s="178">
        <f t="shared" si="14"/>
        <v>1.85</v>
      </c>
      <c r="Z57" s="192">
        <f t="shared" si="15"/>
        <v>3.375325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31.0</v>
      </c>
      <c r="B58" s="193" t="s">
        <v>166</v>
      </c>
      <c r="C58" s="193">
        <v>94.0</v>
      </c>
      <c r="D58" s="193">
        <v>205.0</v>
      </c>
      <c r="E58" s="193">
        <v>2878.0</v>
      </c>
      <c r="F58" s="193">
        <f t="shared" si="5"/>
        <v>0</v>
      </c>
      <c r="G58" s="193">
        <f t="shared" si="6"/>
        <v>1830.14898</v>
      </c>
      <c r="H58" s="194">
        <f t="shared" si="7"/>
        <v>1830.14898</v>
      </c>
      <c r="I58" s="193">
        <v>1.0</v>
      </c>
      <c r="J58" s="195">
        <f t="shared" si="8"/>
        <v>1830.14898</v>
      </c>
      <c r="K58" s="139"/>
      <c r="L58" s="197"/>
      <c r="M58" s="198">
        <f t="shared" si="18"/>
        <v>1</v>
      </c>
      <c r="N58" s="198"/>
      <c r="O58" s="139"/>
      <c r="P58" s="139"/>
      <c r="Q58" s="178">
        <v>1825.0</v>
      </c>
      <c r="R58" s="190">
        <v>33.0</v>
      </c>
      <c r="S58" s="178">
        <f t="shared" si="9"/>
        <v>28.78</v>
      </c>
      <c r="T58" s="162">
        <f t="shared" si="10"/>
        <v>1</v>
      </c>
      <c r="U58" s="162">
        <f t="shared" si="11"/>
        <v>28.78</v>
      </c>
      <c r="V58" s="191">
        <f t="shared" si="12"/>
        <v>1830.14898</v>
      </c>
      <c r="W58" s="178">
        <f t="shared" ref="W58:X58" si="47">C58/100</f>
        <v>0.94</v>
      </c>
      <c r="X58" s="178">
        <f t="shared" si="47"/>
        <v>2.05</v>
      </c>
      <c r="Y58" s="178">
        <f t="shared" si="14"/>
        <v>28.78</v>
      </c>
      <c r="Z58" s="192">
        <f t="shared" si="15"/>
        <v>55.45906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32.0</v>
      </c>
      <c r="B59" s="193" t="s">
        <v>166</v>
      </c>
      <c r="C59" s="193">
        <v>94.0</v>
      </c>
      <c r="D59" s="193">
        <v>205.0</v>
      </c>
      <c r="E59" s="193">
        <v>2877.0</v>
      </c>
      <c r="F59" s="193">
        <f t="shared" si="5"/>
        <v>0</v>
      </c>
      <c r="G59" s="193">
        <f t="shared" si="6"/>
        <v>1829.51307</v>
      </c>
      <c r="H59" s="194">
        <f t="shared" si="7"/>
        <v>1829.51307</v>
      </c>
      <c r="I59" s="193">
        <v>1.0</v>
      </c>
      <c r="J59" s="195">
        <f t="shared" si="8"/>
        <v>1829.51307</v>
      </c>
      <c r="K59" s="139"/>
      <c r="L59" s="197"/>
      <c r="M59" s="198">
        <f t="shared" si="18"/>
        <v>1</v>
      </c>
      <c r="N59" s="198"/>
      <c r="O59" s="139"/>
      <c r="P59" s="139"/>
      <c r="Q59" s="178">
        <v>1780.0</v>
      </c>
      <c r="R59" s="190">
        <v>33.0</v>
      </c>
      <c r="S59" s="178">
        <f t="shared" si="9"/>
        <v>28.77</v>
      </c>
      <c r="T59" s="162">
        <f t="shared" si="10"/>
        <v>1</v>
      </c>
      <c r="U59" s="162">
        <f t="shared" si="11"/>
        <v>28.77</v>
      </c>
      <c r="V59" s="191">
        <f t="shared" si="12"/>
        <v>1829.51307</v>
      </c>
      <c r="W59" s="178">
        <f t="shared" ref="W59:X59" si="48">C59/100</f>
        <v>0.94</v>
      </c>
      <c r="X59" s="178">
        <f t="shared" si="48"/>
        <v>2.05</v>
      </c>
      <c r="Y59" s="178">
        <f t="shared" si="14"/>
        <v>28.77</v>
      </c>
      <c r="Z59" s="192">
        <f t="shared" si="15"/>
        <v>55.43979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33.0</v>
      </c>
      <c r="B60" s="193" t="s">
        <v>166</v>
      </c>
      <c r="C60" s="193">
        <v>93.0</v>
      </c>
      <c r="D60" s="193">
        <v>205.0</v>
      </c>
      <c r="E60" s="193">
        <v>2665.0</v>
      </c>
      <c r="F60" s="193">
        <f t="shared" si="5"/>
        <v>0</v>
      </c>
      <c r="G60" s="193">
        <f t="shared" si="6"/>
        <v>1676.671425</v>
      </c>
      <c r="H60" s="194">
        <f t="shared" si="7"/>
        <v>1676.671425</v>
      </c>
      <c r="I60" s="193">
        <v>1.0</v>
      </c>
      <c r="J60" s="195">
        <f t="shared" si="8"/>
        <v>1676.671425</v>
      </c>
      <c r="K60" s="139"/>
      <c r="L60" s="197"/>
      <c r="M60" s="198">
        <f t="shared" si="18"/>
        <v>1</v>
      </c>
      <c r="N60" s="198"/>
      <c r="O60" s="139"/>
      <c r="P60" s="139"/>
      <c r="Q60" s="178">
        <v>1655.0</v>
      </c>
      <c r="R60" s="190">
        <v>33.0</v>
      </c>
      <c r="S60" s="178">
        <f t="shared" si="9"/>
        <v>26.65</v>
      </c>
      <c r="T60" s="162">
        <f t="shared" si="10"/>
        <v>1</v>
      </c>
      <c r="U60" s="162">
        <f t="shared" si="11"/>
        <v>26.65</v>
      </c>
      <c r="V60" s="191">
        <f t="shared" si="12"/>
        <v>1676.671425</v>
      </c>
      <c r="W60" s="178">
        <f t="shared" ref="W60:X60" si="49">C60/100</f>
        <v>0.93</v>
      </c>
      <c r="X60" s="178">
        <f t="shared" si="49"/>
        <v>2.05</v>
      </c>
      <c r="Y60" s="178">
        <f t="shared" si="14"/>
        <v>26.65</v>
      </c>
      <c r="Z60" s="192">
        <f t="shared" si="15"/>
        <v>50.808225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34.0</v>
      </c>
      <c r="B61" s="193" t="s">
        <v>166</v>
      </c>
      <c r="C61" s="193">
        <v>93.0</v>
      </c>
      <c r="D61" s="193">
        <v>205.0</v>
      </c>
      <c r="E61" s="193">
        <v>2874.0</v>
      </c>
      <c r="F61" s="193">
        <f t="shared" si="5"/>
        <v>0</v>
      </c>
      <c r="G61" s="193">
        <f t="shared" si="6"/>
        <v>1808.16273</v>
      </c>
      <c r="H61" s="194">
        <f t="shared" si="7"/>
        <v>1808.16273</v>
      </c>
      <c r="I61" s="193">
        <v>1.0</v>
      </c>
      <c r="J61" s="195">
        <f t="shared" si="8"/>
        <v>1808.16273</v>
      </c>
      <c r="K61" s="139"/>
      <c r="L61" s="197"/>
      <c r="M61" s="198">
        <f t="shared" si="18"/>
        <v>1</v>
      </c>
      <c r="N61" s="198"/>
      <c r="O61" s="139"/>
      <c r="P61" s="139"/>
      <c r="Q61" s="178">
        <v>1825.0</v>
      </c>
      <c r="R61" s="190">
        <v>33.0</v>
      </c>
      <c r="S61" s="178">
        <f t="shared" si="9"/>
        <v>28.74</v>
      </c>
      <c r="T61" s="162">
        <f t="shared" si="10"/>
        <v>1</v>
      </c>
      <c r="U61" s="162">
        <f t="shared" si="11"/>
        <v>28.74</v>
      </c>
      <c r="V61" s="191">
        <f t="shared" si="12"/>
        <v>1808.16273</v>
      </c>
      <c r="W61" s="178">
        <f t="shared" ref="W61:X61" si="50">C61/100</f>
        <v>0.93</v>
      </c>
      <c r="X61" s="178">
        <f t="shared" si="50"/>
        <v>2.05</v>
      </c>
      <c r="Y61" s="178">
        <f t="shared" si="14"/>
        <v>28.74</v>
      </c>
      <c r="Z61" s="192">
        <f t="shared" si="15"/>
        <v>54.79281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35.0</v>
      </c>
      <c r="B62" s="183" t="s">
        <v>97</v>
      </c>
      <c r="C62" s="184">
        <v>75.0</v>
      </c>
      <c r="D62" s="184">
        <v>205.0</v>
      </c>
      <c r="E62" s="184">
        <v>188.0</v>
      </c>
      <c r="F62" s="184">
        <f t="shared" si="5"/>
        <v>0.8</v>
      </c>
      <c r="G62" s="184">
        <f t="shared" si="6"/>
        <v>59.25525</v>
      </c>
      <c r="H62" s="185">
        <f t="shared" si="7"/>
        <v>47.4042</v>
      </c>
      <c r="I62" s="184">
        <v>1.0</v>
      </c>
      <c r="J62" s="186">
        <f t="shared" si="8"/>
        <v>47.4042</v>
      </c>
      <c r="K62" s="187"/>
      <c r="L62" s="188"/>
      <c r="M62" s="189">
        <f t="shared" si="18"/>
        <v>1</v>
      </c>
      <c r="N62" s="189"/>
      <c r="O62" s="187"/>
      <c r="P62" s="187"/>
      <c r="Q62" s="188">
        <v>70.0</v>
      </c>
      <c r="R62" s="190">
        <v>20.5</v>
      </c>
      <c r="S62" s="178">
        <f t="shared" si="9"/>
        <v>1.88</v>
      </c>
      <c r="T62" s="162">
        <f t="shared" si="10"/>
        <v>1</v>
      </c>
      <c r="U62" s="162">
        <f t="shared" si="11"/>
        <v>1.88</v>
      </c>
      <c r="V62" s="191">
        <f t="shared" si="12"/>
        <v>59.25525</v>
      </c>
      <c r="W62" s="178">
        <f t="shared" ref="W62:X62" si="51">C62/100</f>
        <v>0.75</v>
      </c>
      <c r="X62" s="178">
        <f t="shared" si="51"/>
        <v>2.05</v>
      </c>
      <c r="Y62" s="178">
        <f t="shared" si="14"/>
        <v>1.88</v>
      </c>
      <c r="Z62" s="192">
        <f t="shared" si="15"/>
        <v>2.8905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2">
        <v>36.0</v>
      </c>
      <c r="B63" s="193" t="s">
        <v>91</v>
      </c>
      <c r="C63" s="193">
        <v>98.0</v>
      </c>
      <c r="D63" s="193">
        <v>205.0</v>
      </c>
      <c r="E63" s="193">
        <v>203.0</v>
      </c>
      <c r="F63" s="193">
        <f t="shared" si="5"/>
        <v>0</v>
      </c>
      <c r="G63" s="193">
        <f t="shared" si="6"/>
        <v>83.604535</v>
      </c>
      <c r="H63" s="194">
        <f t="shared" si="7"/>
        <v>83.604535</v>
      </c>
      <c r="I63" s="193">
        <v>1.0</v>
      </c>
      <c r="J63" s="195">
        <f t="shared" si="8"/>
        <v>83.604535</v>
      </c>
      <c r="K63" s="139"/>
      <c r="L63" s="197"/>
      <c r="M63" s="198">
        <f t="shared" si="18"/>
        <v>1</v>
      </c>
      <c r="N63" s="198"/>
      <c r="O63" s="139"/>
      <c r="P63" s="139"/>
      <c r="Q63" s="178">
        <v>87.0</v>
      </c>
      <c r="R63" s="190">
        <v>20.5</v>
      </c>
      <c r="S63" s="178">
        <f t="shared" si="9"/>
        <v>2.03</v>
      </c>
      <c r="T63" s="162">
        <f t="shared" si="10"/>
        <v>1</v>
      </c>
      <c r="U63" s="162">
        <f t="shared" si="11"/>
        <v>2.03</v>
      </c>
      <c r="V63" s="191">
        <f t="shared" si="12"/>
        <v>83.604535</v>
      </c>
      <c r="W63" s="178">
        <f t="shared" ref="W63:X63" si="52">C63/100</f>
        <v>0.98</v>
      </c>
      <c r="X63" s="178">
        <f t="shared" si="52"/>
        <v>2.05</v>
      </c>
      <c r="Y63" s="178">
        <f t="shared" si="14"/>
        <v>2.03</v>
      </c>
      <c r="Z63" s="192">
        <f t="shared" si="15"/>
        <v>4.07827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2">
        <v>37.0</v>
      </c>
      <c r="B64" s="193" t="s">
        <v>91</v>
      </c>
      <c r="C64" s="193">
        <v>103.0</v>
      </c>
      <c r="D64" s="193">
        <v>205.0</v>
      </c>
      <c r="E64" s="193">
        <v>2872.0</v>
      </c>
      <c r="F64" s="193">
        <f t="shared" si="5"/>
        <v>0</v>
      </c>
      <c r="G64" s="193">
        <f t="shared" si="6"/>
        <v>1243.16674</v>
      </c>
      <c r="H64" s="194">
        <f t="shared" si="7"/>
        <v>1243.16674</v>
      </c>
      <c r="I64" s="193">
        <v>1.0</v>
      </c>
      <c r="J64" s="195">
        <f t="shared" si="8"/>
        <v>1243.16674</v>
      </c>
      <c r="K64" s="139"/>
      <c r="L64" s="197"/>
      <c r="M64" s="198">
        <f t="shared" si="18"/>
        <v>1</v>
      </c>
      <c r="N64" s="198"/>
      <c r="O64" s="139"/>
      <c r="P64" s="139"/>
      <c r="Q64" s="178">
        <v>1250.0</v>
      </c>
      <c r="R64" s="190">
        <v>20.5</v>
      </c>
      <c r="S64" s="178">
        <f t="shared" si="9"/>
        <v>28.72</v>
      </c>
      <c r="T64" s="162">
        <f t="shared" si="10"/>
        <v>1</v>
      </c>
      <c r="U64" s="162">
        <f t="shared" si="11"/>
        <v>28.72</v>
      </c>
      <c r="V64" s="191">
        <f t="shared" si="12"/>
        <v>1243.16674</v>
      </c>
      <c r="W64" s="178">
        <f t="shared" ref="W64:X64" si="53">C64/100</f>
        <v>1.03</v>
      </c>
      <c r="X64" s="178">
        <f t="shared" si="53"/>
        <v>2.05</v>
      </c>
      <c r="Y64" s="178">
        <f t="shared" si="14"/>
        <v>28.72</v>
      </c>
      <c r="Z64" s="192">
        <f t="shared" si="15"/>
        <v>60.64228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2">
        <v>38.0</v>
      </c>
      <c r="B65" s="193" t="s">
        <v>91</v>
      </c>
      <c r="C65" s="193">
        <v>103.0</v>
      </c>
      <c r="D65" s="193">
        <v>205.0</v>
      </c>
      <c r="E65" s="193">
        <v>2873.0</v>
      </c>
      <c r="F65" s="193">
        <f t="shared" si="5"/>
        <v>0</v>
      </c>
      <c r="G65" s="193">
        <f t="shared" si="6"/>
        <v>1243.599598</v>
      </c>
      <c r="H65" s="194">
        <f t="shared" si="7"/>
        <v>1243.599598</v>
      </c>
      <c r="I65" s="193">
        <v>1.0</v>
      </c>
      <c r="J65" s="195">
        <f t="shared" si="8"/>
        <v>1243.599598</v>
      </c>
      <c r="K65" s="139"/>
      <c r="L65" s="197"/>
      <c r="M65" s="198">
        <f t="shared" si="18"/>
        <v>1</v>
      </c>
      <c r="N65" s="198"/>
      <c r="O65" s="139"/>
      <c r="P65" s="139"/>
      <c r="Q65" s="178">
        <v>1265.0</v>
      </c>
      <c r="R65" s="190">
        <v>20.5</v>
      </c>
      <c r="S65" s="178">
        <f t="shared" si="9"/>
        <v>28.73</v>
      </c>
      <c r="T65" s="162">
        <f t="shared" si="10"/>
        <v>1</v>
      </c>
      <c r="U65" s="162">
        <f t="shared" si="11"/>
        <v>28.73</v>
      </c>
      <c r="V65" s="191">
        <f t="shared" si="12"/>
        <v>1243.599598</v>
      </c>
      <c r="W65" s="178">
        <f t="shared" ref="W65:X65" si="54">C65/100</f>
        <v>1.03</v>
      </c>
      <c r="X65" s="178">
        <f t="shared" si="54"/>
        <v>2.05</v>
      </c>
      <c r="Y65" s="178">
        <f t="shared" si="14"/>
        <v>28.73</v>
      </c>
      <c r="Z65" s="192">
        <f t="shared" si="15"/>
        <v>60.663395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customHeight="1">
      <c r="A66" s="162">
        <v>39.0</v>
      </c>
      <c r="B66" s="193" t="s">
        <v>91</v>
      </c>
      <c r="C66" s="193">
        <v>102.0</v>
      </c>
      <c r="D66" s="193">
        <v>205.0</v>
      </c>
      <c r="E66" s="193">
        <v>2700.0</v>
      </c>
      <c r="F66" s="193">
        <f t="shared" si="5"/>
        <v>0</v>
      </c>
      <c r="G66" s="193">
        <f t="shared" si="6"/>
        <v>1157.3685</v>
      </c>
      <c r="H66" s="194">
        <f t="shared" si="7"/>
        <v>1157.3685</v>
      </c>
      <c r="I66" s="193">
        <v>1.0</v>
      </c>
      <c r="J66" s="195">
        <f t="shared" si="8"/>
        <v>1157.3685</v>
      </c>
      <c r="K66" s="139"/>
      <c r="L66" s="197"/>
      <c r="M66" s="198"/>
      <c r="N66" s="198"/>
      <c r="O66" s="139"/>
      <c r="P66" s="139"/>
      <c r="Q66" s="178">
        <v>1175.0</v>
      </c>
      <c r="R66" s="190">
        <v>20.5</v>
      </c>
      <c r="S66" s="178">
        <f t="shared" si="9"/>
        <v>27</v>
      </c>
      <c r="T66" s="162">
        <f t="shared" si="10"/>
        <v>1</v>
      </c>
      <c r="U66" s="162">
        <f t="shared" si="11"/>
        <v>27</v>
      </c>
      <c r="V66" s="191">
        <f t="shared" si="12"/>
        <v>1157.3685</v>
      </c>
      <c r="W66" s="178">
        <f t="shared" ref="W66:X66" si="55">C66/100</f>
        <v>1.02</v>
      </c>
      <c r="X66" s="178">
        <f t="shared" si="55"/>
        <v>2.05</v>
      </c>
      <c r="Y66" s="178">
        <f t="shared" si="14"/>
        <v>27</v>
      </c>
      <c r="Z66" s="192">
        <f t="shared" si="15"/>
        <v>56.457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customHeight="1">
      <c r="A67" s="162">
        <v>40.0</v>
      </c>
      <c r="B67" s="193" t="s">
        <v>91</v>
      </c>
      <c r="C67" s="193">
        <v>102.0</v>
      </c>
      <c r="D67" s="193">
        <v>205.0</v>
      </c>
      <c r="E67" s="193">
        <v>2870.0</v>
      </c>
      <c r="F67" s="193">
        <f t="shared" si="5"/>
        <v>0</v>
      </c>
      <c r="G67" s="193">
        <f t="shared" si="6"/>
        <v>1230.23985</v>
      </c>
      <c r="H67" s="194">
        <f t="shared" si="7"/>
        <v>1230.23985</v>
      </c>
      <c r="I67" s="193">
        <v>1.0</v>
      </c>
      <c r="J67" s="195">
        <f t="shared" si="8"/>
        <v>1230.23985</v>
      </c>
      <c r="K67" s="139"/>
      <c r="L67" s="197"/>
      <c r="M67" s="198"/>
      <c r="N67" s="198"/>
      <c r="O67" s="139"/>
      <c r="P67" s="139"/>
      <c r="Q67" s="178">
        <v>1245.0</v>
      </c>
      <c r="R67" s="190">
        <v>20.5</v>
      </c>
      <c r="S67" s="178">
        <f t="shared" si="9"/>
        <v>28.7</v>
      </c>
      <c r="T67" s="162">
        <f t="shared" si="10"/>
        <v>1</v>
      </c>
      <c r="U67" s="162">
        <f t="shared" si="11"/>
        <v>28.7</v>
      </c>
      <c r="V67" s="191">
        <f t="shared" si="12"/>
        <v>1230.23985</v>
      </c>
      <c r="W67" s="178">
        <f t="shared" ref="W67:X67" si="56">C67/100</f>
        <v>1.02</v>
      </c>
      <c r="X67" s="178">
        <f t="shared" si="56"/>
        <v>2.05</v>
      </c>
      <c r="Y67" s="178">
        <f t="shared" si="14"/>
        <v>28.7</v>
      </c>
      <c r="Z67" s="192">
        <f t="shared" si="15"/>
        <v>60.0117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customHeight="1">
      <c r="A68" s="162">
        <v>41.0</v>
      </c>
      <c r="B68" s="183" t="s">
        <v>170</v>
      </c>
      <c r="C68" s="184">
        <v>80.0</v>
      </c>
      <c r="D68" s="184">
        <v>202.0</v>
      </c>
      <c r="E68" s="184">
        <v>180.0</v>
      </c>
      <c r="F68" s="184">
        <f t="shared" si="5"/>
        <v>0.8</v>
      </c>
      <c r="G68" s="184">
        <f t="shared" si="6"/>
        <v>90.1728</v>
      </c>
      <c r="H68" s="185">
        <f t="shared" si="7"/>
        <v>72.13824</v>
      </c>
      <c r="I68" s="184">
        <v>1.0</v>
      </c>
      <c r="J68" s="186">
        <f t="shared" si="8"/>
        <v>72.13824</v>
      </c>
      <c r="K68" s="187"/>
      <c r="L68" s="188"/>
      <c r="M68" s="189"/>
      <c r="N68" s="189"/>
      <c r="O68" s="187"/>
      <c r="P68" s="187"/>
      <c r="Q68" s="188">
        <v>95.0</v>
      </c>
      <c r="R68" s="190">
        <v>31.0</v>
      </c>
      <c r="S68" s="178">
        <f t="shared" si="9"/>
        <v>1.8</v>
      </c>
      <c r="T68" s="162">
        <f t="shared" si="10"/>
        <v>1</v>
      </c>
      <c r="U68" s="162">
        <f t="shared" si="11"/>
        <v>1.8</v>
      </c>
      <c r="V68" s="191">
        <f t="shared" si="12"/>
        <v>90.1728</v>
      </c>
      <c r="W68" s="178">
        <f t="shared" ref="W68:X68" si="57">C68/100</f>
        <v>0.8</v>
      </c>
      <c r="X68" s="178">
        <f t="shared" si="57"/>
        <v>2.02</v>
      </c>
      <c r="Y68" s="178">
        <f t="shared" si="14"/>
        <v>1.8</v>
      </c>
      <c r="Z68" s="192">
        <f t="shared" si="15"/>
        <v>2.9088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customHeight="1">
      <c r="A69" s="162">
        <v>42.0</v>
      </c>
      <c r="B69" s="193" t="s">
        <v>167</v>
      </c>
      <c r="C69" s="193">
        <v>92.0</v>
      </c>
      <c r="D69" s="193">
        <v>202.0</v>
      </c>
      <c r="E69" s="193">
        <v>197.0</v>
      </c>
      <c r="F69" s="193">
        <f t="shared" si="5"/>
        <v>0</v>
      </c>
      <c r="G69" s="193">
        <f t="shared" si="6"/>
        <v>113.492488</v>
      </c>
      <c r="H69" s="194">
        <f t="shared" si="7"/>
        <v>113.492488</v>
      </c>
      <c r="I69" s="193">
        <v>1.0</v>
      </c>
      <c r="J69" s="195">
        <f t="shared" si="8"/>
        <v>113.492488</v>
      </c>
      <c r="K69" s="139"/>
      <c r="L69" s="197"/>
      <c r="M69" s="198"/>
      <c r="N69" s="198"/>
      <c r="O69" s="139"/>
      <c r="P69" s="139"/>
      <c r="Q69" s="178">
        <v>117.0</v>
      </c>
      <c r="R69" s="190">
        <v>31.0</v>
      </c>
      <c r="S69" s="178">
        <f t="shared" si="9"/>
        <v>1.97</v>
      </c>
      <c r="T69" s="162">
        <f t="shared" si="10"/>
        <v>1</v>
      </c>
      <c r="U69" s="162">
        <f t="shared" si="11"/>
        <v>1.97</v>
      </c>
      <c r="V69" s="191">
        <f t="shared" si="12"/>
        <v>113.492488</v>
      </c>
      <c r="W69" s="178">
        <f t="shared" ref="W69:X69" si="58">C69/100</f>
        <v>0.92</v>
      </c>
      <c r="X69" s="178">
        <f t="shared" si="58"/>
        <v>2.02</v>
      </c>
      <c r="Y69" s="178">
        <f t="shared" si="14"/>
        <v>1.97</v>
      </c>
      <c r="Z69" s="192">
        <f t="shared" si="15"/>
        <v>3.661048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customHeight="1">
      <c r="A70" s="162">
        <v>43.0</v>
      </c>
      <c r="B70" s="193" t="s">
        <v>167</v>
      </c>
      <c r="C70" s="193">
        <v>95.0</v>
      </c>
      <c r="D70" s="193">
        <v>202.0</v>
      </c>
      <c r="E70" s="193">
        <v>2716.0</v>
      </c>
      <c r="F70" s="193">
        <f t="shared" si="5"/>
        <v>0</v>
      </c>
      <c r="G70" s="193">
        <f t="shared" si="6"/>
        <v>1615.72124</v>
      </c>
      <c r="H70" s="194">
        <f t="shared" si="7"/>
        <v>1615.72124</v>
      </c>
      <c r="I70" s="193">
        <v>1.0</v>
      </c>
      <c r="J70" s="195">
        <f t="shared" si="8"/>
        <v>1615.72124</v>
      </c>
      <c r="K70" s="139"/>
      <c r="L70" s="197"/>
      <c r="M70" s="198"/>
      <c r="N70" s="198"/>
      <c r="O70" s="139"/>
      <c r="P70" s="139"/>
      <c r="Q70" s="178">
        <v>1605.0</v>
      </c>
      <c r="R70" s="190">
        <v>31.0</v>
      </c>
      <c r="S70" s="178">
        <f t="shared" si="9"/>
        <v>27.16</v>
      </c>
      <c r="T70" s="162">
        <f t="shared" si="10"/>
        <v>1</v>
      </c>
      <c r="U70" s="162">
        <f t="shared" si="11"/>
        <v>27.16</v>
      </c>
      <c r="V70" s="191">
        <f t="shared" si="12"/>
        <v>1615.72124</v>
      </c>
      <c r="W70" s="178">
        <f t="shared" ref="W70:X70" si="59">C70/100</f>
        <v>0.95</v>
      </c>
      <c r="X70" s="178">
        <f t="shared" si="59"/>
        <v>2.02</v>
      </c>
      <c r="Y70" s="178">
        <f t="shared" si="14"/>
        <v>27.16</v>
      </c>
      <c r="Z70" s="192">
        <f t="shared" si="15"/>
        <v>52.12004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2">
        <v>101.0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0">C71/100</f>
        <v>0</v>
      </c>
      <c r="X71" s="199">
        <f t="shared" si="60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2">
        <v>102.0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1">C72/100</f>
        <v>0</v>
      </c>
      <c r="X72" s="199">
        <f t="shared" si="61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103.0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2">C73/100</f>
        <v>0</v>
      </c>
      <c r="X73" s="199">
        <f t="shared" si="62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104.0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3">C74/100</f>
        <v>0</v>
      </c>
      <c r="X74" s="199">
        <f t="shared" si="63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105.0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4">C75/100</f>
        <v>0</v>
      </c>
      <c r="X75" s="199">
        <f t="shared" si="64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106.0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5">C76/100</f>
        <v>0</v>
      </c>
      <c r="X76" s="199">
        <f t="shared" si="65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107.0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6">C77/100</f>
        <v>0</v>
      </c>
      <c r="X77" s="199">
        <f t="shared" si="66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108.0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7">C78/100</f>
        <v>0</v>
      </c>
      <c r="X78" s="199">
        <f t="shared" si="67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109.0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8">C79/100</f>
        <v>0</v>
      </c>
      <c r="X79" s="199">
        <f t="shared" si="68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110.0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9">C80/100</f>
        <v>0</v>
      </c>
      <c r="X80" s="199">
        <f t="shared" si="69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111.0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0">C81/100</f>
        <v>0</v>
      </c>
      <c r="X81" s="199">
        <f t="shared" si="70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112.0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1">C82/100</f>
        <v>0</v>
      </c>
      <c r="X82" s="199">
        <f t="shared" si="71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113.0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2">C83/100</f>
        <v>0</v>
      </c>
      <c r="X83" s="199">
        <f t="shared" si="72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114.0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3">C84/100</f>
        <v>0</v>
      </c>
      <c r="X84" s="199">
        <f t="shared" si="73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115.0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4">C85/100</f>
        <v>0</v>
      </c>
      <c r="X85" s="199">
        <f t="shared" si="74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116.0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5">C86/100</f>
        <v>0</v>
      </c>
      <c r="X86" s="199">
        <f t="shared" si="75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117.0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6">C87/100</f>
        <v>0</v>
      </c>
      <c r="X87" s="199">
        <f t="shared" si="76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118.0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7">C88/100</f>
        <v>0</v>
      </c>
      <c r="X88" s="199">
        <f t="shared" si="77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119.0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8">C89/100</f>
        <v>0</v>
      </c>
      <c r="X89" s="199">
        <f t="shared" si="78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120.0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9">C90/100</f>
        <v>0</v>
      </c>
      <c r="X90" s="199">
        <f t="shared" si="79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121.0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0">C91/100</f>
        <v>0</v>
      </c>
      <c r="X91" s="199">
        <f t="shared" si="80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122.0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1">C92/100</f>
        <v>0</v>
      </c>
      <c r="X92" s="199">
        <f t="shared" si="81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123.0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2">C93/100</f>
        <v>0</v>
      </c>
      <c r="X93" s="199">
        <f t="shared" si="82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124.0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3">C94/100</f>
        <v>0</v>
      </c>
      <c r="X94" s="199">
        <f t="shared" si="83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125.0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4">C95/100</f>
        <v>0</v>
      </c>
      <c r="X95" s="199">
        <f t="shared" si="84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126.0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5">C96/100</f>
        <v>0</v>
      </c>
      <c r="X96" s="199">
        <f t="shared" si="85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127.0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6">C97/100</f>
        <v>0</v>
      </c>
      <c r="X97" s="199">
        <f t="shared" si="86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128.0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7">C98/100</f>
        <v>0</v>
      </c>
      <c r="X98" s="199">
        <f t="shared" si="87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129.0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8">C99/100</f>
        <v>0</v>
      </c>
      <c r="X99" s="199">
        <f t="shared" si="88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130.0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9">C100/100</f>
        <v>0</v>
      </c>
      <c r="X100" s="199">
        <f t="shared" si="89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131.0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0">C101/100</f>
        <v>0</v>
      </c>
      <c r="X101" s="199">
        <f t="shared" si="90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132.0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1">C102/100</f>
        <v>0</v>
      </c>
      <c r="X102" s="199">
        <f t="shared" si="91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133.0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2">C103/100</f>
        <v>0</v>
      </c>
      <c r="X103" s="199">
        <f t="shared" si="92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134.0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3">C104/100</f>
        <v>0</v>
      </c>
      <c r="X104" s="199">
        <f t="shared" si="93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135.0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4">C105/100</f>
        <v>0</v>
      </c>
      <c r="X105" s="199">
        <f t="shared" si="94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136.0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5">C106/100</f>
        <v>0</v>
      </c>
      <c r="X106" s="199">
        <f t="shared" si="95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137.0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6">C107/100</f>
        <v>0</v>
      </c>
      <c r="X107" s="199">
        <f t="shared" si="96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138.0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7">C108/100</f>
        <v>0</v>
      </c>
      <c r="X108" s="199">
        <f t="shared" si="97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139.0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8">C109/100</f>
        <v>0</v>
      </c>
      <c r="X109" s="199">
        <f t="shared" si="98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140.0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9">C110/100</f>
        <v>0</v>
      </c>
      <c r="X110" s="199">
        <f t="shared" si="99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141.0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0">C111/100</f>
        <v>0</v>
      </c>
      <c r="X111" s="199">
        <f t="shared" si="100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142.0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1">C112/100</f>
        <v>0</v>
      </c>
      <c r="X112" s="199">
        <f t="shared" si="101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143.0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2">C113/100</f>
        <v>0</v>
      </c>
      <c r="X113" s="199">
        <f t="shared" si="102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144.0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3">C114/100</f>
        <v>0</v>
      </c>
      <c r="X114" s="199">
        <f t="shared" si="103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145.0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4">C115/100</f>
        <v>0</v>
      </c>
      <c r="X115" s="199">
        <f t="shared" si="104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146.0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5">C116/100</f>
        <v>0</v>
      </c>
      <c r="X116" s="199">
        <f t="shared" si="105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147.0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6">C117/100</f>
        <v>0</v>
      </c>
      <c r="X117" s="199">
        <f t="shared" si="106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148.0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7">C118/100</f>
        <v>0</v>
      </c>
      <c r="X118" s="199">
        <f t="shared" si="107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149.0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8">C119/100</f>
        <v>0</v>
      </c>
      <c r="X119" s="199">
        <f t="shared" si="108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150.0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9">C120/100</f>
        <v>0</v>
      </c>
      <c r="X120" s="199">
        <f t="shared" si="109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151.0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0">C121/100</f>
        <v>0</v>
      </c>
      <c r="X121" s="199">
        <f t="shared" si="110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152.0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1">C122/100</f>
        <v>0</v>
      </c>
      <c r="X122" s="199">
        <f t="shared" si="111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153.0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2">C123/100</f>
        <v>0</v>
      </c>
      <c r="X123" s="199">
        <f t="shared" si="112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154.0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3">C124/100</f>
        <v>0</v>
      </c>
      <c r="X124" s="199">
        <f t="shared" si="113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155.0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4">C125/100</f>
        <v>0</v>
      </c>
      <c r="X125" s="199">
        <f t="shared" si="114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156.0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5">C126/100</f>
        <v>0</v>
      </c>
      <c r="X126" s="199">
        <f t="shared" si="115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157.0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6">C127/100</f>
        <v>0</v>
      </c>
      <c r="X127" s="199">
        <f t="shared" si="116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158.0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7">C128/100</f>
        <v>0</v>
      </c>
      <c r="X128" s="199">
        <f t="shared" si="117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159.0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8">C129/100</f>
        <v>0</v>
      </c>
      <c r="X129" s="199">
        <f t="shared" si="118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160.0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9">C130/100</f>
        <v>0</v>
      </c>
      <c r="X130" s="199">
        <f t="shared" si="119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161.0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0">C131/100</f>
        <v>0</v>
      </c>
      <c r="X131" s="199">
        <f t="shared" si="120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162.0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1">C132/100</f>
        <v>0</v>
      </c>
      <c r="X132" s="199">
        <f t="shared" si="121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163.0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2">C133/100</f>
        <v>0</v>
      </c>
      <c r="X133" s="199">
        <f t="shared" si="122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164.0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3">C134/100</f>
        <v>0</v>
      </c>
      <c r="X134" s="199">
        <f t="shared" si="123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165.0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4">C135/100</f>
        <v>0</v>
      </c>
      <c r="X135" s="199">
        <f t="shared" si="124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166.0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5">C136/100</f>
        <v>0</v>
      </c>
      <c r="X136" s="199">
        <f t="shared" si="125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167.0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6">C137/100</f>
        <v>0</v>
      </c>
      <c r="X137" s="199">
        <f t="shared" si="126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168.0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7">C138/100</f>
        <v>0</v>
      </c>
      <c r="X138" s="199">
        <f t="shared" si="127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169.0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8">C139/100</f>
        <v>0</v>
      </c>
      <c r="X139" s="199">
        <f t="shared" si="128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170.0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9">C140/100</f>
        <v>0</v>
      </c>
      <c r="X140" s="199">
        <f t="shared" si="129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171.0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0">C141/100</f>
        <v>0</v>
      </c>
      <c r="X141" s="199">
        <f t="shared" si="130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172.0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1">C142/100</f>
        <v>0</v>
      </c>
      <c r="X142" s="199">
        <f t="shared" si="131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173.0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2">C143/100</f>
        <v>0</v>
      </c>
      <c r="X143" s="199">
        <f t="shared" si="132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174.0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3">C144/100</f>
        <v>0</v>
      </c>
      <c r="X144" s="199">
        <f t="shared" si="133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175.0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4">C145/100</f>
        <v>0</v>
      </c>
      <c r="X145" s="199">
        <f t="shared" si="134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176.0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5">C146/100</f>
        <v>0</v>
      </c>
      <c r="X146" s="199">
        <f t="shared" si="135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177.0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6">C147/100</f>
        <v>0</v>
      </c>
      <c r="X147" s="199">
        <f t="shared" si="136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178.0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7">C148/100</f>
        <v>0</v>
      </c>
      <c r="X148" s="199">
        <f t="shared" si="137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179.0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8">C149/100</f>
        <v>0</v>
      </c>
      <c r="X149" s="199">
        <f t="shared" si="138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180.0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9">C150/100</f>
        <v>0</v>
      </c>
      <c r="X150" s="199">
        <f t="shared" si="139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181.0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0">C151/100</f>
        <v>0</v>
      </c>
      <c r="X151" s="199">
        <f t="shared" si="140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182.0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1">C152/100</f>
        <v>0</v>
      </c>
      <c r="X152" s="199">
        <f t="shared" si="141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183.0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2">C153/100</f>
        <v>0</v>
      </c>
      <c r="X153" s="199">
        <f t="shared" si="142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184.0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3">C154/100</f>
        <v>0</v>
      </c>
      <c r="X154" s="199">
        <f t="shared" si="143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185.0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4">C155/100</f>
        <v>0</v>
      </c>
      <c r="X155" s="199">
        <f t="shared" si="144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186.0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5">C156/100</f>
        <v>0</v>
      </c>
      <c r="X156" s="199">
        <f t="shared" si="145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187.0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6">C157/100</f>
        <v>0</v>
      </c>
      <c r="X157" s="199">
        <f t="shared" si="146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188.0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7">C158/100</f>
        <v>0</v>
      </c>
      <c r="X158" s="199">
        <f t="shared" si="147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189.0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8">C159/100</f>
        <v>0</v>
      </c>
      <c r="X159" s="199">
        <f t="shared" si="148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190.0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9">C160/100</f>
        <v>0</v>
      </c>
      <c r="X160" s="199">
        <f t="shared" si="149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191.0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0">C161/100</f>
        <v>0</v>
      </c>
      <c r="X161" s="199">
        <f t="shared" si="150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192.0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1">C162/100</f>
        <v>0</v>
      </c>
      <c r="X162" s="199">
        <f t="shared" si="151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193.0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2">C163/100</f>
        <v>0</v>
      </c>
      <c r="X163" s="199">
        <f t="shared" si="152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194.0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3">C164/100</f>
        <v>0</v>
      </c>
      <c r="X164" s="199">
        <f t="shared" si="153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195.0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4">C165/100</f>
        <v>0</v>
      </c>
      <c r="X165" s="199">
        <f t="shared" si="154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196.0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5">C166/100</f>
        <v>0</v>
      </c>
      <c r="X166" s="199">
        <f t="shared" si="155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197.0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6">C167/100</f>
        <v>0</v>
      </c>
      <c r="X167" s="199">
        <f t="shared" si="156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198.0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7">C168/100</f>
        <v>0</v>
      </c>
      <c r="X168" s="199">
        <f t="shared" si="157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199.0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8">C169/100</f>
        <v>0</v>
      </c>
      <c r="X169" s="199">
        <f t="shared" si="158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200.0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9">C170/100</f>
        <v>0</v>
      </c>
      <c r="X170" s="199">
        <f t="shared" si="159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201.0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0">C171/100</f>
        <v>0</v>
      </c>
      <c r="X171" s="199">
        <f t="shared" si="160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202.0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1">C172/100</f>
        <v>0</v>
      </c>
      <c r="X172" s="199">
        <f t="shared" si="161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203.0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2">C173/100</f>
        <v>0</v>
      </c>
      <c r="X173" s="199">
        <f t="shared" si="162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204.0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3">C174/100</f>
        <v>0</v>
      </c>
      <c r="X174" s="199">
        <f t="shared" si="163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205.0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4">C175/100</f>
        <v>0</v>
      </c>
      <c r="X175" s="199">
        <f t="shared" si="164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206.0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5">C176/100</f>
        <v>0</v>
      </c>
      <c r="X176" s="199">
        <f t="shared" si="165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207.0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6">C177/100</f>
        <v>0</v>
      </c>
      <c r="X177" s="199">
        <f t="shared" si="166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208.0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7">C178/100</f>
        <v>0</v>
      </c>
      <c r="X178" s="199">
        <f t="shared" si="167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209.0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8">C179/100</f>
        <v>0</v>
      </c>
      <c r="X179" s="199">
        <f t="shared" si="168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2">
        <v>210.0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9">C180/100</f>
        <v>0</v>
      </c>
      <c r="X180" s="199">
        <f t="shared" si="169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2">
        <v>211.0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70">C181/100</f>
        <v>0</v>
      </c>
      <c r="X181" s="199">
        <f t="shared" si="170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2">
        <v>212.0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1">C182/100</f>
        <v>0</v>
      </c>
      <c r="X182" s="199">
        <f t="shared" si="171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hidden="1" customHeight="1">
      <c r="A183" s="162">
        <v>213.0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2">C183/100</f>
        <v>0</v>
      </c>
      <c r="X183" s="199">
        <f t="shared" si="172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hidden="1" customHeight="1">
      <c r="A184" s="162">
        <v>214.0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3">C184/100</f>
        <v>0</v>
      </c>
      <c r="X184" s="199">
        <f t="shared" si="173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</row>
    <row r="185" ht="27.0" hidden="1" customHeight="1">
      <c r="A185" s="162">
        <v>215.0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4">C185/100</f>
        <v>0</v>
      </c>
      <c r="X185" s="199">
        <f t="shared" si="174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7.0" hidden="1" customHeight="1">
      <c r="A186" s="162">
        <v>216.0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5">C186/100</f>
        <v>0</v>
      </c>
      <c r="X186" s="199">
        <f t="shared" si="175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7.0" hidden="1" customHeight="1">
      <c r="A187" s="162">
        <v>217.0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6">C187/100</f>
        <v>0</v>
      </c>
      <c r="X187" s="199">
        <f t="shared" si="176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7.0" customHeight="1">
      <c r="A188" s="162"/>
      <c r="B188" s="178"/>
      <c r="C188" s="178"/>
      <c r="D188" s="178"/>
      <c r="E188" s="178"/>
      <c r="F188" s="178"/>
      <c r="G188" s="178"/>
      <c r="H188" s="181"/>
      <c r="I188" s="162"/>
      <c r="J188" s="204">
        <f>+Q244</f>
        <v>104.8</v>
      </c>
      <c r="K188" s="139"/>
      <c r="L188" s="139"/>
      <c r="M188" s="139"/>
      <c r="N188" s="139"/>
      <c r="O188" s="139"/>
      <c r="P188" s="139"/>
      <c r="Q188" s="139"/>
      <c r="R188" s="205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77">C188/100</f>
        <v>0</v>
      </c>
      <c r="X188" s="199">
        <f t="shared" si="177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7.0" customHeight="1">
      <c r="A189" s="162"/>
      <c r="B189" s="206"/>
      <c r="C189" s="206"/>
      <c r="D189" s="206"/>
      <c r="E189" s="206"/>
      <c r="F189" s="206"/>
      <c r="G189" s="206"/>
      <c r="H189" s="207"/>
      <c r="I189" s="208">
        <f>SUM(I28:I187)</f>
        <v>43</v>
      </c>
      <c r="J189" s="209">
        <f>SUM(J28:J188)</f>
        <v>47543.99022</v>
      </c>
      <c r="K189" s="210"/>
      <c r="L189" s="210"/>
      <c r="M189" s="210"/>
      <c r="N189" s="210"/>
      <c r="O189" s="210"/>
      <c r="P189" s="210"/>
      <c r="Q189" s="210"/>
      <c r="R189" s="141"/>
      <c r="S189" s="210">
        <f>SUMIFS($T$28:$T$187,$S$28:$S$187,"&gt;=3")</f>
        <v>31</v>
      </c>
      <c r="T189" s="210">
        <f t="shared" ref="T189:U189" si="178">SUM(T28:T187)</f>
        <v>43</v>
      </c>
      <c r="U189" s="210">
        <f t="shared" si="178"/>
        <v>902.08</v>
      </c>
      <c r="V189" s="210"/>
      <c r="W189" s="210"/>
      <c r="X189" s="210"/>
      <c r="Y189" s="210"/>
      <c r="Z189" s="211">
        <f>SUM(Z28:Z188)</f>
        <v>1788.702748</v>
      </c>
      <c r="AA189" s="210"/>
      <c r="AB189" s="210"/>
      <c r="AC189" s="210"/>
      <c r="AD189" s="210"/>
      <c r="AE189" s="210"/>
      <c r="AF189" s="210"/>
      <c r="AG189" s="210"/>
      <c r="AH189" s="210"/>
      <c r="AI189" s="210"/>
      <c r="AJ189" s="210"/>
      <c r="AK189" s="210"/>
    </row>
    <row r="190" ht="29.25" customHeight="1">
      <c r="A190" s="139"/>
      <c r="B190" s="139"/>
      <c r="C190" s="139"/>
      <c r="D190" s="139"/>
      <c r="E190" s="139"/>
      <c r="F190" s="139"/>
      <c r="G190" s="139"/>
      <c r="H190" s="140"/>
      <c r="I190" s="139"/>
      <c r="J190" s="139"/>
      <c r="K190" s="139"/>
      <c r="L190" s="139"/>
      <c r="M190" s="139"/>
      <c r="N190" s="139"/>
      <c r="O190" s="139"/>
      <c r="P190" s="139"/>
      <c r="Q190" s="139"/>
      <c r="R190" s="141"/>
      <c r="S190" s="203"/>
      <c r="T190" s="139">
        <f>+T189-S189</f>
        <v>12</v>
      </c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9.25" customHeight="1">
      <c r="A191" s="139"/>
      <c r="B191" s="139"/>
      <c r="C191" s="139"/>
      <c r="D191" s="139"/>
      <c r="E191" s="139"/>
      <c r="F191" s="139"/>
      <c r="G191" s="139"/>
      <c r="H191" s="140"/>
      <c r="I191" s="139"/>
      <c r="J191" s="139"/>
      <c r="K191" s="139"/>
      <c r="L191" s="139"/>
      <c r="M191" s="139"/>
      <c r="N191" s="139"/>
      <c r="O191" s="139"/>
      <c r="P191" s="139"/>
      <c r="Q191" s="139"/>
      <c r="R191" s="205"/>
      <c r="S191" s="139"/>
      <c r="T191" s="139" t="s">
        <v>48</v>
      </c>
      <c r="U191" s="139" t="s">
        <v>68</v>
      </c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9.25" customHeight="1">
      <c r="A192" s="139"/>
      <c r="B192" s="139"/>
      <c r="C192" s="139"/>
      <c r="D192" s="139"/>
      <c r="E192" s="139"/>
      <c r="F192" s="139"/>
      <c r="G192" s="139"/>
      <c r="H192" s="140"/>
      <c r="I192" s="139"/>
      <c r="J192" s="139"/>
      <c r="K192" s="139"/>
      <c r="L192" s="139"/>
      <c r="M192" s="139"/>
      <c r="N192" s="139"/>
      <c r="O192" s="139"/>
      <c r="P192" s="139"/>
      <c r="Q192" s="139"/>
      <c r="R192" s="141"/>
      <c r="S192" s="139" t="s">
        <v>31</v>
      </c>
      <c r="T192" s="212">
        <f>SUMIFS($J$28:$J$187,$S$28:$S$187,"&gt;=3")</f>
        <v>46410.17035</v>
      </c>
      <c r="U192" s="213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9.25" customHeight="1">
      <c r="A193" s="139" t="s">
        <v>32</v>
      </c>
      <c r="B193" s="139"/>
      <c r="C193" s="139"/>
      <c r="D193" s="139" t="s">
        <v>33</v>
      </c>
      <c r="E193" s="139"/>
      <c r="F193" s="139"/>
      <c r="G193" s="139"/>
      <c r="H193" s="140"/>
      <c r="I193" s="139"/>
      <c r="J193" s="139"/>
      <c r="K193" s="139"/>
      <c r="L193" s="139"/>
      <c r="M193" s="139"/>
      <c r="N193" s="139"/>
      <c r="O193" s="139"/>
      <c r="P193" s="139"/>
      <c r="Q193" s="139"/>
      <c r="R193" s="141"/>
      <c r="S193" s="139" t="s">
        <v>34</v>
      </c>
      <c r="T193" s="266">
        <f>J189-T192</f>
        <v>1133.819878</v>
      </c>
      <c r="U193" s="213">
        <f>+SUMIFS($U$28:$U$187,$S$28:$S$187,"&gt;=3")</f>
        <v>878.84</v>
      </c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9.25" customHeight="1">
      <c r="A194" s="139"/>
      <c r="B194" s="139"/>
      <c r="C194" s="139"/>
      <c r="D194" s="139"/>
      <c r="E194" s="139"/>
      <c r="F194" s="139"/>
      <c r="G194" s="139"/>
      <c r="H194" s="140"/>
      <c r="I194" s="139"/>
      <c r="J194" s="139"/>
      <c r="K194" s="139"/>
      <c r="L194" s="139"/>
      <c r="M194" s="139"/>
      <c r="N194" s="139"/>
      <c r="O194" s="139"/>
      <c r="P194" s="139"/>
      <c r="Q194" s="139"/>
      <c r="R194" s="205"/>
      <c r="S194" s="139"/>
      <c r="T194" s="214">
        <f>+I189</f>
        <v>43</v>
      </c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39.0" customHeight="1">
      <c r="A195" s="178"/>
      <c r="B195" s="162" t="s">
        <v>12</v>
      </c>
      <c r="C195" s="179" t="s">
        <v>69</v>
      </c>
      <c r="D195" s="52"/>
      <c r="E195" s="53"/>
      <c r="F195" s="180"/>
      <c r="G195" s="180"/>
      <c r="H195" s="181" t="s">
        <v>14</v>
      </c>
      <c r="I195" s="162" t="s">
        <v>15</v>
      </c>
      <c r="J195" s="162" t="s">
        <v>16</v>
      </c>
      <c r="K195" s="139"/>
      <c r="L195" s="139"/>
      <c r="M195" s="139"/>
      <c r="N195" s="139"/>
      <c r="O195" s="139"/>
      <c r="P195" s="139"/>
      <c r="Q195" s="139"/>
      <c r="R195" s="141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5">
        <v>1.0</v>
      </c>
      <c r="B196" s="215" t="s">
        <v>63</v>
      </c>
      <c r="C196" s="215">
        <v>86.0</v>
      </c>
      <c r="D196" s="215">
        <v>202.0</v>
      </c>
      <c r="E196" s="215">
        <v>189.0</v>
      </c>
      <c r="F196" s="215">
        <f t="shared" ref="F196:F210" si="179">1-VALUE(IF(RIGHT(B196, 1)="%", RIGHT(B196, 3), 0))</f>
        <v>0.2</v>
      </c>
      <c r="G196" s="215">
        <f t="shared" ref="G196:G210" si="180">+Q196*C196/100*D196/100*E196/100</f>
        <v>0</v>
      </c>
      <c r="H196" s="216">
        <f t="shared" ref="H196:H210" si="181">IF(F196=0, G196, F196*G196)</f>
        <v>0</v>
      </c>
      <c r="I196" s="215"/>
      <c r="J196" s="217"/>
      <c r="K196" s="139"/>
      <c r="L196" s="178">
        <f t="shared" ref="L196:L199" si="182">D196*25.4/1000</f>
        <v>5.1308</v>
      </c>
      <c r="M196" s="162" t="str">
        <f t="shared" ref="M196:M199" si="183">+I196</f>
        <v/>
      </c>
      <c r="N196" s="162">
        <f t="shared" ref="N196:N199" si="184">M196*L196</f>
        <v>0</v>
      </c>
      <c r="O196" s="139"/>
      <c r="P196" s="139"/>
      <c r="Q196" s="139"/>
      <c r="R196" s="141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5">
        <v>2.0</v>
      </c>
      <c r="B197" s="215" t="s">
        <v>121</v>
      </c>
      <c r="C197" s="215">
        <v>101.0</v>
      </c>
      <c r="D197" s="215">
        <v>202.0</v>
      </c>
      <c r="E197" s="215">
        <v>208.0</v>
      </c>
      <c r="F197" s="215">
        <f t="shared" si="179"/>
        <v>0.5</v>
      </c>
      <c r="G197" s="215">
        <f t="shared" si="180"/>
        <v>0</v>
      </c>
      <c r="H197" s="216">
        <f t="shared" si="181"/>
        <v>0</v>
      </c>
      <c r="I197" s="215"/>
      <c r="J197" s="217">
        <f t="shared" ref="J197:J210" si="185">+I197*H197</f>
        <v>0</v>
      </c>
      <c r="K197" s="139"/>
      <c r="L197" s="178">
        <f t="shared" si="182"/>
        <v>5.1308</v>
      </c>
      <c r="M197" s="162" t="str">
        <f t="shared" si="183"/>
        <v/>
      </c>
      <c r="N197" s="162">
        <f t="shared" si="184"/>
        <v>0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customHeight="1">
      <c r="A198" s="155">
        <v>3.0</v>
      </c>
      <c r="B198" s="218" t="s">
        <v>146</v>
      </c>
      <c r="C198" s="218">
        <v>86.0</v>
      </c>
      <c r="D198" s="218">
        <v>191.0</v>
      </c>
      <c r="E198" s="218">
        <v>186.0</v>
      </c>
      <c r="F198" s="218">
        <f t="shared" si="179"/>
        <v>0.2</v>
      </c>
      <c r="G198" s="218">
        <f t="shared" si="180"/>
        <v>0</v>
      </c>
      <c r="H198" s="219">
        <f t="shared" si="181"/>
        <v>0</v>
      </c>
      <c r="I198" s="218"/>
      <c r="J198" s="195">
        <f t="shared" si="185"/>
        <v>0</v>
      </c>
      <c r="K198" s="139"/>
      <c r="L198" s="178">
        <f t="shared" si="182"/>
        <v>4.8514</v>
      </c>
      <c r="M198" s="162" t="str">
        <f t="shared" si="183"/>
        <v/>
      </c>
      <c r="N198" s="162">
        <f t="shared" si="184"/>
        <v>0</v>
      </c>
      <c r="O198" s="139"/>
      <c r="P198" s="139"/>
      <c r="Q198" s="139"/>
      <c r="R198" s="139"/>
      <c r="S198" s="220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customHeight="1">
      <c r="A199" s="155">
        <v>4.0</v>
      </c>
      <c r="B199" s="218" t="s">
        <v>169</v>
      </c>
      <c r="C199" s="218">
        <v>76.0</v>
      </c>
      <c r="D199" s="218">
        <v>205.0</v>
      </c>
      <c r="E199" s="218">
        <v>187.0</v>
      </c>
      <c r="F199" s="218">
        <f t="shared" si="179"/>
        <v>0.2</v>
      </c>
      <c r="G199" s="218">
        <f t="shared" si="180"/>
        <v>0</v>
      </c>
      <c r="H199" s="219">
        <f t="shared" si="181"/>
        <v>0</v>
      </c>
      <c r="I199" s="218"/>
      <c r="J199" s="195">
        <f t="shared" si="185"/>
        <v>0</v>
      </c>
      <c r="K199" s="139"/>
      <c r="L199" s="178">
        <f t="shared" si="182"/>
        <v>5.207</v>
      </c>
      <c r="M199" s="162" t="str">
        <f t="shared" si="183"/>
        <v/>
      </c>
      <c r="N199" s="162">
        <f t="shared" si="184"/>
        <v>0</v>
      </c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customHeight="1">
      <c r="A200" s="155">
        <v>5.0</v>
      </c>
      <c r="B200" s="218" t="s">
        <v>97</v>
      </c>
      <c r="C200" s="218">
        <v>75.0</v>
      </c>
      <c r="D200" s="218">
        <v>205.0</v>
      </c>
      <c r="E200" s="218">
        <v>188.0</v>
      </c>
      <c r="F200" s="218">
        <f t="shared" si="179"/>
        <v>0.2</v>
      </c>
      <c r="G200" s="218">
        <f t="shared" si="180"/>
        <v>0</v>
      </c>
      <c r="H200" s="219">
        <f t="shared" si="181"/>
        <v>0</v>
      </c>
      <c r="I200" s="218"/>
      <c r="J200" s="195">
        <f t="shared" si="185"/>
        <v>0</v>
      </c>
      <c r="K200" s="139"/>
      <c r="L200" s="178"/>
      <c r="M200" s="162"/>
      <c r="N200" s="162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customHeight="1">
      <c r="A201" s="155">
        <v>6.0</v>
      </c>
      <c r="B201" s="218" t="s">
        <v>170</v>
      </c>
      <c r="C201" s="218">
        <v>80.0</v>
      </c>
      <c r="D201" s="218">
        <v>202.0</v>
      </c>
      <c r="E201" s="218">
        <v>180.0</v>
      </c>
      <c r="F201" s="218">
        <f t="shared" si="179"/>
        <v>0.2</v>
      </c>
      <c r="G201" s="218">
        <f t="shared" si="180"/>
        <v>0</v>
      </c>
      <c r="H201" s="219">
        <f t="shared" si="181"/>
        <v>0</v>
      </c>
      <c r="I201" s="218"/>
      <c r="J201" s="195">
        <f t="shared" si="185"/>
        <v>0</v>
      </c>
      <c r="K201" s="139"/>
      <c r="L201" s="178">
        <f t="shared" ref="L201:L205" si="186">D201*25.4/1000</f>
        <v>5.1308</v>
      </c>
      <c r="M201" s="162" t="str">
        <f>+I201</f>
        <v/>
      </c>
      <c r="N201" s="162">
        <f>M201*L201</f>
        <v>0</v>
      </c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55">
        <v>6.0</v>
      </c>
      <c r="B202" s="218"/>
      <c r="C202" s="218"/>
      <c r="D202" s="218"/>
      <c r="E202" s="218"/>
      <c r="F202" s="218">
        <f t="shared" si="179"/>
        <v>1</v>
      </c>
      <c r="G202" s="218">
        <f t="shared" si="180"/>
        <v>0</v>
      </c>
      <c r="H202" s="219">
        <f t="shared" si="181"/>
        <v>0</v>
      </c>
      <c r="I202" s="218"/>
      <c r="J202" s="195">
        <f t="shared" si="185"/>
        <v>0</v>
      </c>
      <c r="K202" s="139"/>
      <c r="L202" s="139">
        <f t="shared" si="186"/>
        <v>0</v>
      </c>
      <c r="M202" s="221"/>
      <c r="N202" s="221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55">
        <v>7.0</v>
      </c>
      <c r="B203" s="218"/>
      <c r="C203" s="218"/>
      <c r="D203" s="218"/>
      <c r="E203" s="218"/>
      <c r="F203" s="218">
        <f t="shared" si="179"/>
        <v>1</v>
      </c>
      <c r="G203" s="218">
        <f t="shared" si="180"/>
        <v>0</v>
      </c>
      <c r="H203" s="219">
        <f t="shared" si="181"/>
        <v>0</v>
      </c>
      <c r="I203" s="218"/>
      <c r="J203" s="195">
        <f t="shared" si="185"/>
        <v>0</v>
      </c>
      <c r="K203" s="139"/>
      <c r="L203" s="139">
        <f t="shared" si="186"/>
        <v>0</v>
      </c>
      <c r="M203" s="221"/>
      <c r="N203" s="221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55">
        <v>8.0</v>
      </c>
      <c r="B204" s="218"/>
      <c r="C204" s="218"/>
      <c r="D204" s="218"/>
      <c r="E204" s="218"/>
      <c r="F204" s="218">
        <f t="shared" si="179"/>
        <v>1</v>
      </c>
      <c r="G204" s="218">
        <f t="shared" si="180"/>
        <v>0</v>
      </c>
      <c r="H204" s="219">
        <f t="shared" si="181"/>
        <v>0</v>
      </c>
      <c r="I204" s="218"/>
      <c r="J204" s="195">
        <f t="shared" si="185"/>
        <v>0</v>
      </c>
      <c r="K204" s="139"/>
      <c r="L204" s="139">
        <f t="shared" si="186"/>
        <v>0</v>
      </c>
      <c r="M204" s="221"/>
      <c r="N204" s="221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55">
        <v>9.0</v>
      </c>
      <c r="B205" s="218"/>
      <c r="C205" s="218"/>
      <c r="D205" s="218"/>
      <c r="E205" s="218"/>
      <c r="F205" s="218">
        <f t="shared" si="179"/>
        <v>1</v>
      </c>
      <c r="G205" s="218">
        <f t="shared" si="180"/>
        <v>0</v>
      </c>
      <c r="H205" s="219">
        <f t="shared" si="181"/>
        <v>0</v>
      </c>
      <c r="I205" s="218"/>
      <c r="J205" s="195">
        <f t="shared" si="185"/>
        <v>0</v>
      </c>
      <c r="K205" s="139"/>
      <c r="L205" s="139">
        <f t="shared" si="186"/>
        <v>0</v>
      </c>
      <c r="M205" s="221"/>
      <c r="N205" s="221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55">
        <v>10.0</v>
      </c>
      <c r="B206" s="193"/>
      <c r="C206" s="193"/>
      <c r="D206" s="193"/>
      <c r="E206" s="193"/>
      <c r="F206" s="193">
        <f t="shared" si="179"/>
        <v>1</v>
      </c>
      <c r="G206" s="193">
        <f t="shared" si="180"/>
        <v>0</v>
      </c>
      <c r="H206" s="194">
        <f t="shared" si="181"/>
        <v>0</v>
      </c>
      <c r="I206" s="193"/>
      <c r="J206" s="195">
        <f t="shared" si="185"/>
        <v>0</v>
      </c>
      <c r="K206" s="139"/>
      <c r="L206" s="139"/>
      <c r="M206" s="221"/>
      <c r="N206" s="221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7.0" hidden="1" customHeight="1">
      <c r="A207" s="155">
        <v>11.0</v>
      </c>
      <c r="B207" s="193"/>
      <c r="C207" s="193"/>
      <c r="D207" s="193"/>
      <c r="E207" s="193"/>
      <c r="F207" s="193">
        <f t="shared" si="179"/>
        <v>1</v>
      </c>
      <c r="G207" s="193">
        <f t="shared" si="180"/>
        <v>0</v>
      </c>
      <c r="H207" s="194">
        <f t="shared" si="181"/>
        <v>0</v>
      </c>
      <c r="I207" s="193"/>
      <c r="J207" s="195">
        <f t="shared" si="185"/>
        <v>0</v>
      </c>
      <c r="K207" s="139"/>
      <c r="L207" s="139"/>
      <c r="M207" s="221"/>
      <c r="N207" s="221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27.0" hidden="1" customHeight="1">
      <c r="A208" s="155">
        <v>12.0</v>
      </c>
      <c r="B208" s="193"/>
      <c r="C208" s="193"/>
      <c r="D208" s="193"/>
      <c r="E208" s="193"/>
      <c r="F208" s="193">
        <f t="shared" si="179"/>
        <v>1</v>
      </c>
      <c r="G208" s="193">
        <f t="shared" si="180"/>
        <v>0</v>
      </c>
      <c r="H208" s="194">
        <f t="shared" si="181"/>
        <v>0</v>
      </c>
      <c r="I208" s="193"/>
      <c r="J208" s="195">
        <f t="shared" si="185"/>
        <v>0</v>
      </c>
      <c r="K208" s="139"/>
      <c r="L208" s="139"/>
      <c r="M208" s="221"/>
      <c r="N208" s="221"/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27.0" hidden="1" customHeight="1">
      <c r="A209" s="155">
        <v>13.0</v>
      </c>
      <c r="B209" s="193"/>
      <c r="C209" s="193"/>
      <c r="D209" s="193"/>
      <c r="E209" s="193"/>
      <c r="F209" s="193">
        <f t="shared" si="179"/>
        <v>1</v>
      </c>
      <c r="G209" s="193">
        <f t="shared" si="180"/>
        <v>0</v>
      </c>
      <c r="H209" s="194">
        <f t="shared" si="181"/>
        <v>0</v>
      </c>
      <c r="I209" s="193"/>
      <c r="J209" s="195">
        <f t="shared" si="185"/>
        <v>0</v>
      </c>
      <c r="K209" s="139"/>
      <c r="L209" s="139"/>
      <c r="M209" s="221"/>
      <c r="N209" s="221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27.0" hidden="1" customHeight="1">
      <c r="A210" s="155">
        <v>14.0</v>
      </c>
      <c r="B210" s="193"/>
      <c r="C210" s="193"/>
      <c r="D210" s="193"/>
      <c r="E210" s="193"/>
      <c r="F210" s="193">
        <f t="shared" si="179"/>
        <v>1</v>
      </c>
      <c r="G210" s="193">
        <f t="shared" si="180"/>
        <v>0</v>
      </c>
      <c r="H210" s="194">
        <f t="shared" si="181"/>
        <v>0</v>
      </c>
      <c r="I210" s="193"/>
      <c r="J210" s="195">
        <f t="shared" si="185"/>
        <v>0</v>
      </c>
      <c r="K210" s="139"/>
      <c r="L210" s="139"/>
      <c r="M210" s="221"/>
      <c r="N210" s="221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24.75" customHeight="1">
      <c r="A211" s="162"/>
      <c r="B211" s="197"/>
      <c r="C211" s="197"/>
      <c r="D211" s="197"/>
      <c r="E211" s="197"/>
      <c r="F211" s="197"/>
      <c r="G211" s="197"/>
      <c r="H211" s="222" t="s">
        <v>38</v>
      </c>
      <c r="I211" s="197"/>
      <c r="J211" s="223">
        <f>SUM(J196:J210)</f>
        <v>0</v>
      </c>
      <c r="K211" s="139"/>
      <c r="L211" s="139"/>
      <c r="M211" s="139"/>
      <c r="N211" s="139"/>
      <c r="O211" s="139"/>
      <c r="P211" s="139"/>
      <c r="Q211" s="139"/>
      <c r="R211" s="141"/>
      <c r="S211" s="224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75" customHeight="1">
      <c r="A212" s="176"/>
      <c r="B212" s="144"/>
      <c r="C212" s="144"/>
      <c r="D212" s="144"/>
      <c r="E212" s="144"/>
      <c r="F212" s="144"/>
      <c r="G212" s="144"/>
      <c r="H212" s="145"/>
      <c r="I212" s="144"/>
      <c r="J212" s="177"/>
      <c r="K212" s="139"/>
      <c r="L212" s="139"/>
      <c r="M212" s="139"/>
      <c r="N212" s="139"/>
      <c r="O212" s="139"/>
      <c r="P212" s="139"/>
      <c r="Q212" s="139"/>
      <c r="R212" s="141"/>
      <c r="S212" s="22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18.75" customHeight="1">
      <c r="A213" s="139"/>
      <c r="B213" s="139"/>
      <c r="C213" s="139"/>
      <c r="D213" s="139"/>
      <c r="E213" s="139"/>
      <c r="F213" s="139"/>
      <c r="G213" s="139"/>
      <c r="H213" s="140"/>
      <c r="I213" s="139"/>
      <c r="J213" s="139"/>
      <c r="K213" s="139"/>
      <c r="L213" s="139"/>
      <c r="M213" s="139"/>
      <c r="N213" s="139"/>
      <c r="O213" s="139"/>
      <c r="P213" s="139"/>
      <c r="Q213" s="139"/>
      <c r="R213" s="141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18.75" customHeight="1">
      <c r="A214" s="139"/>
      <c r="B214" s="139"/>
      <c r="C214" s="139"/>
      <c r="D214" s="139"/>
      <c r="E214" s="139"/>
      <c r="F214" s="139"/>
      <c r="G214" s="139"/>
      <c r="H214" s="140"/>
      <c r="I214" s="139"/>
      <c r="J214" s="139"/>
      <c r="K214" s="139"/>
      <c r="L214" s="139"/>
      <c r="M214" s="139"/>
      <c r="N214" s="139"/>
      <c r="O214" s="139"/>
      <c r="P214" s="139"/>
      <c r="Q214" s="139"/>
      <c r="R214" s="224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</row>
    <row r="215" ht="18.75" customHeight="1">
      <c r="A215" s="139" t="s">
        <v>39</v>
      </c>
      <c r="B215" s="139"/>
      <c r="C215" s="139"/>
      <c r="D215" s="139"/>
      <c r="E215" s="139"/>
      <c r="F215" s="139"/>
      <c r="G215" s="139"/>
      <c r="H215" s="140"/>
      <c r="I215" s="139"/>
      <c r="J215" s="139"/>
      <c r="K215" s="139"/>
      <c r="L215" s="139"/>
      <c r="M215" s="139"/>
      <c r="N215" s="139"/>
      <c r="O215" s="139"/>
      <c r="P215" s="139"/>
      <c r="Q215" s="139"/>
      <c r="R215" s="224"/>
      <c r="S215" s="224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</row>
    <row r="216" ht="18.75" customHeight="1">
      <c r="A216" s="139"/>
      <c r="B216" s="139"/>
      <c r="C216" s="139"/>
      <c r="D216" s="139"/>
      <c r="E216" s="139"/>
      <c r="F216" s="139"/>
      <c r="G216" s="139"/>
      <c r="H216" s="140"/>
      <c r="I216" s="139"/>
      <c r="J216" s="139"/>
      <c r="K216" s="139"/>
      <c r="L216" s="139"/>
      <c r="M216" s="139"/>
      <c r="N216" s="139"/>
      <c r="O216" s="139"/>
      <c r="P216" s="139"/>
      <c r="Q216" s="139"/>
      <c r="R216" s="224"/>
      <c r="S216" s="224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</row>
    <row r="217" ht="42.0" customHeight="1">
      <c r="A217" s="178"/>
      <c r="B217" s="162" t="s">
        <v>12</v>
      </c>
      <c r="C217" s="179" t="s">
        <v>75</v>
      </c>
      <c r="D217" s="52"/>
      <c r="E217" s="53"/>
      <c r="F217" s="225"/>
      <c r="G217" s="225"/>
      <c r="H217" s="181" t="s">
        <v>14</v>
      </c>
      <c r="I217" s="226" t="s">
        <v>15</v>
      </c>
      <c r="J217" s="162" t="s">
        <v>16</v>
      </c>
      <c r="K217" s="139"/>
      <c r="L217" s="139"/>
      <c r="M217" s="139"/>
      <c r="N217" s="139"/>
      <c r="O217" s="139"/>
      <c r="P217" s="139"/>
      <c r="Q217" s="139"/>
      <c r="R217" s="224"/>
      <c r="S217" s="224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</row>
    <row r="218" ht="24.75" customHeight="1">
      <c r="A218" s="162">
        <v>1.0</v>
      </c>
      <c r="B218" s="183" t="s">
        <v>55</v>
      </c>
      <c r="C218" s="200"/>
      <c r="D218" s="200"/>
      <c r="E218" s="200"/>
      <c r="F218" s="200"/>
      <c r="G218" s="200"/>
      <c r="H218" s="227">
        <v>21.0</v>
      </c>
      <c r="I218" s="200">
        <v>1.0</v>
      </c>
      <c r="J218" s="195">
        <f t="shared" ref="J218:J242" si="187">+I218*H218</f>
        <v>21</v>
      </c>
      <c r="K218" s="178"/>
      <c r="L218" s="178"/>
      <c r="M218" s="178"/>
      <c r="N218" s="178"/>
      <c r="O218" s="178"/>
      <c r="P218" s="178"/>
      <c r="Q218" s="228"/>
      <c r="R218" s="224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78"/>
      <c r="AJ218" s="178"/>
      <c r="AK218" s="178"/>
    </row>
    <row r="219" ht="24.75" customHeight="1">
      <c r="A219" s="162">
        <v>2.0</v>
      </c>
      <c r="B219" s="193" t="s">
        <v>57</v>
      </c>
      <c r="C219" s="200"/>
      <c r="D219" s="200"/>
      <c r="E219" s="200"/>
      <c r="F219" s="200"/>
      <c r="G219" s="200"/>
      <c r="H219" s="227">
        <v>23.0</v>
      </c>
      <c r="I219" s="200">
        <v>1.0</v>
      </c>
      <c r="J219" s="195">
        <f t="shared" si="187"/>
        <v>23</v>
      </c>
      <c r="K219" s="178"/>
      <c r="L219" s="178"/>
      <c r="M219" s="178"/>
      <c r="N219" s="178"/>
      <c r="O219" s="178"/>
      <c r="P219" s="178"/>
      <c r="Q219" s="228"/>
      <c r="R219" s="224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78"/>
      <c r="AJ219" s="178"/>
      <c r="AK219" s="178"/>
    </row>
    <row r="220" ht="24.75" customHeight="1">
      <c r="A220" s="162">
        <v>3.0</v>
      </c>
      <c r="B220" s="183" t="s">
        <v>144</v>
      </c>
      <c r="C220" s="200"/>
      <c r="D220" s="200"/>
      <c r="E220" s="200"/>
      <c r="F220" s="200"/>
      <c r="G220" s="200"/>
      <c r="H220" s="227">
        <v>31.0</v>
      </c>
      <c r="I220" s="200">
        <v>1.0</v>
      </c>
      <c r="J220" s="195">
        <f t="shared" si="187"/>
        <v>31</v>
      </c>
      <c r="K220" s="178"/>
      <c r="L220" s="178"/>
      <c r="M220" s="178"/>
      <c r="N220" s="178"/>
      <c r="O220" s="178"/>
      <c r="P220" s="178"/>
      <c r="Q220" s="228"/>
      <c r="R220" s="224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78"/>
      <c r="AJ220" s="178"/>
      <c r="AK220" s="178"/>
    </row>
    <row r="221" ht="24.75" customHeight="1">
      <c r="A221" s="162">
        <v>4.0</v>
      </c>
      <c r="B221" s="193" t="s">
        <v>144</v>
      </c>
      <c r="C221" s="200"/>
      <c r="D221" s="200"/>
      <c r="E221" s="200"/>
      <c r="F221" s="200"/>
      <c r="G221" s="200"/>
      <c r="H221" s="227">
        <v>26.0</v>
      </c>
      <c r="I221" s="200">
        <v>1.0</v>
      </c>
      <c r="J221" s="195">
        <f t="shared" si="187"/>
        <v>26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78"/>
      <c r="AJ221" s="178"/>
      <c r="AK221" s="178"/>
    </row>
    <row r="222" ht="24.75" customHeight="1">
      <c r="A222" s="162">
        <v>5.0</v>
      </c>
      <c r="B222" s="183" t="s">
        <v>166</v>
      </c>
      <c r="C222" s="200"/>
      <c r="D222" s="200"/>
      <c r="E222" s="200"/>
      <c r="F222" s="200"/>
      <c r="G222" s="200"/>
      <c r="H222" s="227">
        <v>41.0</v>
      </c>
      <c r="I222" s="200">
        <v>1.0</v>
      </c>
      <c r="J222" s="195">
        <f t="shared" si="187"/>
        <v>41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78"/>
      <c r="AJ222" s="178"/>
      <c r="AK222" s="178"/>
    </row>
    <row r="223" ht="24.75" customHeight="1">
      <c r="A223" s="162">
        <v>6.0</v>
      </c>
      <c r="B223" s="193" t="s">
        <v>166</v>
      </c>
      <c r="C223" s="200"/>
      <c r="D223" s="200"/>
      <c r="E223" s="200"/>
      <c r="F223" s="200"/>
      <c r="G223" s="200"/>
      <c r="H223" s="227">
        <v>28.0</v>
      </c>
      <c r="I223" s="200">
        <v>1.0</v>
      </c>
      <c r="J223" s="195">
        <f t="shared" si="187"/>
        <v>28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78"/>
      <c r="AJ223" s="178"/>
      <c r="AK223" s="178"/>
    </row>
    <row r="224" ht="24.75" customHeight="1">
      <c r="A224" s="162">
        <v>7.0</v>
      </c>
      <c r="B224" s="183" t="s">
        <v>91</v>
      </c>
      <c r="C224" s="200"/>
      <c r="D224" s="200"/>
      <c r="E224" s="200"/>
      <c r="F224" s="200"/>
      <c r="G224" s="200"/>
      <c r="H224" s="227">
        <v>28.0</v>
      </c>
      <c r="I224" s="200">
        <v>1.0</v>
      </c>
      <c r="J224" s="195">
        <f t="shared" si="187"/>
        <v>28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78"/>
      <c r="AJ224" s="178"/>
      <c r="AK224" s="178"/>
    </row>
    <row r="225" ht="24.75" customHeight="1">
      <c r="A225" s="162">
        <v>8.0</v>
      </c>
      <c r="B225" s="193" t="s">
        <v>91</v>
      </c>
      <c r="C225" s="200"/>
      <c r="D225" s="200"/>
      <c r="E225" s="200"/>
      <c r="F225" s="200"/>
      <c r="G225" s="200"/>
      <c r="H225" s="227">
        <v>17.0</v>
      </c>
      <c r="I225" s="200">
        <v>1.0</v>
      </c>
      <c r="J225" s="195">
        <f t="shared" si="187"/>
        <v>17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78"/>
      <c r="AJ225" s="178"/>
      <c r="AK225" s="178"/>
    </row>
    <row r="226" ht="24.75" customHeight="1">
      <c r="A226" s="162">
        <v>9.0</v>
      </c>
      <c r="B226" s="183" t="s">
        <v>167</v>
      </c>
      <c r="C226" s="200"/>
      <c r="D226" s="200"/>
      <c r="E226" s="200"/>
      <c r="F226" s="200"/>
      <c r="G226" s="200"/>
      <c r="H226" s="227">
        <v>28.0</v>
      </c>
      <c r="I226" s="200">
        <v>1.0</v>
      </c>
      <c r="J226" s="195">
        <f t="shared" si="187"/>
        <v>28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78"/>
      <c r="AJ226" s="178"/>
      <c r="AK226" s="178"/>
    </row>
    <row r="227" ht="24.75" customHeight="1">
      <c r="A227" s="162">
        <v>10.0</v>
      </c>
      <c r="B227" s="193" t="s">
        <v>167</v>
      </c>
      <c r="C227" s="200"/>
      <c r="D227" s="200"/>
      <c r="E227" s="200"/>
      <c r="F227" s="200"/>
      <c r="G227" s="200"/>
      <c r="H227" s="227">
        <v>19.0</v>
      </c>
      <c r="I227" s="200">
        <v>1.0</v>
      </c>
      <c r="J227" s="195">
        <f t="shared" si="187"/>
        <v>19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78"/>
      <c r="AJ227" s="178"/>
      <c r="AK227" s="178"/>
    </row>
    <row r="228" ht="24.75" hidden="1" customHeight="1">
      <c r="A228" s="162">
        <v>21.0</v>
      </c>
      <c r="B228" s="229"/>
      <c r="C228" s="200"/>
      <c r="D228" s="200"/>
      <c r="E228" s="200"/>
      <c r="F228" s="200"/>
      <c r="G228" s="200"/>
      <c r="H228" s="227"/>
      <c r="I228" s="200"/>
      <c r="J228" s="195">
        <f t="shared" si="187"/>
        <v>0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78"/>
      <c r="AJ228" s="178"/>
      <c r="AK228" s="178"/>
    </row>
    <row r="229" ht="24.75" hidden="1" customHeight="1">
      <c r="A229" s="162">
        <v>22.0</v>
      </c>
      <c r="B229" s="229"/>
      <c r="C229" s="200"/>
      <c r="D229" s="200"/>
      <c r="E229" s="200"/>
      <c r="F229" s="200"/>
      <c r="G229" s="200"/>
      <c r="H229" s="227"/>
      <c r="I229" s="200"/>
      <c r="J229" s="195">
        <f t="shared" si="187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78"/>
      <c r="AJ229" s="178"/>
      <c r="AK229" s="178"/>
    </row>
    <row r="230" ht="24.75" hidden="1" customHeight="1">
      <c r="A230" s="162">
        <v>23.0</v>
      </c>
      <c r="B230" s="229"/>
      <c r="C230" s="200"/>
      <c r="D230" s="200"/>
      <c r="E230" s="200"/>
      <c r="F230" s="200"/>
      <c r="G230" s="200"/>
      <c r="H230" s="227"/>
      <c r="I230" s="200"/>
      <c r="J230" s="195">
        <f t="shared" si="187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78"/>
      <c r="AJ230" s="178"/>
      <c r="AK230" s="178"/>
    </row>
    <row r="231" ht="24.75" hidden="1" customHeight="1">
      <c r="A231" s="162">
        <v>24.0</v>
      </c>
      <c r="B231" s="229"/>
      <c r="C231" s="200"/>
      <c r="D231" s="200"/>
      <c r="E231" s="200"/>
      <c r="F231" s="200"/>
      <c r="G231" s="200"/>
      <c r="H231" s="227"/>
      <c r="I231" s="200"/>
      <c r="J231" s="195">
        <f t="shared" si="187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78"/>
      <c r="AJ231" s="178"/>
      <c r="AK231" s="178"/>
    </row>
    <row r="232" ht="24.75" hidden="1" customHeight="1">
      <c r="A232" s="162">
        <v>25.0</v>
      </c>
      <c r="B232" s="229"/>
      <c r="C232" s="200"/>
      <c r="D232" s="200"/>
      <c r="E232" s="200"/>
      <c r="F232" s="200"/>
      <c r="G232" s="200"/>
      <c r="H232" s="227"/>
      <c r="I232" s="200"/>
      <c r="J232" s="195">
        <f t="shared" si="187"/>
        <v>0</v>
      </c>
      <c r="K232" s="178"/>
      <c r="L232" s="178"/>
      <c r="M232" s="178"/>
      <c r="N232" s="178"/>
      <c r="O232" s="178"/>
      <c r="P232" s="178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78"/>
      <c r="AJ232" s="178"/>
      <c r="AK232" s="178"/>
    </row>
    <row r="233" ht="24.75" hidden="1" customHeight="1">
      <c r="A233" s="162">
        <v>26.0</v>
      </c>
      <c r="B233" s="229"/>
      <c r="C233" s="200"/>
      <c r="D233" s="200"/>
      <c r="E233" s="200"/>
      <c r="F233" s="200"/>
      <c r="G233" s="200"/>
      <c r="H233" s="227"/>
      <c r="I233" s="200"/>
      <c r="J233" s="195">
        <f t="shared" si="187"/>
        <v>0</v>
      </c>
      <c r="K233" s="178"/>
      <c r="L233" s="178"/>
      <c r="M233" s="178"/>
      <c r="N233" s="178"/>
      <c r="O233" s="178"/>
      <c r="P233" s="178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78"/>
      <c r="AJ233" s="178"/>
      <c r="AK233" s="178"/>
    </row>
    <row r="234" ht="24.75" hidden="1" customHeight="1">
      <c r="A234" s="162">
        <v>27.0</v>
      </c>
      <c r="B234" s="229"/>
      <c r="C234" s="200"/>
      <c r="D234" s="200"/>
      <c r="E234" s="200"/>
      <c r="F234" s="200"/>
      <c r="G234" s="200"/>
      <c r="H234" s="200"/>
      <c r="I234" s="200"/>
      <c r="J234" s="195">
        <f t="shared" si="187"/>
        <v>0</v>
      </c>
      <c r="K234" s="178"/>
      <c r="L234" s="178"/>
      <c r="M234" s="178"/>
      <c r="N234" s="178"/>
      <c r="O234" s="178"/>
      <c r="P234" s="178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78"/>
      <c r="AJ234" s="178"/>
      <c r="AK234" s="178"/>
    </row>
    <row r="235" ht="24.75" hidden="1" customHeight="1">
      <c r="A235" s="162">
        <v>28.0</v>
      </c>
      <c r="B235" s="229"/>
      <c r="C235" s="200"/>
      <c r="D235" s="200"/>
      <c r="E235" s="200"/>
      <c r="F235" s="200"/>
      <c r="G235" s="200"/>
      <c r="H235" s="200"/>
      <c r="I235" s="200"/>
      <c r="J235" s="195">
        <f t="shared" si="187"/>
        <v>0</v>
      </c>
      <c r="K235" s="178"/>
      <c r="L235" s="178"/>
      <c r="M235" s="178"/>
      <c r="N235" s="178"/>
      <c r="O235" s="178"/>
      <c r="P235" s="178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78"/>
      <c r="AJ235" s="178"/>
      <c r="AK235" s="178"/>
    </row>
    <row r="236" ht="24.75" hidden="1" customHeight="1">
      <c r="A236" s="162">
        <v>29.0</v>
      </c>
      <c r="B236" s="230"/>
      <c r="C236" s="200"/>
      <c r="D236" s="200"/>
      <c r="E236" s="200"/>
      <c r="F236" s="200"/>
      <c r="G236" s="200"/>
      <c r="H236" s="200"/>
      <c r="I236" s="200"/>
      <c r="J236" s="195">
        <f t="shared" si="187"/>
        <v>0</v>
      </c>
      <c r="K236" s="178"/>
      <c r="L236" s="178"/>
      <c r="M236" s="178"/>
      <c r="N236" s="178"/>
      <c r="O236" s="178"/>
      <c r="P236" s="178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4.75" hidden="1" customHeight="1">
      <c r="A237" s="162">
        <v>30.0</v>
      </c>
      <c r="B237" s="230"/>
      <c r="C237" s="200"/>
      <c r="D237" s="200"/>
      <c r="E237" s="200"/>
      <c r="F237" s="200"/>
      <c r="G237" s="200"/>
      <c r="H237" s="227"/>
      <c r="I237" s="200"/>
      <c r="J237" s="195">
        <f t="shared" si="187"/>
        <v>0</v>
      </c>
      <c r="K237" s="178"/>
      <c r="L237" s="178"/>
      <c r="M237" s="178"/>
      <c r="N237" s="178"/>
      <c r="O237" s="178"/>
      <c r="P237" s="178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4.75" hidden="1" customHeight="1">
      <c r="A238" s="162">
        <v>31.0</v>
      </c>
      <c r="B238" s="218"/>
      <c r="C238" s="200"/>
      <c r="D238" s="200"/>
      <c r="E238" s="200"/>
      <c r="F238" s="200"/>
      <c r="G238" s="200"/>
      <c r="H238" s="227"/>
      <c r="I238" s="200"/>
      <c r="J238" s="195">
        <f t="shared" si="187"/>
        <v>0</v>
      </c>
      <c r="K238" s="178"/>
      <c r="L238" s="178"/>
      <c r="M238" s="178"/>
      <c r="N238" s="178"/>
      <c r="O238" s="178"/>
      <c r="P238" s="178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4.75" hidden="1" customHeight="1">
      <c r="A239" s="162">
        <v>32.0</v>
      </c>
      <c r="B239" s="218"/>
      <c r="C239" s="162"/>
      <c r="D239" s="162"/>
      <c r="E239" s="162"/>
      <c r="F239" s="162"/>
      <c r="G239" s="162"/>
      <c r="H239" s="162"/>
      <c r="I239" s="162"/>
      <c r="J239" s="195">
        <f t="shared" si="187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4.75" hidden="1" customHeight="1">
      <c r="A240" s="162">
        <v>33.0</v>
      </c>
      <c r="B240" s="230"/>
      <c r="C240" s="162"/>
      <c r="D240" s="162"/>
      <c r="E240" s="162"/>
      <c r="F240" s="162"/>
      <c r="G240" s="162"/>
      <c r="H240" s="162"/>
      <c r="I240" s="162"/>
      <c r="J240" s="195">
        <f t="shared" si="187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4.75" hidden="1" customHeight="1">
      <c r="A241" s="162">
        <v>34.0</v>
      </c>
      <c r="B241" s="231"/>
      <c r="C241" s="162"/>
      <c r="D241" s="162"/>
      <c r="E241" s="162"/>
      <c r="F241" s="162"/>
      <c r="G241" s="162"/>
      <c r="H241" s="162"/>
      <c r="I241" s="162"/>
      <c r="J241" s="195">
        <f t="shared" si="187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4.75" hidden="1" customHeight="1">
      <c r="A242" s="162">
        <v>35.0</v>
      </c>
      <c r="B242" s="232"/>
      <c r="C242" s="162"/>
      <c r="D242" s="162"/>
      <c r="E242" s="162"/>
      <c r="F242" s="162"/>
      <c r="G242" s="162"/>
      <c r="H242" s="162"/>
      <c r="I242" s="162"/>
      <c r="J242" s="195">
        <f t="shared" si="187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 t="s">
        <v>38</v>
      </c>
      <c r="I243" s="139"/>
      <c r="J243" s="233">
        <f>SUM(J218:J242)</f>
        <v>262</v>
      </c>
      <c r="K243" s="234"/>
      <c r="L243" s="234"/>
      <c r="M243" s="234"/>
      <c r="N243" s="234"/>
      <c r="O243" s="234"/>
      <c r="P243" s="234"/>
      <c r="Q243" s="234"/>
      <c r="R243" s="139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44"/>
      <c r="B244" s="144"/>
      <c r="C244" s="144"/>
      <c r="D244" s="144"/>
      <c r="E244" s="144"/>
      <c r="F244" s="144"/>
      <c r="G244" s="144"/>
      <c r="H244" s="145"/>
      <c r="I244" s="175"/>
      <c r="J244" s="206">
        <f>+J243*60%</f>
        <v>157.2</v>
      </c>
      <c r="K244" s="206"/>
      <c r="L244" s="206"/>
      <c r="M244" s="206"/>
      <c r="N244" s="206"/>
      <c r="O244" s="206"/>
      <c r="P244" s="206"/>
      <c r="Q244" s="206">
        <f>+J243*40%</f>
        <v>104.8</v>
      </c>
      <c r="R244" s="139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9.5" customHeight="1">
      <c r="A247" s="235" t="s">
        <v>41</v>
      </c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57.0" customHeight="1">
      <c r="A248" s="236"/>
      <c r="B248" s="237" t="s">
        <v>42</v>
      </c>
      <c r="C248" s="237" t="s">
        <v>43</v>
      </c>
      <c r="D248" s="237" t="s">
        <v>44</v>
      </c>
      <c r="E248" s="237" t="s">
        <v>45</v>
      </c>
      <c r="F248" s="237"/>
      <c r="G248" s="237"/>
      <c r="H248" s="238" t="s">
        <v>46</v>
      </c>
      <c r="I248" s="239" t="s">
        <v>47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240" t="s">
        <v>48</v>
      </c>
      <c r="B249" s="241">
        <f>+E21</f>
        <v>51812.5395</v>
      </c>
      <c r="C249" s="242">
        <f>+J189</f>
        <v>47543.99022</v>
      </c>
      <c r="D249" s="242">
        <f>+J211</f>
        <v>0</v>
      </c>
      <c r="E249" s="243">
        <f>J244</f>
        <v>157.2</v>
      </c>
      <c r="F249" s="243"/>
      <c r="G249" s="243"/>
      <c r="H249" s="244">
        <f>+I21</f>
        <v>2383.992472</v>
      </c>
      <c r="I249" s="245">
        <f>+B249-C249-D249-E249-H249</f>
        <v>1727.356804</v>
      </c>
      <c r="J249" s="139"/>
      <c r="K249" s="139"/>
      <c r="L249" s="139"/>
      <c r="M249" s="139"/>
      <c r="N249" s="139"/>
      <c r="O249" s="139"/>
      <c r="P249" s="139"/>
      <c r="Q249" s="139"/>
      <c r="R249" s="141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9.5" customHeight="1">
      <c r="A250" s="246" t="s">
        <v>49</v>
      </c>
      <c r="B250" s="247"/>
      <c r="C250" s="248">
        <f>+C249/B249</f>
        <v>0.9176155171</v>
      </c>
      <c r="D250" s="248">
        <f>+D249/B249</f>
        <v>0</v>
      </c>
      <c r="E250" s="248">
        <f>+E249/B249</f>
        <v>0.003034014575</v>
      </c>
      <c r="F250" s="248"/>
      <c r="G250" s="248"/>
      <c r="H250" s="249">
        <f>+H249/B249</f>
        <v>0.04601188235</v>
      </c>
      <c r="I250" s="250">
        <f>+I249/B249</f>
        <v>0.033338586</v>
      </c>
      <c r="J250" s="139"/>
      <c r="K250" s="139"/>
      <c r="L250" s="139"/>
      <c r="M250" s="139"/>
      <c r="N250" s="139"/>
      <c r="O250" s="139"/>
      <c r="P250" s="139"/>
      <c r="Q250" s="139"/>
      <c r="R250" s="141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9.5" customHeight="1">
      <c r="A251" s="165"/>
      <c r="B251" s="221"/>
      <c r="C251" s="251"/>
      <c r="D251" s="251"/>
      <c r="E251" s="251"/>
      <c r="F251" s="251"/>
      <c r="G251" s="251"/>
      <c r="H251" s="252"/>
      <c r="I251" s="253"/>
      <c r="J251" s="139"/>
      <c r="K251" s="139"/>
      <c r="L251" s="139"/>
      <c r="M251" s="139"/>
      <c r="N251" s="139"/>
      <c r="O251" s="139"/>
      <c r="P251" s="139"/>
      <c r="Q251" s="139"/>
      <c r="R251" s="141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254"/>
      <c r="B252" s="255"/>
      <c r="C252" s="255"/>
      <c r="D252" s="255" t="s">
        <v>50</v>
      </c>
      <c r="E252" s="255" t="s">
        <v>48</v>
      </c>
      <c r="F252" s="255"/>
      <c r="G252" s="255"/>
      <c r="H252" s="256">
        <f>+D249+E249+H249+I249</f>
        <v>4268.549276</v>
      </c>
      <c r="I252" s="257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258"/>
      <c r="B253" s="139"/>
      <c r="C253" s="139"/>
      <c r="D253" s="139"/>
      <c r="E253" s="139" t="s">
        <v>49</v>
      </c>
      <c r="F253" s="139"/>
      <c r="G253" s="139"/>
      <c r="H253" s="252">
        <f>+H252/B249</f>
        <v>0.08238448293</v>
      </c>
      <c r="I253" s="259"/>
      <c r="J253" s="139"/>
      <c r="K253" s="139"/>
      <c r="L253" s="139"/>
      <c r="M253" s="139"/>
      <c r="N253" s="139"/>
      <c r="O253" s="139"/>
      <c r="P253" s="139"/>
      <c r="Q253" s="139"/>
      <c r="R253" s="141"/>
      <c r="S253" s="140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258"/>
      <c r="B254" s="139"/>
      <c r="C254" s="139" t="s">
        <v>51</v>
      </c>
      <c r="D254" s="139"/>
      <c r="E254" s="139"/>
      <c r="F254" s="139"/>
      <c r="G254" s="139"/>
      <c r="H254" s="140"/>
      <c r="I254" s="259"/>
      <c r="J254" s="139"/>
      <c r="K254" s="139"/>
      <c r="L254" s="139"/>
      <c r="M254" s="139"/>
      <c r="N254" s="139"/>
      <c r="O254" s="139"/>
      <c r="P254" s="139"/>
      <c r="Q254" s="139"/>
      <c r="R254" s="141"/>
      <c r="S254" s="140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258"/>
      <c r="B255" s="139"/>
      <c r="C255" s="139"/>
      <c r="D255" s="139" t="s">
        <v>52</v>
      </c>
      <c r="E255" s="139"/>
      <c r="F255" s="139"/>
      <c r="G255" s="139"/>
      <c r="H255" s="140">
        <f>+H254*(H252-H249)</f>
        <v>0</v>
      </c>
      <c r="I255" s="259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9.5" customHeight="1">
      <c r="A256" s="260"/>
      <c r="B256" s="261"/>
      <c r="C256" s="261"/>
      <c r="D256" s="261"/>
      <c r="E256" s="261"/>
      <c r="F256" s="261"/>
      <c r="G256" s="261"/>
      <c r="H256" s="262"/>
      <c r="I256" s="263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41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41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95:E195"/>
    <mergeCell ref="C217:E217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44552.0</v>
      </c>
      <c r="J4" s="139" t="str">
        <f>+B8&amp;"/"&amp;B9&amp;"/"&amp;B10&amp;"/"&amp;B11&amp;"/"&amp;B12&amp;"/"&amp;B13&amp;"/"&amp;B14&amp;"/"&amp;B15&amp;"/"&amp;B16</f>
        <v>HRD2940/HRD2940/HRD2940/HRD2930/D2070CC////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171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+I238</f>
        <v>0.04007223838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252.8*48.4</f>
        <v>12235.52</v>
      </c>
      <c r="F8" s="157"/>
      <c r="G8" s="157"/>
      <c r="H8" s="158">
        <v>48.4</v>
      </c>
      <c r="I8" s="159">
        <f t="shared" ref="I8:I19" si="1">+D8*E8</f>
        <v>178.638592</v>
      </c>
      <c r="J8" s="160">
        <f t="shared" ref="J8:J19" si="2">E8-I8</f>
        <v>12056.88141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252.8*51.5</f>
        <v>13019.2</v>
      </c>
      <c r="F9" s="157"/>
      <c r="G9" s="157"/>
      <c r="H9" s="158">
        <v>51.5</v>
      </c>
      <c r="I9" s="159">
        <f t="shared" si="1"/>
        <v>190.08032</v>
      </c>
      <c r="J9" s="160">
        <f t="shared" si="2"/>
        <v>12829.11968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245.58*22.2</f>
        <v>5451.876</v>
      </c>
      <c r="F10" s="157"/>
      <c r="G10" s="157"/>
      <c r="H10" s="158">
        <v>22.2</v>
      </c>
      <c r="I10" s="159">
        <f t="shared" si="1"/>
        <v>79.5973896</v>
      </c>
      <c r="J10" s="160">
        <f t="shared" si="2"/>
        <v>5372.27861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57</v>
      </c>
      <c r="C11" s="155">
        <v>29.5</v>
      </c>
      <c r="D11" s="163">
        <v>0.0155</v>
      </c>
      <c r="E11" s="164">
        <f>253.14*23.3</f>
        <v>5898.162</v>
      </c>
      <c r="F11" s="164"/>
      <c r="G11" s="164"/>
      <c r="H11" s="158">
        <v>23.3</v>
      </c>
      <c r="I11" s="159">
        <f t="shared" si="1"/>
        <v>91.421511</v>
      </c>
      <c r="J11" s="160">
        <f t="shared" si="2"/>
        <v>5806.740489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55" t="s">
        <v>105</v>
      </c>
      <c r="C12" s="162">
        <v>20.5</v>
      </c>
      <c r="D12" s="163">
        <v>0.0813</v>
      </c>
      <c r="E12" s="164">
        <f>231.166*21</f>
        <v>4854.486</v>
      </c>
      <c r="F12" s="164"/>
      <c r="G12" s="164"/>
      <c r="H12" s="158">
        <v>21.0</v>
      </c>
      <c r="I12" s="159">
        <f t="shared" si="1"/>
        <v>394.6697118</v>
      </c>
      <c r="J12" s="160">
        <f t="shared" si="2"/>
        <v>4459.816288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11.0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12.0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13.0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14.0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15.0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16.0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17.0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65"/>
      <c r="B20" s="166"/>
      <c r="C20" s="167"/>
      <c r="D20" s="168"/>
      <c r="E20" s="169">
        <f>SUM(E8:E19)</f>
        <v>41459.244</v>
      </c>
      <c r="F20" s="170"/>
      <c r="G20" s="170"/>
      <c r="H20" s="171"/>
      <c r="I20" s="172">
        <f t="shared" ref="I20:J20" si="3">SUM(I8:I19)</f>
        <v>934.4075244</v>
      </c>
      <c r="J20" s="173">
        <f t="shared" si="3"/>
        <v>40524.83648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74"/>
      <c r="B21" s="144"/>
      <c r="C21" s="144"/>
      <c r="D21" s="175"/>
      <c r="E21" s="176"/>
      <c r="F21" s="151"/>
      <c r="G21" s="151"/>
      <c r="H21" s="147"/>
      <c r="I21" s="177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 t="s">
        <v>11</v>
      </c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40.5" customHeight="1">
      <c r="A26" s="178"/>
      <c r="B26" s="162" t="s">
        <v>12</v>
      </c>
      <c r="C26" s="179" t="s">
        <v>60</v>
      </c>
      <c r="D26" s="52"/>
      <c r="E26" s="53"/>
      <c r="F26" s="180"/>
      <c r="G26" s="180"/>
      <c r="H26" s="181" t="s">
        <v>14</v>
      </c>
      <c r="I26" s="162" t="s">
        <v>15</v>
      </c>
      <c r="J26" s="162" t="s">
        <v>16</v>
      </c>
      <c r="K26" s="139"/>
      <c r="L26" s="162" t="s">
        <v>17</v>
      </c>
      <c r="M26" s="162" t="s">
        <v>15</v>
      </c>
      <c r="N26" s="178" t="s">
        <v>18</v>
      </c>
      <c r="O26" s="139"/>
      <c r="P26" s="139"/>
      <c r="Q26" s="178" t="s">
        <v>61</v>
      </c>
      <c r="R26" s="182"/>
      <c r="S26" s="162" t="s">
        <v>17</v>
      </c>
      <c r="T26" s="162" t="s">
        <v>15</v>
      </c>
      <c r="U26" s="178" t="s">
        <v>18</v>
      </c>
      <c r="V26" s="139"/>
      <c r="W26" s="178" t="s">
        <v>19</v>
      </c>
      <c r="X26" s="178" t="s">
        <v>20</v>
      </c>
      <c r="Y26" s="178" t="s">
        <v>21</v>
      </c>
      <c r="Z26" s="178" t="s">
        <v>172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1.0</v>
      </c>
      <c r="B27" s="183" t="s">
        <v>63</v>
      </c>
      <c r="C27" s="184">
        <v>93.0</v>
      </c>
      <c r="D27" s="184">
        <v>202.0</v>
      </c>
      <c r="E27" s="184">
        <v>179.0</v>
      </c>
      <c r="F27" s="184">
        <f t="shared" ref="F27:F176" si="5">VALUE(IF(RIGHT(B27, 1)="%", RIGHT(B27, 3), 0))</f>
        <v>0.8</v>
      </c>
      <c r="G27" s="184">
        <f t="shared" ref="G27:G176" si="6">+R27*C27/100*D27/100*E27/100</f>
        <v>100.88082</v>
      </c>
      <c r="H27" s="185">
        <f t="shared" ref="H27:H176" si="7">IF(F27=0, G27, F27*G27)</f>
        <v>80.704656</v>
      </c>
      <c r="I27" s="184">
        <v>1.0</v>
      </c>
      <c r="J27" s="186">
        <f t="shared" ref="J27:J176" si="8">+I27*H27</f>
        <v>80.704656</v>
      </c>
      <c r="K27" s="187"/>
      <c r="L27" s="188">
        <f>D27*25.4/1000</f>
        <v>5.1308</v>
      </c>
      <c r="M27" s="189">
        <f>+I27</f>
        <v>1</v>
      </c>
      <c r="N27" s="189">
        <f>M27*L27</f>
        <v>5.1308</v>
      </c>
      <c r="O27" s="187"/>
      <c r="P27" s="187"/>
      <c r="Q27" s="188">
        <v>107.0</v>
      </c>
      <c r="R27" s="190">
        <v>30.0</v>
      </c>
      <c r="S27" s="178">
        <f t="shared" ref="S27:S177" si="9">E27/100</f>
        <v>1.79</v>
      </c>
      <c r="T27" s="162">
        <f t="shared" ref="T27:T177" si="10">I27</f>
        <v>1</v>
      </c>
      <c r="U27" s="162">
        <f t="shared" ref="U27:U177" si="11">T27*S27</f>
        <v>1.79</v>
      </c>
      <c r="V27" s="191">
        <f t="shared" ref="V27:V59" si="12">R27*C27/100*D27/100*E27/100</f>
        <v>100.88082</v>
      </c>
      <c r="W27" s="178">
        <f t="shared" ref="W27:X27" si="4">C27/100</f>
        <v>0.93</v>
      </c>
      <c r="X27" s="178">
        <f t="shared" si="4"/>
        <v>2.02</v>
      </c>
      <c r="Y27" s="178">
        <f t="shared" ref="Y27:Y177" si="14">U27</f>
        <v>1.79</v>
      </c>
      <c r="Z27" s="192">
        <f t="shared" ref="Z27:Z177" si="15">W27*X27*Y27</f>
        <v>3.362694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2.0</v>
      </c>
      <c r="B28" s="193" t="s">
        <v>55</v>
      </c>
      <c r="C28" s="193">
        <v>99.0</v>
      </c>
      <c r="D28" s="193">
        <v>202.0</v>
      </c>
      <c r="E28" s="193">
        <v>204.0</v>
      </c>
      <c r="F28" s="193">
        <f t="shared" si="5"/>
        <v>0</v>
      </c>
      <c r="G28" s="193">
        <f t="shared" si="6"/>
        <v>122.38776</v>
      </c>
      <c r="H28" s="194">
        <f t="shared" si="7"/>
        <v>122.38776</v>
      </c>
      <c r="I28" s="193">
        <v>1.0</v>
      </c>
      <c r="J28" s="195">
        <f t="shared" si="8"/>
        <v>122.38776</v>
      </c>
      <c r="K28" s="139"/>
      <c r="L28" s="178"/>
      <c r="M28" s="162"/>
      <c r="N28" s="162"/>
      <c r="O28" s="139"/>
      <c r="P28" s="139"/>
      <c r="Q28" s="178">
        <v>128.0</v>
      </c>
      <c r="R28" s="190">
        <v>30.0</v>
      </c>
      <c r="S28" s="178">
        <f t="shared" si="9"/>
        <v>2.04</v>
      </c>
      <c r="T28" s="162">
        <f t="shared" si="10"/>
        <v>1</v>
      </c>
      <c r="U28" s="162">
        <f t="shared" si="11"/>
        <v>2.04</v>
      </c>
      <c r="V28" s="191">
        <f t="shared" si="12"/>
        <v>122.38776</v>
      </c>
      <c r="W28" s="178">
        <f t="shared" ref="W28:X28" si="13">C28/100</f>
        <v>0.99</v>
      </c>
      <c r="X28" s="178">
        <f t="shared" si="13"/>
        <v>2.02</v>
      </c>
      <c r="Y28" s="178">
        <f t="shared" si="14"/>
        <v>2.04</v>
      </c>
      <c r="Z28" s="192">
        <f t="shared" si="15"/>
        <v>4.079592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3.0</v>
      </c>
      <c r="B29" s="193" t="s">
        <v>55</v>
      </c>
      <c r="C29" s="193">
        <v>100.0</v>
      </c>
      <c r="D29" s="193">
        <v>202.0</v>
      </c>
      <c r="E29" s="193">
        <v>2883.0</v>
      </c>
      <c r="F29" s="193">
        <f t="shared" si="5"/>
        <v>0</v>
      </c>
      <c r="G29" s="193">
        <f t="shared" si="6"/>
        <v>1747.098</v>
      </c>
      <c r="H29" s="194">
        <f t="shared" si="7"/>
        <v>1747.098</v>
      </c>
      <c r="I29" s="193">
        <v>1.0</v>
      </c>
      <c r="J29" s="195">
        <f t="shared" si="8"/>
        <v>1747.098</v>
      </c>
      <c r="K29" s="139"/>
      <c r="L29" s="178">
        <f t="shared" ref="L29:L51" si="17">D29*25.4/1000</f>
        <v>5.1308</v>
      </c>
      <c r="M29" s="162">
        <f t="shared" ref="M29:M59" si="18">+I29</f>
        <v>1</v>
      </c>
      <c r="N29" s="162">
        <f t="shared" ref="N29:N51" si="19">M29*L29</f>
        <v>5.1308</v>
      </c>
      <c r="O29" s="139"/>
      <c r="P29" s="139"/>
      <c r="Q29" s="178">
        <v>1745.0</v>
      </c>
      <c r="R29" s="190">
        <v>30.0</v>
      </c>
      <c r="S29" s="178">
        <f t="shared" si="9"/>
        <v>28.83</v>
      </c>
      <c r="T29" s="162">
        <f t="shared" si="10"/>
        <v>1</v>
      </c>
      <c r="U29" s="162">
        <f t="shared" si="11"/>
        <v>28.83</v>
      </c>
      <c r="V29" s="191">
        <f t="shared" si="12"/>
        <v>1747.098</v>
      </c>
      <c r="W29" s="178">
        <f t="shared" ref="W29:X29" si="16">C29/100</f>
        <v>1</v>
      </c>
      <c r="X29" s="178">
        <f t="shared" si="16"/>
        <v>2.02</v>
      </c>
      <c r="Y29" s="178">
        <f t="shared" si="14"/>
        <v>28.83</v>
      </c>
      <c r="Z29" s="192">
        <f t="shared" si="15"/>
        <v>58.2366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4.0</v>
      </c>
      <c r="B30" s="193" t="s">
        <v>55</v>
      </c>
      <c r="C30" s="193">
        <v>102.0</v>
      </c>
      <c r="D30" s="193">
        <v>202.0</v>
      </c>
      <c r="E30" s="193">
        <v>2880.0</v>
      </c>
      <c r="F30" s="193">
        <f t="shared" si="5"/>
        <v>0</v>
      </c>
      <c r="G30" s="193">
        <f t="shared" si="6"/>
        <v>1780.1856</v>
      </c>
      <c r="H30" s="194">
        <f t="shared" si="7"/>
        <v>1780.1856</v>
      </c>
      <c r="I30" s="193">
        <v>1.0</v>
      </c>
      <c r="J30" s="195">
        <f t="shared" si="8"/>
        <v>1780.1856</v>
      </c>
      <c r="K30" s="139"/>
      <c r="L30" s="178">
        <f t="shared" si="17"/>
        <v>5.1308</v>
      </c>
      <c r="M30" s="162">
        <f t="shared" si="18"/>
        <v>1</v>
      </c>
      <c r="N30" s="162">
        <f t="shared" si="19"/>
        <v>5.1308</v>
      </c>
      <c r="O30" s="139"/>
      <c r="P30" s="139"/>
      <c r="Q30" s="178">
        <v>1745.0</v>
      </c>
      <c r="R30" s="190">
        <v>30.0</v>
      </c>
      <c r="S30" s="178">
        <f t="shared" si="9"/>
        <v>28.8</v>
      </c>
      <c r="T30" s="162">
        <f t="shared" si="10"/>
        <v>1</v>
      </c>
      <c r="U30" s="162">
        <f t="shared" si="11"/>
        <v>28.8</v>
      </c>
      <c r="V30" s="191">
        <f t="shared" si="12"/>
        <v>1780.1856</v>
      </c>
      <c r="W30" s="178">
        <f t="shared" ref="W30:X30" si="20">C30/100</f>
        <v>1.02</v>
      </c>
      <c r="X30" s="178">
        <f t="shared" si="20"/>
        <v>2.02</v>
      </c>
      <c r="Y30" s="178">
        <f t="shared" si="14"/>
        <v>28.8</v>
      </c>
      <c r="Z30" s="192">
        <f t="shared" si="15"/>
        <v>59.33952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5.0</v>
      </c>
      <c r="B31" s="193" t="s">
        <v>55</v>
      </c>
      <c r="C31" s="193">
        <v>102.0</v>
      </c>
      <c r="D31" s="193">
        <v>202.0</v>
      </c>
      <c r="E31" s="193">
        <v>2883.0</v>
      </c>
      <c r="F31" s="193">
        <f t="shared" si="5"/>
        <v>0</v>
      </c>
      <c r="G31" s="193">
        <f t="shared" si="6"/>
        <v>1782.03996</v>
      </c>
      <c r="H31" s="194">
        <f t="shared" si="7"/>
        <v>1782.03996</v>
      </c>
      <c r="I31" s="193">
        <v>1.0</v>
      </c>
      <c r="J31" s="195">
        <f t="shared" si="8"/>
        <v>1782.03996</v>
      </c>
      <c r="K31" s="139"/>
      <c r="L31" s="178">
        <f t="shared" si="17"/>
        <v>5.1308</v>
      </c>
      <c r="M31" s="162">
        <f t="shared" si="18"/>
        <v>1</v>
      </c>
      <c r="N31" s="162">
        <f t="shared" si="19"/>
        <v>5.1308</v>
      </c>
      <c r="O31" s="139"/>
      <c r="P31" s="139"/>
      <c r="Q31" s="178">
        <v>1780.0</v>
      </c>
      <c r="R31" s="190">
        <v>30.0</v>
      </c>
      <c r="S31" s="178">
        <f t="shared" si="9"/>
        <v>28.83</v>
      </c>
      <c r="T31" s="162">
        <f t="shared" si="10"/>
        <v>1</v>
      </c>
      <c r="U31" s="162">
        <f t="shared" si="11"/>
        <v>28.83</v>
      </c>
      <c r="V31" s="191">
        <f t="shared" si="12"/>
        <v>1782.03996</v>
      </c>
      <c r="W31" s="178">
        <f t="shared" ref="W31:X31" si="21">C31/100</f>
        <v>1.02</v>
      </c>
      <c r="X31" s="178">
        <f t="shared" si="21"/>
        <v>2.02</v>
      </c>
      <c r="Y31" s="178">
        <f t="shared" si="14"/>
        <v>28.83</v>
      </c>
      <c r="Z31" s="192">
        <f t="shared" si="15"/>
        <v>59.401332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6.0</v>
      </c>
      <c r="B32" s="193" t="s">
        <v>55</v>
      </c>
      <c r="C32" s="193">
        <v>101.0</v>
      </c>
      <c r="D32" s="193">
        <v>202.0</v>
      </c>
      <c r="E32" s="193">
        <v>2877.0</v>
      </c>
      <c r="F32" s="193">
        <f t="shared" si="5"/>
        <v>0</v>
      </c>
      <c r="G32" s="193">
        <f t="shared" si="6"/>
        <v>1760.89662</v>
      </c>
      <c r="H32" s="194">
        <f t="shared" si="7"/>
        <v>1760.89662</v>
      </c>
      <c r="I32" s="193">
        <v>1.0</v>
      </c>
      <c r="J32" s="195">
        <f t="shared" si="8"/>
        <v>1760.89662</v>
      </c>
      <c r="K32" s="139"/>
      <c r="L32" s="178">
        <f t="shared" si="17"/>
        <v>5.1308</v>
      </c>
      <c r="M32" s="162">
        <f t="shared" si="18"/>
        <v>1</v>
      </c>
      <c r="N32" s="162">
        <f t="shared" si="19"/>
        <v>5.1308</v>
      </c>
      <c r="O32" s="139"/>
      <c r="P32" s="139"/>
      <c r="Q32" s="178">
        <v>1755.0</v>
      </c>
      <c r="R32" s="190">
        <v>30.0</v>
      </c>
      <c r="S32" s="178">
        <f t="shared" si="9"/>
        <v>28.77</v>
      </c>
      <c r="T32" s="162">
        <f t="shared" si="10"/>
        <v>1</v>
      </c>
      <c r="U32" s="162">
        <f t="shared" si="11"/>
        <v>28.77</v>
      </c>
      <c r="V32" s="191">
        <f t="shared" si="12"/>
        <v>1760.89662</v>
      </c>
      <c r="W32" s="178">
        <f t="shared" ref="W32:X32" si="22">C32/100</f>
        <v>1.01</v>
      </c>
      <c r="X32" s="178">
        <f t="shared" si="22"/>
        <v>2.02</v>
      </c>
      <c r="Y32" s="178">
        <f t="shared" si="14"/>
        <v>28.77</v>
      </c>
      <c r="Z32" s="192">
        <f t="shared" si="15"/>
        <v>58.696554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7.0</v>
      </c>
      <c r="B33" s="193" t="s">
        <v>55</v>
      </c>
      <c r="C33" s="193">
        <v>102.0</v>
      </c>
      <c r="D33" s="193">
        <v>202.0</v>
      </c>
      <c r="E33" s="193">
        <v>2881.0</v>
      </c>
      <c r="F33" s="193">
        <f t="shared" si="5"/>
        <v>0</v>
      </c>
      <c r="G33" s="193">
        <f t="shared" si="6"/>
        <v>1780.80372</v>
      </c>
      <c r="H33" s="194">
        <f t="shared" si="7"/>
        <v>1780.80372</v>
      </c>
      <c r="I33" s="193">
        <v>1.0</v>
      </c>
      <c r="J33" s="195">
        <f t="shared" si="8"/>
        <v>1780.80372</v>
      </c>
      <c r="K33" s="139"/>
      <c r="L33" s="178">
        <f t="shared" si="17"/>
        <v>5.1308</v>
      </c>
      <c r="M33" s="162">
        <f t="shared" si="18"/>
        <v>1</v>
      </c>
      <c r="N33" s="162">
        <f t="shared" si="19"/>
        <v>5.1308</v>
      </c>
      <c r="O33" s="139"/>
      <c r="P33" s="139"/>
      <c r="Q33" s="178">
        <v>1800.0</v>
      </c>
      <c r="R33" s="190">
        <v>30.0</v>
      </c>
      <c r="S33" s="178">
        <f t="shared" si="9"/>
        <v>28.81</v>
      </c>
      <c r="T33" s="162">
        <f t="shared" si="10"/>
        <v>1</v>
      </c>
      <c r="U33" s="162">
        <f t="shared" si="11"/>
        <v>28.81</v>
      </c>
      <c r="V33" s="191">
        <f t="shared" si="12"/>
        <v>1780.80372</v>
      </c>
      <c r="W33" s="178">
        <f t="shared" ref="W33:X33" si="23">C33/100</f>
        <v>1.02</v>
      </c>
      <c r="X33" s="178">
        <f t="shared" si="23"/>
        <v>2.02</v>
      </c>
      <c r="Y33" s="178">
        <f t="shared" si="14"/>
        <v>28.81</v>
      </c>
      <c r="Z33" s="192">
        <f t="shared" si="15"/>
        <v>59.360124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8.0</v>
      </c>
      <c r="B34" s="193" t="s">
        <v>55</v>
      </c>
      <c r="C34" s="193">
        <v>101.0</v>
      </c>
      <c r="D34" s="193">
        <v>202.0</v>
      </c>
      <c r="E34" s="193">
        <v>2884.0</v>
      </c>
      <c r="F34" s="193">
        <f t="shared" si="5"/>
        <v>0</v>
      </c>
      <c r="G34" s="193">
        <f t="shared" si="6"/>
        <v>1765.18104</v>
      </c>
      <c r="H34" s="194">
        <f t="shared" si="7"/>
        <v>1765.18104</v>
      </c>
      <c r="I34" s="193">
        <v>1.0</v>
      </c>
      <c r="J34" s="195">
        <f t="shared" si="8"/>
        <v>1765.18104</v>
      </c>
      <c r="K34" s="139"/>
      <c r="L34" s="178">
        <f t="shared" si="17"/>
        <v>5.1308</v>
      </c>
      <c r="M34" s="162">
        <f t="shared" si="18"/>
        <v>1</v>
      </c>
      <c r="N34" s="162">
        <f t="shared" si="19"/>
        <v>5.1308</v>
      </c>
      <c r="O34" s="139"/>
      <c r="P34" s="139"/>
      <c r="Q34" s="178">
        <v>1765.0</v>
      </c>
      <c r="R34" s="190">
        <v>30.0</v>
      </c>
      <c r="S34" s="178">
        <f t="shared" si="9"/>
        <v>28.84</v>
      </c>
      <c r="T34" s="162">
        <f t="shared" si="10"/>
        <v>1</v>
      </c>
      <c r="U34" s="162">
        <f t="shared" si="11"/>
        <v>28.84</v>
      </c>
      <c r="V34" s="191">
        <f t="shared" si="12"/>
        <v>1765.18104</v>
      </c>
      <c r="W34" s="178">
        <f t="shared" ref="W34:X34" si="24">C34/100</f>
        <v>1.01</v>
      </c>
      <c r="X34" s="178">
        <f t="shared" si="24"/>
        <v>2.02</v>
      </c>
      <c r="Y34" s="178">
        <f t="shared" si="14"/>
        <v>28.84</v>
      </c>
      <c r="Z34" s="192">
        <f t="shared" si="15"/>
        <v>58.839368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9.0</v>
      </c>
      <c r="B35" s="193" t="s">
        <v>55</v>
      </c>
      <c r="C35" s="193">
        <v>99.0</v>
      </c>
      <c r="D35" s="193">
        <v>202.0</v>
      </c>
      <c r="E35" s="193">
        <v>1170.0</v>
      </c>
      <c r="F35" s="193">
        <f t="shared" si="5"/>
        <v>0</v>
      </c>
      <c r="G35" s="193">
        <f t="shared" si="6"/>
        <v>701.9298</v>
      </c>
      <c r="H35" s="194">
        <f t="shared" si="7"/>
        <v>701.9298</v>
      </c>
      <c r="I35" s="193">
        <v>1.0</v>
      </c>
      <c r="J35" s="195">
        <f t="shared" si="8"/>
        <v>701.9298</v>
      </c>
      <c r="K35" s="139"/>
      <c r="L35" s="178">
        <f t="shared" si="17"/>
        <v>5.1308</v>
      </c>
      <c r="M35" s="162">
        <f t="shared" si="18"/>
        <v>1</v>
      </c>
      <c r="N35" s="162">
        <f t="shared" si="19"/>
        <v>5.1308</v>
      </c>
      <c r="O35" s="139"/>
      <c r="P35" s="139"/>
      <c r="Q35" s="178">
        <v>715.0</v>
      </c>
      <c r="R35" s="190">
        <v>30.0</v>
      </c>
      <c r="S35" s="178">
        <f t="shared" si="9"/>
        <v>11.7</v>
      </c>
      <c r="T35" s="162">
        <f t="shared" si="10"/>
        <v>1</v>
      </c>
      <c r="U35" s="162">
        <f t="shared" si="11"/>
        <v>11.7</v>
      </c>
      <c r="V35" s="191">
        <f t="shared" si="12"/>
        <v>701.9298</v>
      </c>
      <c r="W35" s="178">
        <f t="shared" ref="W35:X35" si="25">C35/100</f>
        <v>0.99</v>
      </c>
      <c r="X35" s="178">
        <f t="shared" si="25"/>
        <v>2.02</v>
      </c>
      <c r="Y35" s="178">
        <f t="shared" si="14"/>
        <v>11.7</v>
      </c>
      <c r="Z35" s="192">
        <f t="shared" si="15"/>
        <v>23.39766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10.0</v>
      </c>
      <c r="B36" s="183" t="s">
        <v>63</v>
      </c>
      <c r="C36" s="184">
        <v>94.0</v>
      </c>
      <c r="D36" s="184">
        <v>195.0</v>
      </c>
      <c r="E36" s="184">
        <v>189.0</v>
      </c>
      <c r="F36" s="184">
        <f t="shared" si="5"/>
        <v>0.8</v>
      </c>
      <c r="G36" s="184">
        <f t="shared" si="6"/>
        <v>103.9311</v>
      </c>
      <c r="H36" s="185">
        <f t="shared" si="7"/>
        <v>83.14488</v>
      </c>
      <c r="I36" s="184">
        <v>1.0</v>
      </c>
      <c r="J36" s="186">
        <f t="shared" si="8"/>
        <v>83.14488</v>
      </c>
      <c r="K36" s="187"/>
      <c r="L36" s="188">
        <f t="shared" si="17"/>
        <v>4.953</v>
      </c>
      <c r="M36" s="189">
        <f t="shared" si="18"/>
        <v>1</v>
      </c>
      <c r="N36" s="189">
        <f t="shared" si="19"/>
        <v>4.953</v>
      </c>
      <c r="O36" s="187"/>
      <c r="P36" s="187"/>
      <c r="Q36" s="188">
        <v>109.0</v>
      </c>
      <c r="R36" s="190">
        <v>30.0</v>
      </c>
      <c r="S36" s="178">
        <f t="shared" si="9"/>
        <v>1.89</v>
      </c>
      <c r="T36" s="162">
        <f t="shared" si="10"/>
        <v>1</v>
      </c>
      <c r="U36" s="162">
        <f t="shared" si="11"/>
        <v>1.89</v>
      </c>
      <c r="V36" s="191">
        <f t="shared" si="12"/>
        <v>103.9311</v>
      </c>
      <c r="W36" s="178">
        <f t="shared" ref="W36:X36" si="26">C36/100</f>
        <v>0.94</v>
      </c>
      <c r="X36" s="178">
        <f t="shared" si="26"/>
        <v>1.95</v>
      </c>
      <c r="Y36" s="178">
        <f t="shared" si="14"/>
        <v>1.89</v>
      </c>
      <c r="Z36" s="192">
        <f t="shared" si="15"/>
        <v>3.46437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11.0</v>
      </c>
      <c r="B37" s="193" t="s">
        <v>55</v>
      </c>
      <c r="C37" s="193">
        <v>100.0</v>
      </c>
      <c r="D37" s="193">
        <v>195.0</v>
      </c>
      <c r="E37" s="193">
        <v>204.0</v>
      </c>
      <c r="F37" s="193">
        <f t="shared" si="5"/>
        <v>0</v>
      </c>
      <c r="G37" s="193">
        <f t="shared" si="6"/>
        <v>119.34</v>
      </c>
      <c r="H37" s="194">
        <f t="shared" si="7"/>
        <v>119.34</v>
      </c>
      <c r="I37" s="193">
        <v>1.0</v>
      </c>
      <c r="J37" s="195">
        <f t="shared" si="8"/>
        <v>119.34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123.0</v>
      </c>
      <c r="R37" s="190">
        <v>30.0</v>
      </c>
      <c r="S37" s="178">
        <f t="shared" si="9"/>
        <v>2.04</v>
      </c>
      <c r="T37" s="162">
        <f t="shared" si="10"/>
        <v>1</v>
      </c>
      <c r="U37" s="162">
        <f t="shared" si="11"/>
        <v>2.04</v>
      </c>
      <c r="V37" s="191">
        <f t="shared" si="12"/>
        <v>119.34</v>
      </c>
      <c r="W37" s="178">
        <f t="shared" ref="W37:X37" si="27">C37/100</f>
        <v>1</v>
      </c>
      <c r="X37" s="178">
        <f t="shared" si="27"/>
        <v>1.95</v>
      </c>
      <c r="Y37" s="178">
        <f t="shared" si="14"/>
        <v>2.04</v>
      </c>
      <c r="Z37" s="192">
        <f t="shared" si="15"/>
        <v>3.978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12.0</v>
      </c>
      <c r="B38" s="193" t="s">
        <v>55</v>
      </c>
      <c r="C38" s="193">
        <v>105.0</v>
      </c>
      <c r="D38" s="193">
        <v>195.0</v>
      </c>
      <c r="E38" s="193">
        <v>2881.0</v>
      </c>
      <c r="F38" s="193">
        <f t="shared" si="5"/>
        <v>0</v>
      </c>
      <c r="G38" s="193">
        <f t="shared" si="6"/>
        <v>1769.65425</v>
      </c>
      <c r="H38" s="194">
        <f t="shared" si="7"/>
        <v>1769.65425</v>
      </c>
      <c r="I38" s="193">
        <v>1.0</v>
      </c>
      <c r="J38" s="195">
        <f t="shared" si="8"/>
        <v>1769.65425</v>
      </c>
      <c r="K38" s="139"/>
      <c r="L38" s="178">
        <f t="shared" si="17"/>
        <v>4.953</v>
      </c>
      <c r="M38" s="162">
        <f t="shared" si="18"/>
        <v>1</v>
      </c>
      <c r="N38" s="162">
        <f t="shared" si="19"/>
        <v>4.953</v>
      </c>
      <c r="O38" s="139"/>
      <c r="P38" s="139"/>
      <c r="Q38" s="178">
        <v>1750.0</v>
      </c>
      <c r="R38" s="190">
        <v>30.0</v>
      </c>
      <c r="S38" s="178">
        <f t="shared" si="9"/>
        <v>28.81</v>
      </c>
      <c r="T38" s="162">
        <f t="shared" si="10"/>
        <v>1</v>
      </c>
      <c r="U38" s="162">
        <f t="shared" si="11"/>
        <v>28.81</v>
      </c>
      <c r="V38" s="191">
        <f t="shared" si="12"/>
        <v>1769.65425</v>
      </c>
      <c r="W38" s="178">
        <f t="shared" ref="W38:X38" si="28">C38/100</f>
        <v>1.05</v>
      </c>
      <c r="X38" s="178">
        <f t="shared" si="28"/>
        <v>1.95</v>
      </c>
      <c r="Y38" s="178">
        <f t="shared" si="14"/>
        <v>28.81</v>
      </c>
      <c r="Z38" s="192">
        <f t="shared" si="15"/>
        <v>58.988475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13.0</v>
      </c>
      <c r="B39" s="193" t="s">
        <v>55</v>
      </c>
      <c r="C39" s="193">
        <v>105.0</v>
      </c>
      <c r="D39" s="193">
        <v>195.0</v>
      </c>
      <c r="E39" s="193">
        <v>2885.0</v>
      </c>
      <c r="F39" s="193">
        <f t="shared" si="5"/>
        <v>0</v>
      </c>
      <c r="G39" s="193">
        <f t="shared" si="6"/>
        <v>1772.11125</v>
      </c>
      <c r="H39" s="194">
        <f t="shared" si="7"/>
        <v>1772.11125</v>
      </c>
      <c r="I39" s="193">
        <v>1.0</v>
      </c>
      <c r="J39" s="195">
        <f t="shared" si="8"/>
        <v>1772.11125</v>
      </c>
      <c r="K39" s="139"/>
      <c r="L39" s="178">
        <f t="shared" si="17"/>
        <v>4.953</v>
      </c>
      <c r="M39" s="162">
        <f t="shared" si="18"/>
        <v>1</v>
      </c>
      <c r="N39" s="162">
        <f t="shared" si="19"/>
        <v>4.953</v>
      </c>
      <c r="O39" s="139"/>
      <c r="P39" s="139"/>
      <c r="Q39" s="178">
        <v>1750.0</v>
      </c>
      <c r="R39" s="190">
        <v>30.0</v>
      </c>
      <c r="S39" s="178">
        <f t="shared" si="9"/>
        <v>28.85</v>
      </c>
      <c r="T39" s="162">
        <f t="shared" si="10"/>
        <v>1</v>
      </c>
      <c r="U39" s="162">
        <f t="shared" si="11"/>
        <v>28.85</v>
      </c>
      <c r="V39" s="191">
        <f t="shared" si="12"/>
        <v>1772.11125</v>
      </c>
      <c r="W39" s="178">
        <f t="shared" ref="W39:X39" si="29">C39/100</f>
        <v>1.05</v>
      </c>
      <c r="X39" s="178">
        <f t="shared" si="29"/>
        <v>1.95</v>
      </c>
      <c r="Y39" s="178">
        <f t="shared" si="14"/>
        <v>28.85</v>
      </c>
      <c r="Z39" s="192">
        <f t="shared" si="15"/>
        <v>59.070375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14.0</v>
      </c>
      <c r="B40" s="193" t="s">
        <v>55</v>
      </c>
      <c r="C40" s="193">
        <v>103.0</v>
      </c>
      <c r="D40" s="193">
        <v>195.0</v>
      </c>
      <c r="E40" s="193">
        <v>2880.0</v>
      </c>
      <c r="F40" s="193">
        <f t="shared" si="5"/>
        <v>0</v>
      </c>
      <c r="G40" s="193">
        <f t="shared" si="6"/>
        <v>1735.344</v>
      </c>
      <c r="H40" s="194">
        <f t="shared" si="7"/>
        <v>1735.344</v>
      </c>
      <c r="I40" s="193">
        <v>1.0</v>
      </c>
      <c r="J40" s="195">
        <f t="shared" si="8"/>
        <v>1735.344</v>
      </c>
      <c r="K40" s="139"/>
      <c r="L40" s="178">
        <f t="shared" si="17"/>
        <v>4.953</v>
      </c>
      <c r="M40" s="162">
        <f t="shared" si="18"/>
        <v>1</v>
      </c>
      <c r="N40" s="162">
        <f t="shared" si="19"/>
        <v>4.953</v>
      </c>
      <c r="O40" s="139"/>
      <c r="P40" s="139"/>
      <c r="Q40" s="178">
        <v>1735.0</v>
      </c>
      <c r="R40" s="190">
        <v>30.0</v>
      </c>
      <c r="S40" s="178">
        <f t="shared" si="9"/>
        <v>28.8</v>
      </c>
      <c r="T40" s="162">
        <f t="shared" si="10"/>
        <v>1</v>
      </c>
      <c r="U40" s="162">
        <f t="shared" si="11"/>
        <v>28.8</v>
      </c>
      <c r="V40" s="191">
        <f t="shared" si="12"/>
        <v>1735.344</v>
      </c>
      <c r="W40" s="178">
        <f t="shared" ref="W40:X40" si="30">C40/100</f>
        <v>1.03</v>
      </c>
      <c r="X40" s="178">
        <f t="shared" si="30"/>
        <v>1.95</v>
      </c>
      <c r="Y40" s="178">
        <f t="shared" si="14"/>
        <v>28.8</v>
      </c>
      <c r="Z40" s="192">
        <f t="shared" si="15"/>
        <v>57.8448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15.0</v>
      </c>
      <c r="B41" s="193" t="s">
        <v>55</v>
      </c>
      <c r="C41" s="193">
        <v>105.0</v>
      </c>
      <c r="D41" s="193">
        <v>195.0</v>
      </c>
      <c r="E41" s="193">
        <v>2880.0</v>
      </c>
      <c r="F41" s="193">
        <f t="shared" si="5"/>
        <v>0</v>
      </c>
      <c r="G41" s="193">
        <f t="shared" si="6"/>
        <v>1769.04</v>
      </c>
      <c r="H41" s="194">
        <f t="shared" si="7"/>
        <v>1769.04</v>
      </c>
      <c r="I41" s="193">
        <v>1.0</v>
      </c>
      <c r="J41" s="195">
        <f t="shared" si="8"/>
        <v>1769.04</v>
      </c>
      <c r="K41" s="139"/>
      <c r="L41" s="178">
        <f t="shared" si="17"/>
        <v>4.953</v>
      </c>
      <c r="M41" s="162">
        <f t="shared" si="18"/>
        <v>1</v>
      </c>
      <c r="N41" s="162">
        <f t="shared" si="19"/>
        <v>4.953</v>
      </c>
      <c r="O41" s="139"/>
      <c r="P41" s="139"/>
      <c r="Q41" s="178">
        <v>1745.0</v>
      </c>
      <c r="R41" s="190">
        <v>30.0</v>
      </c>
      <c r="S41" s="178">
        <f t="shared" si="9"/>
        <v>28.8</v>
      </c>
      <c r="T41" s="162">
        <f t="shared" si="10"/>
        <v>1</v>
      </c>
      <c r="U41" s="162">
        <f t="shared" si="11"/>
        <v>28.8</v>
      </c>
      <c r="V41" s="191">
        <f t="shared" si="12"/>
        <v>1769.04</v>
      </c>
      <c r="W41" s="178">
        <f t="shared" ref="W41:X41" si="31">C41/100</f>
        <v>1.05</v>
      </c>
      <c r="X41" s="178">
        <f t="shared" si="31"/>
        <v>1.95</v>
      </c>
      <c r="Y41" s="178">
        <f t="shared" si="14"/>
        <v>28.8</v>
      </c>
      <c r="Z41" s="192">
        <f t="shared" si="15"/>
        <v>58.968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16.0</v>
      </c>
      <c r="B42" s="193" t="s">
        <v>55</v>
      </c>
      <c r="C42" s="193">
        <v>100.0</v>
      </c>
      <c r="D42" s="193">
        <v>195.0</v>
      </c>
      <c r="E42" s="193">
        <v>2880.0</v>
      </c>
      <c r="F42" s="193">
        <f t="shared" si="5"/>
        <v>0</v>
      </c>
      <c r="G42" s="193">
        <f t="shared" si="6"/>
        <v>1684.8</v>
      </c>
      <c r="H42" s="194">
        <f t="shared" si="7"/>
        <v>1684.8</v>
      </c>
      <c r="I42" s="193">
        <v>1.0</v>
      </c>
      <c r="J42" s="195">
        <f t="shared" si="8"/>
        <v>1684.8</v>
      </c>
      <c r="K42" s="139"/>
      <c r="L42" s="178">
        <f t="shared" si="17"/>
        <v>4.953</v>
      </c>
      <c r="M42" s="162">
        <f t="shared" si="18"/>
        <v>1</v>
      </c>
      <c r="N42" s="162">
        <f t="shared" si="19"/>
        <v>4.953</v>
      </c>
      <c r="O42" s="139"/>
      <c r="P42" s="139"/>
      <c r="Q42" s="178">
        <v>1725.0</v>
      </c>
      <c r="R42" s="190">
        <v>30.0</v>
      </c>
      <c r="S42" s="178">
        <f t="shared" si="9"/>
        <v>28.8</v>
      </c>
      <c r="T42" s="162">
        <f t="shared" si="10"/>
        <v>1</v>
      </c>
      <c r="U42" s="162">
        <f t="shared" si="11"/>
        <v>28.8</v>
      </c>
      <c r="V42" s="191">
        <f t="shared" si="12"/>
        <v>1684.8</v>
      </c>
      <c r="W42" s="178">
        <f t="shared" ref="W42:X42" si="32">C42/100</f>
        <v>1</v>
      </c>
      <c r="X42" s="178">
        <f t="shared" si="32"/>
        <v>1.95</v>
      </c>
      <c r="Y42" s="178">
        <f t="shared" si="14"/>
        <v>28.8</v>
      </c>
      <c r="Z42" s="192">
        <f t="shared" si="15"/>
        <v>56.16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17.0</v>
      </c>
      <c r="B43" s="193" t="s">
        <v>55</v>
      </c>
      <c r="C43" s="193">
        <v>103.0</v>
      </c>
      <c r="D43" s="193">
        <v>195.0</v>
      </c>
      <c r="E43" s="193">
        <v>2878.0</v>
      </c>
      <c r="F43" s="193">
        <f t="shared" si="5"/>
        <v>0</v>
      </c>
      <c r="G43" s="193">
        <f t="shared" si="6"/>
        <v>1734.1389</v>
      </c>
      <c r="H43" s="194">
        <f t="shared" si="7"/>
        <v>1734.1389</v>
      </c>
      <c r="I43" s="193">
        <v>1.0</v>
      </c>
      <c r="J43" s="195">
        <f t="shared" si="8"/>
        <v>1734.1389</v>
      </c>
      <c r="K43" s="139"/>
      <c r="L43" s="178">
        <f t="shared" si="17"/>
        <v>4.953</v>
      </c>
      <c r="M43" s="162">
        <f t="shared" si="18"/>
        <v>1</v>
      </c>
      <c r="N43" s="162">
        <f t="shared" si="19"/>
        <v>4.953</v>
      </c>
      <c r="O43" s="139"/>
      <c r="P43" s="139"/>
      <c r="Q43" s="178">
        <v>1730.0</v>
      </c>
      <c r="R43" s="190">
        <v>30.0</v>
      </c>
      <c r="S43" s="178">
        <f t="shared" si="9"/>
        <v>28.78</v>
      </c>
      <c r="T43" s="162">
        <f t="shared" si="10"/>
        <v>1</v>
      </c>
      <c r="U43" s="162">
        <f t="shared" si="11"/>
        <v>28.78</v>
      </c>
      <c r="V43" s="191">
        <f t="shared" si="12"/>
        <v>1734.1389</v>
      </c>
      <c r="W43" s="178">
        <f t="shared" ref="W43:X43" si="33">C43/100</f>
        <v>1.03</v>
      </c>
      <c r="X43" s="178">
        <f t="shared" si="33"/>
        <v>1.95</v>
      </c>
      <c r="Y43" s="178">
        <f t="shared" si="14"/>
        <v>28.78</v>
      </c>
      <c r="Z43" s="192">
        <f t="shared" si="15"/>
        <v>57.80463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18.0</v>
      </c>
      <c r="B44" s="193" t="s">
        <v>55</v>
      </c>
      <c r="C44" s="193">
        <v>98.0</v>
      </c>
      <c r="D44" s="193">
        <v>195.0</v>
      </c>
      <c r="E44" s="193">
        <v>2751.0</v>
      </c>
      <c r="F44" s="193">
        <f t="shared" si="5"/>
        <v>0</v>
      </c>
      <c r="G44" s="193">
        <f t="shared" si="6"/>
        <v>1577.1483</v>
      </c>
      <c r="H44" s="194">
        <f t="shared" si="7"/>
        <v>1577.1483</v>
      </c>
      <c r="I44" s="193">
        <v>1.0</v>
      </c>
      <c r="J44" s="195">
        <f t="shared" si="8"/>
        <v>1577.1483</v>
      </c>
      <c r="K44" s="139"/>
      <c r="L44" s="178">
        <f t="shared" si="17"/>
        <v>4.953</v>
      </c>
      <c r="M44" s="162">
        <f t="shared" si="18"/>
        <v>1</v>
      </c>
      <c r="N44" s="162">
        <f t="shared" si="19"/>
        <v>4.953</v>
      </c>
      <c r="O44" s="139"/>
      <c r="P44" s="139"/>
      <c r="Q44" s="178">
        <v>1615.0</v>
      </c>
      <c r="R44" s="190">
        <v>30.0</v>
      </c>
      <c r="S44" s="178">
        <f t="shared" si="9"/>
        <v>27.51</v>
      </c>
      <c r="T44" s="162">
        <f t="shared" si="10"/>
        <v>1</v>
      </c>
      <c r="U44" s="162">
        <f t="shared" si="11"/>
        <v>27.51</v>
      </c>
      <c r="V44" s="191">
        <f t="shared" si="12"/>
        <v>1577.1483</v>
      </c>
      <c r="W44" s="178">
        <f t="shared" ref="W44:X44" si="34">C44/100</f>
        <v>0.98</v>
      </c>
      <c r="X44" s="178">
        <f t="shared" si="34"/>
        <v>1.95</v>
      </c>
      <c r="Y44" s="178">
        <f t="shared" si="14"/>
        <v>27.51</v>
      </c>
      <c r="Z44" s="192">
        <f t="shared" si="15"/>
        <v>52.57161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19.0</v>
      </c>
      <c r="B45" s="183" t="s">
        <v>63</v>
      </c>
      <c r="C45" s="184">
        <v>94.0</v>
      </c>
      <c r="D45" s="184">
        <v>184.0</v>
      </c>
      <c r="E45" s="184">
        <v>179.0</v>
      </c>
      <c r="F45" s="184">
        <f t="shared" si="5"/>
        <v>0.8</v>
      </c>
      <c r="G45" s="184">
        <f t="shared" si="6"/>
        <v>89.783536</v>
      </c>
      <c r="H45" s="185">
        <f t="shared" si="7"/>
        <v>71.8268288</v>
      </c>
      <c r="I45" s="184">
        <v>1.0</v>
      </c>
      <c r="J45" s="186">
        <f t="shared" si="8"/>
        <v>71.8268288</v>
      </c>
      <c r="K45" s="187"/>
      <c r="L45" s="188">
        <f t="shared" si="17"/>
        <v>4.6736</v>
      </c>
      <c r="M45" s="189">
        <f t="shared" si="18"/>
        <v>1</v>
      </c>
      <c r="N45" s="189">
        <f t="shared" si="19"/>
        <v>4.6736</v>
      </c>
      <c r="O45" s="187"/>
      <c r="P45" s="187"/>
      <c r="Q45" s="188">
        <v>94.0</v>
      </c>
      <c r="R45" s="190">
        <v>29.0</v>
      </c>
      <c r="S45" s="178">
        <f t="shared" si="9"/>
        <v>1.79</v>
      </c>
      <c r="T45" s="162">
        <f t="shared" si="10"/>
        <v>1</v>
      </c>
      <c r="U45" s="162">
        <f t="shared" si="11"/>
        <v>1.79</v>
      </c>
      <c r="V45" s="191">
        <f t="shared" si="12"/>
        <v>89.783536</v>
      </c>
      <c r="W45" s="178">
        <f t="shared" ref="W45:X45" si="35">C45/100</f>
        <v>0.94</v>
      </c>
      <c r="X45" s="178">
        <f t="shared" si="35"/>
        <v>1.84</v>
      </c>
      <c r="Y45" s="178">
        <f t="shared" si="14"/>
        <v>1.79</v>
      </c>
      <c r="Z45" s="192">
        <f t="shared" si="15"/>
        <v>3.095984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20.0</v>
      </c>
      <c r="B46" s="193" t="s">
        <v>55</v>
      </c>
      <c r="C46" s="193">
        <v>105.0</v>
      </c>
      <c r="D46" s="193">
        <v>184.0</v>
      </c>
      <c r="E46" s="193">
        <v>200.0</v>
      </c>
      <c r="F46" s="193">
        <f t="shared" si="5"/>
        <v>0</v>
      </c>
      <c r="G46" s="193">
        <f t="shared" si="6"/>
        <v>112.056</v>
      </c>
      <c r="H46" s="194">
        <f t="shared" si="7"/>
        <v>112.056</v>
      </c>
      <c r="I46" s="193">
        <v>1.0</v>
      </c>
      <c r="J46" s="195">
        <f t="shared" si="8"/>
        <v>112.056</v>
      </c>
      <c r="K46" s="139"/>
      <c r="L46" s="178">
        <f t="shared" si="17"/>
        <v>4.6736</v>
      </c>
      <c r="M46" s="162">
        <f t="shared" si="18"/>
        <v>1</v>
      </c>
      <c r="N46" s="162">
        <f t="shared" si="19"/>
        <v>4.6736</v>
      </c>
      <c r="O46" s="139"/>
      <c r="P46" s="139"/>
      <c r="Q46" s="178">
        <v>115.0</v>
      </c>
      <c r="R46" s="190">
        <v>29.0</v>
      </c>
      <c r="S46" s="178">
        <f t="shared" si="9"/>
        <v>2</v>
      </c>
      <c r="T46" s="162">
        <f t="shared" si="10"/>
        <v>1</v>
      </c>
      <c r="U46" s="162">
        <f t="shared" si="11"/>
        <v>2</v>
      </c>
      <c r="V46" s="191">
        <f t="shared" si="12"/>
        <v>112.056</v>
      </c>
      <c r="W46" s="178">
        <f t="shared" ref="W46:X46" si="36">C46/100</f>
        <v>1.05</v>
      </c>
      <c r="X46" s="178">
        <f t="shared" si="36"/>
        <v>1.84</v>
      </c>
      <c r="Y46" s="178">
        <f t="shared" si="14"/>
        <v>2</v>
      </c>
      <c r="Z46" s="192">
        <f t="shared" si="15"/>
        <v>3.864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21.0</v>
      </c>
      <c r="B47" s="193" t="s">
        <v>55</v>
      </c>
      <c r="C47" s="193">
        <v>106.0</v>
      </c>
      <c r="D47" s="193">
        <v>184.0</v>
      </c>
      <c r="E47" s="193">
        <v>2880.0</v>
      </c>
      <c r="F47" s="193">
        <f t="shared" si="5"/>
        <v>0</v>
      </c>
      <c r="G47" s="193">
        <f t="shared" si="6"/>
        <v>1628.97408</v>
      </c>
      <c r="H47" s="194">
        <f t="shared" si="7"/>
        <v>1628.97408</v>
      </c>
      <c r="I47" s="193">
        <v>1.0</v>
      </c>
      <c r="J47" s="195">
        <f t="shared" si="8"/>
        <v>1628.97408</v>
      </c>
      <c r="K47" s="139"/>
      <c r="L47" s="178">
        <f t="shared" si="17"/>
        <v>4.6736</v>
      </c>
      <c r="M47" s="162">
        <f t="shared" si="18"/>
        <v>1</v>
      </c>
      <c r="N47" s="162">
        <f t="shared" si="19"/>
        <v>4.6736</v>
      </c>
      <c r="O47" s="139"/>
      <c r="P47" s="139"/>
      <c r="Q47" s="178">
        <v>1660.0</v>
      </c>
      <c r="R47" s="190">
        <v>29.0</v>
      </c>
      <c r="S47" s="178">
        <f t="shared" si="9"/>
        <v>28.8</v>
      </c>
      <c r="T47" s="162">
        <f t="shared" si="10"/>
        <v>1</v>
      </c>
      <c r="U47" s="162">
        <f t="shared" si="11"/>
        <v>28.8</v>
      </c>
      <c r="V47" s="191">
        <f t="shared" si="12"/>
        <v>1628.97408</v>
      </c>
      <c r="W47" s="178">
        <f t="shared" ref="W47:X47" si="37">C47/100</f>
        <v>1.06</v>
      </c>
      <c r="X47" s="178">
        <f t="shared" si="37"/>
        <v>1.84</v>
      </c>
      <c r="Y47" s="178">
        <f t="shared" si="14"/>
        <v>28.8</v>
      </c>
      <c r="Z47" s="192">
        <f t="shared" si="15"/>
        <v>56.17152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22.0</v>
      </c>
      <c r="B48" s="193" t="s">
        <v>55</v>
      </c>
      <c r="C48" s="193">
        <v>106.0</v>
      </c>
      <c r="D48" s="193">
        <v>184.0</v>
      </c>
      <c r="E48" s="193">
        <v>2881.0</v>
      </c>
      <c r="F48" s="193">
        <f t="shared" si="5"/>
        <v>0</v>
      </c>
      <c r="G48" s="193">
        <f t="shared" si="6"/>
        <v>1629.539696</v>
      </c>
      <c r="H48" s="194">
        <f t="shared" si="7"/>
        <v>1629.539696</v>
      </c>
      <c r="I48" s="193">
        <v>1.0</v>
      </c>
      <c r="J48" s="195">
        <f t="shared" si="8"/>
        <v>1629.539696</v>
      </c>
      <c r="K48" s="139"/>
      <c r="L48" s="178">
        <f t="shared" si="17"/>
        <v>4.6736</v>
      </c>
      <c r="M48" s="162">
        <f t="shared" si="18"/>
        <v>1</v>
      </c>
      <c r="N48" s="162">
        <f t="shared" si="19"/>
        <v>4.6736</v>
      </c>
      <c r="O48" s="139"/>
      <c r="P48" s="139"/>
      <c r="Q48" s="178">
        <v>1670.0</v>
      </c>
      <c r="R48" s="190">
        <v>29.0</v>
      </c>
      <c r="S48" s="178">
        <f t="shared" si="9"/>
        <v>28.81</v>
      </c>
      <c r="T48" s="162">
        <f t="shared" si="10"/>
        <v>1</v>
      </c>
      <c r="U48" s="162">
        <f t="shared" si="11"/>
        <v>28.81</v>
      </c>
      <c r="V48" s="191">
        <f t="shared" si="12"/>
        <v>1629.539696</v>
      </c>
      <c r="W48" s="178">
        <f t="shared" ref="W48:X48" si="38">C48/100</f>
        <v>1.06</v>
      </c>
      <c r="X48" s="178">
        <f t="shared" si="38"/>
        <v>1.84</v>
      </c>
      <c r="Y48" s="178">
        <f t="shared" si="14"/>
        <v>28.81</v>
      </c>
      <c r="Z48" s="192">
        <f t="shared" si="15"/>
        <v>56.191024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23.0</v>
      </c>
      <c r="B49" s="193" t="s">
        <v>55</v>
      </c>
      <c r="C49" s="193">
        <v>106.0</v>
      </c>
      <c r="D49" s="193">
        <v>184.0</v>
      </c>
      <c r="E49" s="193">
        <v>2806.0</v>
      </c>
      <c r="F49" s="193">
        <f t="shared" si="5"/>
        <v>0</v>
      </c>
      <c r="G49" s="193">
        <f t="shared" si="6"/>
        <v>1587.118496</v>
      </c>
      <c r="H49" s="194">
        <f t="shared" si="7"/>
        <v>1587.118496</v>
      </c>
      <c r="I49" s="193">
        <v>1.0</v>
      </c>
      <c r="J49" s="195">
        <f t="shared" si="8"/>
        <v>1587.118496</v>
      </c>
      <c r="K49" s="139"/>
      <c r="L49" s="178">
        <f t="shared" si="17"/>
        <v>4.6736</v>
      </c>
      <c r="M49" s="162">
        <f t="shared" si="18"/>
        <v>1</v>
      </c>
      <c r="N49" s="162">
        <f t="shared" si="19"/>
        <v>4.6736</v>
      </c>
      <c r="O49" s="139"/>
      <c r="P49" s="139"/>
      <c r="Q49" s="178">
        <v>1580.0</v>
      </c>
      <c r="R49" s="190">
        <v>29.0</v>
      </c>
      <c r="S49" s="178">
        <f t="shared" si="9"/>
        <v>28.06</v>
      </c>
      <c r="T49" s="162">
        <f t="shared" si="10"/>
        <v>1</v>
      </c>
      <c r="U49" s="162">
        <f t="shared" si="11"/>
        <v>28.06</v>
      </c>
      <c r="V49" s="191">
        <f t="shared" si="12"/>
        <v>1587.118496</v>
      </c>
      <c r="W49" s="178">
        <f t="shared" ref="W49:X49" si="39">C49/100</f>
        <v>1.06</v>
      </c>
      <c r="X49" s="178">
        <f t="shared" si="39"/>
        <v>1.84</v>
      </c>
      <c r="Y49" s="178">
        <f t="shared" si="14"/>
        <v>28.06</v>
      </c>
      <c r="Z49" s="192">
        <f t="shared" si="15"/>
        <v>54.728224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24.0</v>
      </c>
      <c r="B50" s="183" t="s">
        <v>94</v>
      </c>
      <c r="C50" s="184">
        <v>88.0</v>
      </c>
      <c r="D50" s="184">
        <v>218.0</v>
      </c>
      <c r="E50" s="184">
        <v>190.0</v>
      </c>
      <c r="F50" s="184">
        <f t="shared" si="5"/>
        <v>0.8</v>
      </c>
      <c r="G50" s="184">
        <f t="shared" si="6"/>
        <v>105.70384</v>
      </c>
      <c r="H50" s="185">
        <f t="shared" si="7"/>
        <v>84.563072</v>
      </c>
      <c r="I50" s="184">
        <v>1.0</v>
      </c>
      <c r="J50" s="186">
        <f t="shared" si="8"/>
        <v>84.563072</v>
      </c>
      <c r="K50" s="187"/>
      <c r="L50" s="188">
        <f t="shared" si="17"/>
        <v>5.5372</v>
      </c>
      <c r="M50" s="189">
        <f t="shared" si="18"/>
        <v>1</v>
      </c>
      <c r="N50" s="189">
        <f t="shared" si="19"/>
        <v>5.5372</v>
      </c>
      <c r="O50" s="187"/>
      <c r="P50" s="187"/>
      <c r="Q50" s="188">
        <v>111.0</v>
      </c>
      <c r="R50" s="190">
        <v>29.0</v>
      </c>
      <c r="S50" s="178">
        <f t="shared" si="9"/>
        <v>1.9</v>
      </c>
      <c r="T50" s="162">
        <f t="shared" si="10"/>
        <v>1</v>
      </c>
      <c r="U50" s="162">
        <f t="shared" si="11"/>
        <v>1.9</v>
      </c>
      <c r="V50" s="191">
        <f t="shared" si="12"/>
        <v>105.70384</v>
      </c>
      <c r="W50" s="178">
        <f t="shared" ref="W50:X50" si="40">C50/100</f>
        <v>0.88</v>
      </c>
      <c r="X50" s="178">
        <f t="shared" si="40"/>
        <v>2.18</v>
      </c>
      <c r="Y50" s="178">
        <f t="shared" si="14"/>
        <v>1.9</v>
      </c>
      <c r="Z50" s="192">
        <f t="shared" si="15"/>
        <v>3.64496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25.0</v>
      </c>
      <c r="B51" s="193" t="s">
        <v>57</v>
      </c>
      <c r="C51" s="193">
        <v>99.0</v>
      </c>
      <c r="D51" s="193">
        <v>218.0</v>
      </c>
      <c r="E51" s="193">
        <v>205.0</v>
      </c>
      <c r="F51" s="193">
        <f t="shared" si="5"/>
        <v>0</v>
      </c>
      <c r="G51" s="193">
        <f t="shared" si="6"/>
        <v>128.30499</v>
      </c>
      <c r="H51" s="194">
        <f t="shared" si="7"/>
        <v>128.30499</v>
      </c>
      <c r="I51" s="193">
        <v>1.0</v>
      </c>
      <c r="J51" s="195">
        <f t="shared" si="8"/>
        <v>128.30499</v>
      </c>
      <c r="K51" s="139"/>
      <c r="L51" s="178">
        <f t="shared" si="17"/>
        <v>5.5372</v>
      </c>
      <c r="M51" s="162">
        <f t="shared" si="18"/>
        <v>1</v>
      </c>
      <c r="N51" s="162">
        <f t="shared" si="19"/>
        <v>5.5372</v>
      </c>
      <c r="O51" s="139"/>
      <c r="P51" s="139"/>
      <c r="Q51" s="178">
        <v>129.0</v>
      </c>
      <c r="R51" s="190">
        <v>29.0</v>
      </c>
      <c r="S51" s="178">
        <f t="shared" si="9"/>
        <v>2.05</v>
      </c>
      <c r="T51" s="162">
        <f t="shared" si="10"/>
        <v>1</v>
      </c>
      <c r="U51" s="162">
        <f t="shared" si="11"/>
        <v>2.05</v>
      </c>
      <c r="V51" s="191">
        <f t="shared" si="12"/>
        <v>128.30499</v>
      </c>
      <c r="W51" s="178">
        <f t="shared" ref="W51:X51" si="41">C51/100</f>
        <v>0.99</v>
      </c>
      <c r="X51" s="178">
        <f t="shared" si="41"/>
        <v>2.18</v>
      </c>
      <c r="Y51" s="178">
        <f t="shared" si="14"/>
        <v>2.05</v>
      </c>
      <c r="Z51" s="192">
        <f t="shared" si="15"/>
        <v>4.42431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26.0</v>
      </c>
      <c r="B52" s="193" t="s">
        <v>57</v>
      </c>
      <c r="C52" s="193">
        <v>100.0</v>
      </c>
      <c r="D52" s="193">
        <v>218.0</v>
      </c>
      <c r="E52" s="193">
        <v>2878.0</v>
      </c>
      <c r="F52" s="193">
        <f t="shared" si="5"/>
        <v>0</v>
      </c>
      <c r="G52" s="193">
        <f t="shared" si="6"/>
        <v>1819.4716</v>
      </c>
      <c r="H52" s="194">
        <f t="shared" si="7"/>
        <v>1819.4716</v>
      </c>
      <c r="I52" s="193">
        <v>1.0</v>
      </c>
      <c r="J52" s="195">
        <f t="shared" si="8"/>
        <v>1819.4716</v>
      </c>
      <c r="K52" s="139"/>
      <c r="L52" s="197"/>
      <c r="M52" s="198">
        <f t="shared" si="18"/>
        <v>1</v>
      </c>
      <c r="N52" s="198"/>
      <c r="O52" s="139"/>
      <c r="P52" s="139"/>
      <c r="Q52" s="178">
        <v>1805.0</v>
      </c>
      <c r="R52" s="190">
        <v>29.0</v>
      </c>
      <c r="S52" s="178">
        <f t="shared" si="9"/>
        <v>28.78</v>
      </c>
      <c r="T52" s="162">
        <f t="shared" si="10"/>
        <v>1</v>
      </c>
      <c r="U52" s="162">
        <f t="shared" si="11"/>
        <v>28.78</v>
      </c>
      <c r="V52" s="191">
        <f t="shared" si="12"/>
        <v>1819.4716</v>
      </c>
      <c r="W52" s="178">
        <f t="shared" ref="W52:X52" si="42">C52/100</f>
        <v>1</v>
      </c>
      <c r="X52" s="178">
        <f t="shared" si="42"/>
        <v>2.18</v>
      </c>
      <c r="Y52" s="178">
        <f t="shared" si="14"/>
        <v>28.78</v>
      </c>
      <c r="Z52" s="192">
        <f t="shared" si="15"/>
        <v>62.7404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27.0</v>
      </c>
      <c r="B53" s="193" t="s">
        <v>57</v>
      </c>
      <c r="C53" s="193">
        <v>99.0</v>
      </c>
      <c r="D53" s="193">
        <v>218.0</v>
      </c>
      <c r="E53" s="193">
        <v>2876.0</v>
      </c>
      <c r="F53" s="193">
        <f t="shared" si="5"/>
        <v>0</v>
      </c>
      <c r="G53" s="193">
        <f t="shared" si="6"/>
        <v>1800.025128</v>
      </c>
      <c r="H53" s="194">
        <f t="shared" si="7"/>
        <v>1800.025128</v>
      </c>
      <c r="I53" s="193">
        <v>1.0</v>
      </c>
      <c r="J53" s="195">
        <f t="shared" si="8"/>
        <v>1800.025128</v>
      </c>
      <c r="K53" s="139"/>
      <c r="L53" s="197"/>
      <c r="M53" s="198">
        <f t="shared" si="18"/>
        <v>1</v>
      </c>
      <c r="N53" s="198"/>
      <c r="O53" s="139"/>
      <c r="P53" s="139"/>
      <c r="Q53" s="178">
        <v>1810.0</v>
      </c>
      <c r="R53" s="190">
        <v>29.0</v>
      </c>
      <c r="S53" s="178">
        <f t="shared" si="9"/>
        <v>28.76</v>
      </c>
      <c r="T53" s="162">
        <f t="shared" si="10"/>
        <v>1</v>
      </c>
      <c r="U53" s="162">
        <f t="shared" si="11"/>
        <v>28.76</v>
      </c>
      <c r="V53" s="191">
        <f t="shared" si="12"/>
        <v>1800.025128</v>
      </c>
      <c r="W53" s="178">
        <f t="shared" ref="W53:X53" si="43">C53/100</f>
        <v>0.99</v>
      </c>
      <c r="X53" s="178">
        <f t="shared" si="43"/>
        <v>2.18</v>
      </c>
      <c r="Y53" s="178">
        <f t="shared" si="14"/>
        <v>28.76</v>
      </c>
      <c r="Z53" s="192">
        <f t="shared" si="15"/>
        <v>62.069832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28.0</v>
      </c>
      <c r="B54" s="193" t="s">
        <v>57</v>
      </c>
      <c r="C54" s="193">
        <v>99.0</v>
      </c>
      <c r="D54" s="193">
        <v>218.0</v>
      </c>
      <c r="E54" s="193">
        <v>2688.0</v>
      </c>
      <c r="F54" s="193">
        <f t="shared" si="5"/>
        <v>0</v>
      </c>
      <c r="G54" s="193">
        <f t="shared" si="6"/>
        <v>1682.360064</v>
      </c>
      <c r="H54" s="194">
        <f t="shared" si="7"/>
        <v>1682.360064</v>
      </c>
      <c r="I54" s="193">
        <v>1.0</v>
      </c>
      <c r="J54" s="195">
        <f t="shared" si="8"/>
        <v>1682.360064</v>
      </c>
      <c r="K54" s="139"/>
      <c r="L54" s="197"/>
      <c r="M54" s="198">
        <f t="shared" si="18"/>
        <v>1</v>
      </c>
      <c r="N54" s="198"/>
      <c r="O54" s="139"/>
      <c r="P54" s="139"/>
      <c r="Q54" s="178">
        <v>1680.0</v>
      </c>
      <c r="R54" s="190">
        <v>29.0</v>
      </c>
      <c r="S54" s="178">
        <f t="shared" si="9"/>
        <v>26.88</v>
      </c>
      <c r="T54" s="162">
        <f t="shared" si="10"/>
        <v>1</v>
      </c>
      <c r="U54" s="162">
        <f t="shared" si="11"/>
        <v>26.88</v>
      </c>
      <c r="V54" s="191">
        <f t="shared" si="12"/>
        <v>1682.360064</v>
      </c>
      <c r="W54" s="178">
        <f t="shared" ref="W54:X54" si="44">C54/100</f>
        <v>0.99</v>
      </c>
      <c r="X54" s="178">
        <f t="shared" si="44"/>
        <v>2.18</v>
      </c>
      <c r="Y54" s="178">
        <f t="shared" si="14"/>
        <v>26.88</v>
      </c>
      <c r="Z54" s="192">
        <f t="shared" si="15"/>
        <v>58.012416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29.0</v>
      </c>
      <c r="B55" s="183" t="s">
        <v>109</v>
      </c>
      <c r="C55" s="184">
        <v>90.0</v>
      </c>
      <c r="D55" s="184">
        <v>216.0</v>
      </c>
      <c r="E55" s="184">
        <v>185.0</v>
      </c>
      <c r="F55" s="184">
        <f t="shared" si="5"/>
        <v>0.8</v>
      </c>
      <c r="G55" s="184">
        <f t="shared" si="6"/>
        <v>77.3226</v>
      </c>
      <c r="H55" s="185">
        <f t="shared" si="7"/>
        <v>61.85808</v>
      </c>
      <c r="I55" s="184">
        <v>1.0</v>
      </c>
      <c r="J55" s="186">
        <f t="shared" si="8"/>
        <v>61.85808</v>
      </c>
      <c r="K55" s="187"/>
      <c r="L55" s="188"/>
      <c r="M55" s="189">
        <f t="shared" si="18"/>
        <v>1</v>
      </c>
      <c r="N55" s="189"/>
      <c r="O55" s="187"/>
      <c r="P55" s="187"/>
      <c r="Q55" s="188">
        <v>84.0</v>
      </c>
      <c r="R55" s="190">
        <v>21.5</v>
      </c>
      <c r="S55" s="178">
        <f t="shared" si="9"/>
        <v>1.85</v>
      </c>
      <c r="T55" s="162">
        <f t="shared" si="10"/>
        <v>1</v>
      </c>
      <c r="U55" s="162">
        <f t="shared" si="11"/>
        <v>1.85</v>
      </c>
      <c r="V55" s="191">
        <f t="shared" si="12"/>
        <v>77.3226</v>
      </c>
      <c r="W55" s="178">
        <f t="shared" ref="W55:X55" si="45">C55/100</f>
        <v>0.9</v>
      </c>
      <c r="X55" s="178">
        <f t="shared" si="45"/>
        <v>2.16</v>
      </c>
      <c r="Y55" s="178">
        <f t="shared" si="14"/>
        <v>1.85</v>
      </c>
      <c r="Z55" s="192">
        <f t="shared" si="15"/>
        <v>3.5964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30.0</v>
      </c>
      <c r="B56" s="193" t="s">
        <v>105</v>
      </c>
      <c r="C56" s="193">
        <v>103.0</v>
      </c>
      <c r="D56" s="193">
        <v>216.0</v>
      </c>
      <c r="E56" s="193">
        <v>242.0</v>
      </c>
      <c r="F56" s="193">
        <f t="shared" si="5"/>
        <v>0</v>
      </c>
      <c r="G56" s="193">
        <f t="shared" si="6"/>
        <v>115.756344</v>
      </c>
      <c r="H56" s="194">
        <f t="shared" si="7"/>
        <v>115.756344</v>
      </c>
      <c r="I56" s="193">
        <v>1.0</v>
      </c>
      <c r="J56" s="195">
        <f t="shared" si="8"/>
        <v>115.756344</v>
      </c>
      <c r="K56" s="139"/>
      <c r="L56" s="197"/>
      <c r="M56" s="198">
        <f t="shared" si="18"/>
        <v>1</v>
      </c>
      <c r="N56" s="198"/>
      <c r="O56" s="139"/>
      <c r="P56" s="139"/>
      <c r="Q56" s="178">
        <v>118.0</v>
      </c>
      <c r="R56" s="190">
        <v>21.5</v>
      </c>
      <c r="S56" s="178">
        <f t="shared" si="9"/>
        <v>2.42</v>
      </c>
      <c r="T56" s="162">
        <f t="shared" si="10"/>
        <v>1</v>
      </c>
      <c r="U56" s="162">
        <f t="shared" si="11"/>
        <v>2.42</v>
      </c>
      <c r="V56" s="191">
        <f t="shared" si="12"/>
        <v>115.756344</v>
      </c>
      <c r="W56" s="178">
        <f t="shared" ref="W56:X56" si="46">C56/100</f>
        <v>1.03</v>
      </c>
      <c r="X56" s="178">
        <f t="shared" si="46"/>
        <v>2.16</v>
      </c>
      <c r="Y56" s="178">
        <f t="shared" si="14"/>
        <v>2.42</v>
      </c>
      <c r="Z56" s="192">
        <f t="shared" si="15"/>
        <v>5.384016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31.0</v>
      </c>
      <c r="B57" s="193" t="s">
        <v>105</v>
      </c>
      <c r="C57" s="193">
        <v>106.0</v>
      </c>
      <c r="D57" s="193">
        <v>216.0</v>
      </c>
      <c r="E57" s="193">
        <v>2872.0</v>
      </c>
      <c r="F57" s="193">
        <f t="shared" si="5"/>
        <v>0</v>
      </c>
      <c r="G57" s="193">
        <f t="shared" si="6"/>
        <v>1413.782208</v>
      </c>
      <c r="H57" s="194">
        <f t="shared" si="7"/>
        <v>1413.782208</v>
      </c>
      <c r="I57" s="193">
        <v>1.0</v>
      </c>
      <c r="J57" s="195">
        <f t="shared" si="8"/>
        <v>1413.782208</v>
      </c>
      <c r="K57" s="139"/>
      <c r="L57" s="197"/>
      <c r="M57" s="198">
        <f t="shared" si="18"/>
        <v>1</v>
      </c>
      <c r="N57" s="198"/>
      <c r="O57" s="139"/>
      <c r="P57" s="139"/>
      <c r="Q57" s="178">
        <v>1405.0</v>
      </c>
      <c r="R57" s="190">
        <v>21.5</v>
      </c>
      <c r="S57" s="178">
        <f t="shared" si="9"/>
        <v>28.72</v>
      </c>
      <c r="T57" s="162">
        <f t="shared" si="10"/>
        <v>1</v>
      </c>
      <c r="U57" s="162">
        <f t="shared" si="11"/>
        <v>28.72</v>
      </c>
      <c r="V57" s="191">
        <f t="shared" si="12"/>
        <v>1413.782208</v>
      </c>
      <c r="W57" s="178">
        <f t="shared" ref="W57:X57" si="47">C57/100</f>
        <v>1.06</v>
      </c>
      <c r="X57" s="178">
        <f t="shared" si="47"/>
        <v>2.16</v>
      </c>
      <c r="Y57" s="178">
        <f t="shared" si="14"/>
        <v>28.72</v>
      </c>
      <c r="Z57" s="192">
        <f t="shared" si="15"/>
        <v>65.757312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32.0</v>
      </c>
      <c r="B58" s="193" t="s">
        <v>105</v>
      </c>
      <c r="C58" s="193">
        <v>103.0</v>
      </c>
      <c r="D58" s="193">
        <v>216.0</v>
      </c>
      <c r="E58" s="193">
        <v>2871.0</v>
      </c>
      <c r="F58" s="193">
        <f t="shared" si="5"/>
        <v>0</v>
      </c>
      <c r="G58" s="193">
        <f t="shared" si="6"/>
        <v>1373.291172</v>
      </c>
      <c r="H58" s="194">
        <f t="shared" si="7"/>
        <v>1373.291172</v>
      </c>
      <c r="I58" s="193">
        <v>1.0</v>
      </c>
      <c r="J58" s="195">
        <f t="shared" si="8"/>
        <v>1373.291172</v>
      </c>
      <c r="K58" s="139"/>
      <c r="L58" s="197"/>
      <c r="M58" s="198">
        <f t="shared" si="18"/>
        <v>1</v>
      </c>
      <c r="N58" s="198"/>
      <c r="O58" s="139"/>
      <c r="P58" s="139"/>
      <c r="Q58" s="178">
        <v>1420.0</v>
      </c>
      <c r="R58" s="190">
        <v>21.5</v>
      </c>
      <c r="S58" s="178">
        <f t="shared" si="9"/>
        <v>28.71</v>
      </c>
      <c r="T58" s="162">
        <f t="shared" si="10"/>
        <v>1</v>
      </c>
      <c r="U58" s="162">
        <f t="shared" si="11"/>
        <v>28.71</v>
      </c>
      <c r="V58" s="191">
        <f t="shared" si="12"/>
        <v>1373.291172</v>
      </c>
      <c r="W58" s="178">
        <f t="shared" ref="W58:X58" si="48">C58/100</f>
        <v>1.03</v>
      </c>
      <c r="X58" s="178">
        <f t="shared" si="48"/>
        <v>2.16</v>
      </c>
      <c r="Y58" s="178">
        <f t="shared" si="14"/>
        <v>28.71</v>
      </c>
      <c r="Z58" s="192">
        <f t="shared" si="15"/>
        <v>63.874008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33.0</v>
      </c>
      <c r="B59" s="193" t="s">
        <v>105</v>
      </c>
      <c r="C59" s="193">
        <v>106.0</v>
      </c>
      <c r="D59" s="193">
        <v>216.0</v>
      </c>
      <c r="E59" s="193">
        <v>2573.0</v>
      </c>
      <c r="F59" s="193">
        <f t="shared" si="5"/>
        <v>0</v>
      </c>
      <c r="G59" s="193">
        <f t="shared" si="6"/>
        <v>1266.595272</v>
      </c>
      <c r="H59" s="194">
        <f t="shared" si="7"/>
        <v>1266.595272</v>
      </c>
      <c r="I59" s="193">
        <v>1.0</v>
      </c>
      <c r="J59" s="195">
        <f t="shared" si="8"/>
        <v>1266.595272</v>
      </c>
      <c r="K59" s="139"/>
      <c r="L59" s="197"/>
      <c r="M59" s="198">
        <f t="shared" si="18"/>
        <v>1</v>
      </c>
      <c r="N59" s="198"/>
      <c r="O59" s="139"/>
      <c r="P59" s="139"/>
      <c r="Q59" s="178">
        <v>1270.0</v>
      </c>
      <c r="R59" s="190">
        <v>21.5</v>
      </c>
      <c r="S59" s="178">
        <f t="shared" si="9"/>
        <v>25.73</v>
      </c>
      <c r="T59" s="162">
        <f t="shared" si="10"/>
        <v>1</v>
      </c>
      <c r="U59" s="162">
        <f t="shared" si="11"/>
        <v>25.73</v>
      </c>
      <c r="V59" s="191">
        <f t="shared" si="12"/>
        <v>1266.595272</v>
      </c>
      <c r="W59" s="178">
        <f t="shared" ref="W59:X59" si="49">C59/100</f>
        <v>1.06</v>
      </c>
      <c r="X59" s="178">
        <f t="shared" si="49"/>
        <v>2.16</v>
      </c>
      <c r="Y59" s="178">
        <f t="shared" si="14"/>
        <v>25.73</v>
      </c>
      <c r="Z59" s="192">
        <f t="shared" si="15"/>
        <v>58.911408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101.0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50">C60/100</f>
        <v>0</v>
      </c>
      <c r="X60" s="199">
        <f t="shared" si="50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102.0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1">C61/100</f>
        <v>0</v>
      </c>
      <c r="X61" s="199">
        <f t="shared" si="51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103.0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2">C62/100</f>
        <v>0</v>
      </c>
      <c r="X62" s="199">
        <f t="shared" si="52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104.0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3">C63/100</f>
        <v>0</v>
      </c>
      <c r="X63" s="199">
        <f t="shared" si="53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105.0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4">C64/100</f>
        <v>0</v>
      </c>
      <c r="X64" s="199">
        <f t="shared" si="54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106.0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5">C65/100</f>
        <v>0</v>
      </c>
      <c r="X65" s="199">
        <f t="shared" si="55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107.0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6">C66/100</f>
        <v>0</v>
      </c>
      <c r="X66" s="199">
        <f t="shared" si="56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108.0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7">C67/100</f>
        <v>0</v>
      </c>
      <c r="X67" s="199">
        <f t="shared" si="57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109.0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8">C68/100</f>
        <v>0</v>
      </c>
      <c r="X68" s="199">
        <f t="shared" si="58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110.0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9">C69/100</f>
        <v>0</v>
      </c>
      <c r="X69" s="199">
        <f t="shared" si="59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111.0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60">C70/100</f>
        <v>0</v>
      </c>
      <c r="X70" s="199">
        <f t="shared" si="60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112.0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1">C71/100</f>
        <v>0</v>
      </c>
      <c r="X71" s="199">
        <f t="shared" si="61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113.0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2">C72/100</f>
        <v>0</v>
      </c>
      <c r="X72" s="199">
        <f t="shared" si="62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114.0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3">C73/100</f>
        <v>0</v>
      </c>
      <c r="X73" s="199">
        <f t="shared" si="63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115.0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4">C74/100</f>
        <v>0</v>
      </c>
      <c r="X74" s="199">
        <f t="shared" si="64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116.0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5">C75/100</f>
        <v>0</v>
      </c>
      <c r="X75" s="199">
        <f t="shared" si="65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117.0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6">C76/100</f>
        <v>0</v>
      </c>
      <c r="X76" s="199">
        <f t="shared" si="66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118.0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7">C77/100</f>
        <v>0</v>
      </c>
      <c r="X77" s="199">
        <f t="shared" si="67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119.0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8">C78/100</f>
        <v>0</v>
      </c>
      <c r="X78" s="199">
        <f t="shared" si="68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120.0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9">C79/100</f>
        <v>0</v>
      </c>
      <c r="X79" s="199">
        <f t="shared" si="69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121.0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0">C80/100</f>
        <v>0</v>
      </c>
      <c r="X80" s="199">
        <f t="shared" si="70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122.0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1">C81/100</f>
        <v>0</v>
      </c>
      <c r="X81" s="199">
        <f t="shared" si="71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123.0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2">C82/100</f>
        <v>0</v>
      </c>
      <c r="X82" s="199">
        <f t="shared" si="72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124.0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3">C83/100</f>
        <v>0</v>
      </c>
      <c r="X83" s="199">
        <f t="shared" si="73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125.0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4">C84/100</f>
        <v>0</v>
      </c>
      <c r="X84" s="199">
        <f t="shared" si="74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126.0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5">C85/100</f>
        <v>0</v>
      </c>
      <c r="X85" s="199">
        <f t="shared" si="75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127.0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6">C86/100</f>
        <v>0</v>
      </c>
      <c r="X86" s="199">
        <f t="shared" si="76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128.0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7">C87/100</f>
        <v>0</v>
      </c>
      <c r="X87" s="199">
        <f t="shared" si="77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129.0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8">C88/100</f>
        <v>0</v>
      </c>
      <c r="X88" s="199">
        <f t="shared" si="78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130.0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9">C89/100</f>
        <v>0</v>
      </c>
      <c r="X89" s="199">
        <f t="shared" si="79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131.0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0">C90/100</f>
        <v>0</v>
      </c>
      <c r="X90" s="199">
        <f t="shared" si="80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132.0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1">C91/100</f>
        <v>0</v>
      </c>
      <c r="X91" s="199">
        <f t="shared" si="81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133.0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2">C92/100</f>
        <v>0</v>
      </c>
      <c r="X92" s="199">
        <f t="shared" si="82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134.0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3">C93/100</f>
        <v>0</v>
      </c>
      <c r="X93" s="199">
        <f t="shared" si="83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135.0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4">C94/100</f>
        <v>0</v>
      </c>
      <c r="X94" s="199">
        <f t="shared" si="84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136.0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5">C95/100</f>
        <v>0</v>
      </c>
      <c r="X95" s="199">
        <f t="shared" si="85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137.0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6">C96/100</f>
        <v>0</v>
      </c>
      <c r="X96" s="199">
        <f t="shared" si="86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138.0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7">C97/100</f>
        <v>0</v>
      </c>
      <c r="X97" s="199">
        <f t="shared" si="87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139.0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8">C98/100</f>
        <v>0</v>
      </c>
      <c r="X98" s="199">
        <f t="shared" si="88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140.0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9">C99/100</f>
        <v>0</v>
      </c>
      <c r="X99" s="199">
        <f t="shared" si="89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141.0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0">C100/100</f>
        <v>0</v>
      </c>
      <c r="X100" s="199">
        <f t="shared" si="90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142.0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1">C101/100</f>
        <v>0</v>
      </c>
      <c r="X101" s="199">
        <f t="shared" si="91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143.0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2">C102/100</f>
        <v>0</v>
      </c>
      <c r="X102" s="199">
        <f t="shared" si="92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144.0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3">C103/100</f>
        <v>0</v>
      </c>
      <c r="X103" s="199">
        <f t="shared" si="93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145.0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4">C104/100</f>
        <v>0</v>
      </c>
      <c r="X104" s="199">
        <f t="shared" si="94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146.0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5">C105/100</f>
        <v>0</v>
      </c>
      <c r="X105" s="199">
        <f t="shared" si="95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147.0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6">C106/100</f>
        <v>0</v>
      </c>
      <c r="X106" s="199">
        <f t="shared" si="96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148.0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7">C107/100</f>
        <v>0</v>
      </c>
      <c r="X107" s="199">
        <f t="shared" si="97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149.0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8">C108/100</f>
        <v>0</v>
      </c>
      <c r="X108" s="199">
        <f t="shared" si="98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150.0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9">C109/100</f>
        <v>0</v>
      </c>
      <c r="X109" s="199">
        <f t="shared" si="99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151.0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0">C110/100</f>
        <v>0</v>
      </c>
      <c r="X110" s="199">
        <f t="shared" si="100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152.0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1">C111/100</f>
        <v>0</v>
      </c>
      <c r="X111" s="199">
        <f t="shared" si="101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153.0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2">C112/100</f>
        <v>0</v>
      </c>
      <c r="X112" s="199">
        <f t="shared" si="102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154.0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3">C113/100</f>
        <v>0</v>
      </c>
      <c r="X113" s="199">
        <f t="shared" si="103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155.0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4">C114/100</f>
        <v>0</v>
      </c>
      <c r="X114" s="199">
        <f t="shared" si="104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156.0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5">C115/100</f>
        <v>0</v>
      </c>
      <c r="X115" s="199">
        <f t="shared" si="105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157.0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6">C116/100</f>
        <v>0</v>
      </c>
      <c r="X116" s="199">
        <f t="shared" si="106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158.0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7">C117/100</f>
        <v>0</v>
      </c>
      <c r="X117" s="199">
        <f t="shared" si="107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159.0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8">C118/100</f>
        <v>0</v>
      </c>
      <c r="X118" s="199">
        <f t="shared" si="108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160.0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9">C119/100</f>
        <v>0</v>
      </c>
      <c r="X119" s="199">
        <f t="shared" si="109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161.0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0">C120/100</f>
        <v>0</v>
      </c>
      <c r="X120" s="199">
        <f t="shared" si="110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162.0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1">C121/100</f>
        <v>0</v>
      </c>
      <c r="X121" s="199">
        <f t="shared" si="111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163.0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2">C122/100</f>
        <v>0</v>
      </c>
      <c r="X122" s="199">
        <f t="shared" si="112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164.0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3">C123/100</f>
        <v>0</v>
      </c>
      <c r="X123" s="199">
        <f t="shared" si="113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165.0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4">C124/100</f>
        <v>0</v>
      </c>
      <c r="X124" s="199">
        <f t="shared" si="114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166.0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5">C125/100</f>
        <v>0</v>
      </c>
      <c r="X125" s="199">
        <f t="shared" si="115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167.0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6">C126/100</f>
        <v>0</v>
      </c>
      <c r="X126" s="199">
        <f t="shared" si="116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168.0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7">C127/100</f>
        <v>0</v>
      </c>
      <c r="X127" s="199">
        <f t="shared" si="117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169.0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8">C128/100</f>
        <v>0</v>
      </c>
      <c r="X128" s="199">
        <f t="shared" si="118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170.0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9">C129/100</f>
        <v>0</v>
      </c>
      <c r="X129" s="199">
        <f t="shared" si="119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171.0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0">C130/100</f>
        <v>0</v>
      </c>
      <c r="X130" s="199">
        <f t="shared" si="120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172.0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1">C131/100</f>
        <v>0</v>
      </c>
      <c r="X131" s="199">
        <f t="shared" si="121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173.0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2">C132/100</f>
        <v>0</v>
      </c>
      <c r="X132" s="199">
        <f t="shared" si="122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174.0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3">C133/100</f>
        <v>0</v>
      </c>
      <c r="X133" s="199">
        <f t="shared" si="123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175.0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4">C134/100</f>
        <v>0</v>
      </c>
      <c r="X134" s="199">
        <f t="shared" si="124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176.0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5">C135/100</f>
        <v>0</v>
      </c>
      <c r="X135" s="199">
        <f t="shared" si="125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177.0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6">C136/100</f>
        <v>0</v>
      </c>
      <c r="X136" s="199">
        <f t="shared" si="126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178.0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7">C137/100</f>
        <v>0</v>
      </c>
      <c r="X137" s="199">
        <f t="shared" si="127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179.0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8">C138/100</f>
        <v>0</v>
      </c>
      <c r="X138" s="199">
        <f t="shared" si="128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180.0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9">C139/100</f>
        <v>0</v>
      </c>
      <c r="X139" s="199">
        <f t="shared" si="129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181.0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0">C140/100</f>
        <v>0</v>
      </c>
      <c r="X140" s="199">
        <f t="shared" si="130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182.0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1">C141/100</f>
        <v>0</v>
      </c>
      <c r="X141" s="199">
        <f t="shared" si="131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183.0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2">C142/100</f>
        <v>0</v>
      </c>
      <c r="X142" s="199">
        <f t="shared" si="132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184.0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3">C143/100</f>
        <v>0</v>
      </c>
      <c r="X143" s="199">
        <f t="shared" si="133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185.0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4">C144/100</f>
        <v>0</v>
      </c>
      <c r="X144" s="199">
        <f t="shared" si="134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186.0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5">C145/100</f>
        <v>0</v>
      </c>
      <c r="X145" s="199">
        <f t="shared" si="135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187.0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6">C146/100</f>
        <v>0</v>
      </c>
      <c r="X146" s="199">
        <f t="shared" si="136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188.0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7">C147/100</f>
        <v>0</v>
      </c>
      <c r="X147" s="199">
        <f t="shared" si="137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189.0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8">C148/100</f>
        <v>0</v>
      </c>
      <c r="X148" s="199">
        <f t="shared" si="138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190.0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9">C149/100</f>
        <v>0</v>
      </c>
      <c r="X149" s="199">
        <f t="shared" si="139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191.0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0">C150/100</f>
        <v>0</v>
      </c>
      <c r="X150" s="199">
        <f t="shared" si="140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192.0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1">C151/100</f>
        <v>0</v>
      </c>
      <c r="X151" s="199">
        <f t="shared" si="141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193.0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2">C152/100</f>
        <v>0</v>
      </c>
      <c r="X152" s="199">
        <f t="shared" si="142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194.0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3">C153/100</f>
        <v>0</v>
      </c>
      <c r="X153" s="199">
        <f t="shared" si="143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195.0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4">C154/100</f>
        <v>0</v>
      </c>
      <c r="X154" s="199">
        <f t="shared" si="144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196.0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5">C155/100</f>
        <v>0</v>
      </c>
      <c r="X155" s="199">
        <f t="shared" si="145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197.0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6">C156/100</f>
        <v>0</v>
      </c>
      <c r="X156" s="199">
        <f t="shared" si="146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198.0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7">C157/100</f>
        <v>0</v>
      </c>
      <c r="X157" s="199">
        <f t="shared" si="147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199.0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8">C158/100</f>
        <v>0</v>
      </c>
      <c r="X158" s="199">
        <f t="shared" si="148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200.0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9">C159/100</f>
        <v>0</v>
      </c>
      <c r="X159" s="199">
        <f t="shared" si="149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201.0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0">C160/100</f>
        <v>0</v>
      </c>
      <c r="X160" s="199">
        <f t="shared" si="150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202.0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1">C161/100</f>
        <v>0</v>
      </c>
      <c r="X161" s="199">
        <f t="shared" si="151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203.0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2">C162/100</f>
        <v>0</v>
      </c>
      <c r="X162" s="199">
        <f t="shared" si="152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204.0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3">C163/100</f>
        <v>0</v>
      </c>
      <c r="X163" s="199">
        <f t="shared" si="153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205.0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4">C164/100</f>
        <v>0</v>
      </c>
      <c r="X164" s="199">
        <f t="shared" si="154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206.0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5">C165/100</f>
        <v>0</v>
      </c>
      <c r="X165" s="199">
        <f t="shared" si="155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207.0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6">C166/100</f>
        <v>0</v>
      </c>
      <c r="X166" s="199">
        <f t="shared" si="156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208.0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7">C167/100</f>
        <v>0</v>
      </c>
      <c r="X167" s="199">
        <f t="shared" si="157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209.0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8">C168/100</f>
        <v>0</v>
      </c>
      <c r="X168" s="199">
        <f t="shared" si="158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210.0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9">C169/100</f>
        <v>0</v>
      </c>
      <c r="X169" s="199">
        <f t="shared" si="159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211.0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60">C170/100</f>
        <v>0</v>
      </c>
      <c r="X170" s="199">
        <f t="shared" si="160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212.0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1">C171/100</f>
        <v>0</v>
      </c>
      <c r="X171" s="199">
        <f t="shared" si="161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213.0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2">C172/100</f>
        <v>0</v>
      </c>
      <c r="X172" s="199">
        <f t="shared" si="162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214.0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3">C173/100</f>
        <v>0</v>
      </c>
      <c r="X173" s="199">
        <f t="shared" si="163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215.0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4">C174/100</f>
        <v>0</v>
      </c>
      <c r="X174" s="199">
        <f t="shared" si="164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216.0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5">C175/100</f>
        <v>0</v>
      </c>
      <c r="X175" s="199">
        <f t="shared" si="165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217.0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6">C176/100</f>
        <v>0</v>
      </c>
      <c r="X176" s="199">
        <f t="shared" si="166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customHeight="1">
      <c r="A177" s="162"/>
      <c r="B177" s="178"/>
      <c r="C177" s="178"/>
      <c r="D177" s="178"/>
      <c r="E177" s="178"/>
      <c r="F177" s="178"/>
      <c r="G177" s="178"/>
      <c r="H177" s="181"/>
      <c r="I177" s="162"/>
      <c r="J177" s="204">
        <f>+Q232</f>
        <v>128.8</v>
      </c>
      <c r="K177" s="139"/>
      <c r="L177" s="139"/>
      <c r="M177" s="139"/>
      <c r="N177" s="139"/>
      <c r="O177" s="139"/>
      <c r="P177" s="139"/>
      <c r="Q177" s="139"/>
      <c r="R177" s="205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7">C177/100</f>
        <v>0</v>
      </c>
      <c r="X177" s="199">
        <f t="shared" si="167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62"/>
      <c r="B178" s="206"/>
      <c r="C178" s="206"/>
      <c r="D178" s="206"/>
      <c r="E178" s="206"/>
      <c r="F178" s="206"/>
      <c r="G178" s="206"/>
      <c r="H178" s="207"/>
      <c r="I178" s="208">
        <f>SUM(I27:I176)</f>
        <v>33</v>
      </c>
      <c r="J178" s="209">
        <f>SUM(J27:J177)</f>
        <v>38670.27177</v>
      </c>
      <c r="K178" s="210"/>
      <c r="L178" s="210"/>
      <c r="M178" s="210"/>
      <c r="N178" s="210"/>
      <c r="O178" s="210"/>
      <c r="P178" s="210"/>
      <c r="Q178" s="210"/>
      <c r="R178" s="141"/>
      <c r="S178" s="210">
        <f>SUMIFS($T$27:$T$176,$S$27:$S$176,"&gt;=3")</f>
        <v>23</v>
      </c>
      <c r="T178" s="210">
        <f t="shared" ref="T178:U178" si="168">SUM(T27:T176)</f>
        <v>33</v>
      </c>
      <c r="U178" s="210">
        <f t="shared" si="168"/>
        <v>657.95</v>
      </c>
      <c r="V178" s="210"/>
      <c r="W178" s="210"/>
      <c r="X178" s="210"/>
      <c r="Y178" s="210"/>
      <c r="Z178" s="211">
        <f>SUM(Z27:Z177)</f>
        <v>1356.029518</v>
      </c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</row>
    <row r="179" ht="29.2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141"/>
      <c r="S179" s="203"/>
      <c r="T179" s="139">
        <f>+T178-S178</f>
        <v>10</v>
      </c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9.2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205"/>
      <c r="S180" s="139"/>
      <c r="T180" s="139" t="s">
        <v>48</v>
      </c>
      <c r="U180" s="139" t="s">
        <v>68</v>
      </c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139" t="s">
        <v>31</v>
      </c>
      <c r="T181" s="212">
        <f>SUMIFS($J$27:$J$176,$S$27:$S$176,"&gt;=3")</f>
        <v>37561.52916</v>
      </c>
      <c r="U181" s="213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 t="s">
        <v>32</v>
      </c>
      <c r="B182" s="139"/>
      <c r="C182" s="139"/>
      <c r="D182" s="139" t="s">
        <v>33</v>
      </c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139" t="s">
        <v>34</v>
      </c>
      <c r="T182" s="266">
        <f>J178-T181</f>
        <v>1108.742611</v>
      </c>
      <c r="U182" s="213">
        <f>+SUMIFS($U$27:$U$176,$S$27:$S$176,"&gt;=3")</f>
        <v>638.18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205"/>
      <c r="S183" s="139"/>
      <c r="T183" s="214">
        <f>+I178</f>
        <v>33</v>
      </c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39.0" customHeight="1">
      <c r="A184" s="178"/>
      <c r="B184" s="162" t="s">
        <v>12</v>
      </c>
      <c r="C184" s="179" t="s">
        <v>69</v>
      </c>
      <c r="D184" s="52"/>
      <c r="E184" s="53"/>
      <c r="F184" s="180"/>
      <c r="G184" s="180"/>
      <c r="H184" s="181" t="s">
        <v>14</v>
      </c>
      <c r="I184" s="162" t="s">
        <v>15</v>
      </c>
      <c r="J184" s="162" t="s">
        <v>16</v>
      </c>
      <c r="K184" s="139"/>
      <c r="L184" s="139"/>
      <c r="M184" s="139"/>
      <c r="N184" s="139"/>
      <c r="O184" s="139"/>
      <c r="P184" s="139"/>
      <c r="Q184" s="139"/>
      <c r="R184" s="141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customHeight="1">
      <c r="A185" s="155">
        <v>1.0</v>
      </c>
      <c r="B185" s="215" t="s">
        <v>63</v>
      </c>
      <c r="C185" s="215">
        <v>93.0</v>
      </c>
      <c r="D185" s="215">
        <v>202.0</v>
      </c>
      <c r="E185" s="215">
        <v>179.0</v>
      </c>
      <c r="F185" s="215">
        <f t="shared" ref="F185:F198" si="169">1-VALUE(IF(RIGHT(B185, 1)="%", RIGHT(B185, 3), 0))</f>
        <v>0.2</v>
      </c>
      <c r="G185" s="215">
        <f t="shared" ref="G185:G198" si="170">+Q185*C185/100*D185/100*E185/100</f>
        <v>0</v>
      </c>
      <c r="H185" s="216">
        <f t="shared" ref="H185:H198" si="171">IF(F185=0, G185, F185*G185)</f>
        <v>0</v>
      </c>
      <c r="I185" s="215"/>
      <c r="J185" s="217"/>
      <c r="K185" s="139"/>
      <c r="L185" s="178">
        <f t="shared" ref="L185:L193" si="172">D185*25.4/1000</f>
        <v>5.1308</v>
      </c>
      <c r="M185" s="162" t="str">
        <f t="shared" ref="M185:M189" si="173">+I185</f>
        <v/>
      </c>
      <c r="N185" s="162">
        <f t="shared" ref="N185:N189" si="174">M185*L185</f>
        <v>0</v>
      </c>
      <c r="O185" s="139"/>
      <c r="P185" s="139"/>
      <c r="Q185" s="139"/>
      <c r="R185" s="141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customHeight="1">
      <c r="A186" s="155">
        <v>2.0</v>
      </c>
      <c r="B186" s="215" t="s">
        <v>63</v>
      </c>
      <c r="C186" s="215">
        <v>94.0</v>
      </c>
      <c r="D186" s="215">
        <v>195.0</v>
      </c>
      <c r="E186" s="215">
        <v>189.0</v>
      </c>
      <c r="F186" s="215">
        <f t="shared" si="169"/>
        <v>0.2</v>
      </c>
      <c r="G186" s="215">
        <f t="shared" si="170"/>
        <v>0</v>
      </c>
      <c r="H186" s="216">
        <f t="shared" si="171"/>
        <v>0</v>
      </c>
      <c r="I186" s="215"/>
      <c r="J186" s="217">
        <f t="shared" ref="J186:J198" si="175">+I186*H186</f>
        <v>0</v>
      </c>
      <c r="K186" s="139"/>
      <c r="L186" s="178">
        <f t="shared" si="172"/>
        <v>4.953</v>
      </c>
      <c r="M186" s="162" t="str">
        <f t="shared" si="173"/>
        <v/>
      </c>
      <c r="N186" s="162">
        <f t="shared" si="174"/>
        <v>0</v>
      </c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5">
        <v>3.0</v>
      </c>
      <c r="B187" s="218" t="s">
        <v>63</v>
      </c>
      <c r="C187" s="218">
        <v>94.0</v>
      </c>
      <c r="D187" s="218">
        <v>184.0</v>
      </c>
      <c r="E187" s="218">
        <v>179.0</v>
      </c>
      <c r="F187" s="218">
        <f t="shared" si="169"/>
        <v>0.2</v>
      </c>
      <c r="G187" s="218">
        <f t="shared" si="170"/>
        <v>0</v>
      </c>
      <c r="H187" s="219">
        <f t="shared" si="171"/>
        <v>0</v>
      </c>
      <c r="I187" s="218"/>
      <c r="J187" s="195">
        <f t="shared" si="175"/>
        <v>0</v>
      </c>
      <c r="K187" s="139"/>
      <c r="L187" s="178">
        <f t="shared" si="172"/>
        <v>4.6736</v>
      </c>
      <c r="M187" s="162" t="str">
        <f t="shared" si="173"/>
        <v/>
      </c>
      <c r="N187" s="162">
        <f t="shared" si="174"/>
        <v>0</v>
      </c>
      <c r="O187" s="139"/>
      <c r="P187" s="139"/>
      <c r="Q187" s="139"/>
      <c r="R187" s="139"/>
      <c r="S187" s="220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5">
        <v>4.0</v>
      </c>
      <c r="B188" s="218" t="s">
        <v>94</v>
      </c>
      <c r="C188" s="218">
        <v>88.0</v>
      </c>
      <c r="D188" s="218">
        <v>218.0</v>
      </c>
      <c r="E188" s="218">
        <v>190.0</v>
      </c>
      <c r="F188" s="218">
        <f t="shared" si="169"/>
        <v>0.2</v>
      </c>
      <c r="G188" s="218">
        <f t="shared" si="170"/>
        <v>0</v>
      </c>
      <c r="H188" s="219">
        <f t="shared" si="171"/>
        <v>0</v>
      </c>
      <c r="I188" s="218"/>
      <c r="J188" s="195">
        <f t="shared" si="175"/>
        <v>0</v>
      </c>
      <c r="K188" s="139"/>
      <c r="L188" s="178">
        <f t="shared" si="172"/>
        <v>5.5372</v>
      </c>
      <c r="M188" s="162" t="str">
        <f t="shared" si="173"/>
        <v/>
      </c>
      <c r="N188" s="162">
        <f t="shared" si="174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5">
        <v>5.0</v>
      </c>
      <c r="B189" s="218" t="s">
        <v>109</v>
      </c>
      <c r="C189" s="218">
        <v>90.0</v>
      </c>
      <c r="D189" s="218">
        <v>216.0</v>
      </c>
      <c r="E189" s="218">
        <v>185.0</v>
      </c>
      <c r="F189" s="218">
        <f t="shared" si="169"/>
        <v>0.2</v>
      </c>
      <c r="G189" s="218">
        <f t="shared" si="170"/>
        <v>0</v>
      </c>
      <c r="H189" s="219">
        <f t="shared" si="171"/>
        <v>0</v>
      </c>
      <c r="I189" s="218"/>
      <c r="J189" s="195">
        <f t="shared" si="175"/>
        <v>0</v>
      </c>
      <c r="K189" s="139"/>
      <c r="L189" s="178">
        <f t="shared" si="172"/>
        <v>5.4864</v>
      </c>
      <c r="M189" s="162" t="str">
        <f t="shared" si="173"/>
        <v/>
      </c>
      <c r="N189" s="162">
        <f t="shared" si="174"/>
        <v>0</v>
      </c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55">
        <v>6.0</v>
      </c>
      <c r="B190" s="218"/>
      <c r="C190" s="218"/>
      <c r="D190" s="218"/>
      <c r="E190" s="218"/>
      <c r="F190" s="218">
        <f t="shared" si="169"/>
        <v>1</v>
      </c>
      <c r="G190" s="218">
        <f t="shared" si="170"/>
        <v>0</v>
      </c>
      <c r="H190" s="219">
        <f t="shared" si="171"/>
        <v>0</v>
      </c>
      <c r="I190" s="218"/>
      <c r="J190" s="195">
        <f t="shared" si="175"/>
        <v>0</v>
      </c>
      <c r="K190" s="139"/>
      <c r="L190" s="139">
        <f t="shared" si="172"/>
        <v>0</v>
      </c>
      <c r="M190" s="221"/>
      <c r="N190" s="221"/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55">
        <v>7.0</v>
      </c>
      <c r="B191" s="218"/>
      <c r="C191" s="218"/>
      <c r="D191" s="218"/>
      <c r="E191" s="218"/>
      <c r="F191" s="218">
        <f t="shared" si="169"/>
        <v>1</v>
      </c>
      <c r="G191" s="218">
        <f t="shared" si="170"/>
        <v>0</v>
      </c>
      <c r="H191" s="219">
        <f t="shared" si="171"/>
        <v>0</v>
      </c>
      <c r="I191" s="218"/>
      <c r="J191" s="195">
        <f t="shared" si="175"/>
        <v>0</v>
      </c>
      <c r="K191" s="139"/>
      <c r="L191" s="139">
        <f t="shared" si="172"/>
        <v>0</v>
      </c>
      <c r="M191" s="221"/>
      <c r="N191" s="221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5">
        <v>8.0</v>
      </c>
      <c r="B192" s="218"/>
      <c r="C192" s="218"/>
      <c r="D192" s="218"/>
      <c r="E192" s="218"/>
      <c r="F192" s="218">
        <f t="shared" si="169"/>
        <v>1</v>
      </c>
      <c r="G192" s="218">
        <f t="shared" si="170"/>
        <v>0</v>
      </c>
      <c r="H192" s="219">
        <f t="shared" si="171"/>
        <v>0</v>
      </c>
      <c r="I192" s="218"/>
      <c r="J192" s="195">
        <f t="shared" si="175"/>
        <v>0</v>
      </c>
      <c r="K192" s="139"/>
      <c r="L192" s="139">
        <f t="shared" si="172"/>
        <v>0</v>
      </c>
      <c r="M192" s="221"/>
      <c r="N192" s="221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5">
        <v>9.0</v>
      </c>
      <c r="B193" s="218"/>
      <c r="C193" s="218"/>
      <c r="D193" s="218"/>
      <c r="E193" s="218"/>
      <c r="F193" s="218">
        <f t="shared" si="169"/>
        <v>1</v>
      </c>
      <c r="G193" s="218">
        <f t="shared" si="170"/>
        <v>0</v>
      </c>
      <c r="H193" s="219">
        <f t="shared" si="171"/>
        <v>0</v>
      </c>
      <c r="I193" s="218"/>
      <c r="J193" s="195">
        <f t="shared" si="175"/>
        <v>0</v>
      </c>
      <c r="K193" s="139"/>
      <c r="L193" s="139">
        <f t="shared" si="172"/>
        <v>0</v>
      </c>
      <c r="M193" s="221"/>
      <c r="N193" s="221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5">
        <v>10.0</v>
      </c>
      <c r="B194" s="193"/>
      <c r="C194" s="193"/>
      <c r="D194" s="193"/>
      <c r="E194" s="193"/>
      <c r="F194" s="193">
        <f t="shared" si="169"/>
        <v>1</v>
      </c>
      <c r="G194" s="193">
        <f t="shared" si="170"/>
        <v>0</v>
      </c>
      <c r="H194" s="194">
        <f t="shared" si="171"/>
        <v>0</v>
      </c>
      <c r="I194" s="193"/>
      <c r="J194" s="195">
        <f t="shared" si="175"/>
        <v>0</v>
      </c>
      <c r="K194" s="139"/>
      <c r="L194" s="139"/>
      <c r="M194" s="221"/>
      <c r="N194" s="221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5">
        <v>11.0</v>
      </c>
      <c r="B195" s="193"/>
      <c r="C195" s="193"/>
      <c r="D195" s="193"/>
      <c r="E195" s="193"/>
      <c r="F195" s="193">
        <f t="shared" si="169"/>
        <v>1</v>
      </c>
      <c r="G195" s="193">
        <f t="shared" si="170"/>
        <v>0</v>
      </c>
      <c r="H195" s="194">
        <f t="shared" si="171"/>
        <v>0</v>
      </c>
      <c r="I195" s="193"/>
      <c r="J195" s="195">
        <f t="shared" si="175"/>
        <v>0</v>
      </c>
      <c r="K195" s="139"/>
      <c r="L195" s="139"/>
      <c r="M195" s="221"/>
      <c r="N195" s="221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5">
        <v>12.0</v>
      </c>
      <c r="B196" s="193"/>
      <c r="C196" s="193"/>
      <c r="D196" s="193"/>
      <c r="E196" s="193"/>
      <c r="F196" s="193">
        <f t="shared" si="169"/>
        <v>1</v>
      </c>
      <c r="G196" s="193">
        <f t="shared" si="170"/>
        <v>0</v>
      </c>
      <c r="H196" s="194">
        <f t="shared" si="171"/>
        <v>0</v>
      </c>
      <c r="I196" s="193"/>
      <c r="J196" s="195">
        <f t="shared" si="175"/>
        <v>0</v>
      </c>
      <c r="K196" s="139"/>
      <c r="L196" s="139"/>
      <c r="M196" s="221"/>
      <c r="N196" s="221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5">
        <v>13.0</v>
      </c>
      <c r="B197" s="193"/>
      <c r="C197" s="193"/>
      <c r="D197" s="193"/>
      <c r="E197" s="193"/>
      <c r="F197" s="193">
        <f t="shared" si="169"/>
        <v>1</v>
      </c>
      <c r="G197" s="193">
        <f t="shared" si="170"/>
        <v>0</v>
      </c>
      <c r="H197" s="194">
        <f t="shared" si="171"/>
        <v>0</v>
      </c>
      <c r="I197" s="193"/>
      <c r="J197" s="195">
        <f t="shared" si="175"/>
        <v>0</v>
      </c>
      <c r="K197" s="139"/>
      <c r="L197" s="139"/>
      <c r="M197" s="221"/>
      <c r="N197" s="221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5">
        <v>14.0</v>
      </c>
      <c r="B198" s="193"/>
      <c r="C198" s="193"/>
      <c r="D198" s="193"/>
      <c r="E198" s="193"/>
      <c r="F198" s="193">
        <f t="shared" si="169"/>
        <v>1</v>
      </c>
      <c r="G198" s="193">
        <f t="shared" si="170"/>
        <v>0</v>
      </c>
      <c r="H198" s="194">
        <f t="shared" si="171"/>
        <v>0</v>
      </c>
      <c r="I198" s="193"/>
      <c r="J198" s="195">
        <f t="shared" si="175"/>
        <v>0</v>
      </c>
      <c r="K198" s="139"/>
      <c r="L198" s="139"/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4.75" customHeight="1">
      <c r="A199" s="162"/>
      <c r="B199" s="197"/>
      <c r="C199" s="197"/>
      <c r="D199" s="197"/>
      <c r="E199" s="197"/>
      <c r="F199" s="197"/>
      <c r="G199" s="197"/>
      <c r="H199" s="222" t="s">
        <v>38</v>
      </c>
      <c r="I199" s="197"/>
      <c r="J199" s="223">
        <f>SUM(J185:J198)</f>
        <v>0</v>
      </c>
      <c r="K199" s="139"/>
      <c r="L199" s="139"/>
      <c r="M199" s="139"/>
      <c r="N199" s="139"/>
      <c r="O199" s="139"/>
      <c r="P199" s="139"/>
      <c r="Q199" s="139"/>
      <c r="R199" s="141"/>
      <c r="S199" s="224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18.75" customHeight="1">
      <c r="A200" s="176"/>
      <c r="B200" s="144"/>
      <c r="C200" s="144"/>
      <c r="D200" s="144"/>
      <c r="E200" s="144"/>
      <c r="F200" s="144"/>
      <c r="G200" s="144"/>
      <c r="H200" s="145"/>
      <c r="I200" s="144"/>
      <c r="J200" s="177"/>
      <c r="K200" s="139"/>
      <c r="L200" s="139"/>
      <c r="M200" s="139"/>
      <c r="N200" s="139"/>
      <c r="O200" s="139"/>
      <c r="P200" s="139"/>
      <c r="Q200" s="139"/>
      <c r="R200" s="141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18.75" customHeight="1">
      <c r="A201" s="139"/>
      <c r="B201" s="139"/>
      <c r="C201" s="139"/>
      <c r="D201" s="139"/>
      <c r="E201" s="139"/>
      <c r="F201" s="139"/>
      <c r="G201" s="139"/>
      <c r="H201" s="140"/>
      <c r="I201" s="139"/>
      <c r="J201" s="139"/>
      <c r="K201" s="139"/>
      <c r="L201" s="139"/>
      <c r="M201" s="139"/>
      <c r="N201" s="139"/>
      <c r="O201" s="139"/>
      <c r="P201" s="139"/>
      <c r="Q201" s="139"/>
      <c r="R201" s="141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224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 t="s">
        <v>39</v>
      </c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24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4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42.0" customHeight="1">
      <c r="A205" s="178"/>
      <c r="B205" s="162" t="s">
        <v>12</v>
      </c>
      <c r="C205" s="179" t="s">
        <v>75</v>
      </c>
      <c r="D205" s="52"/>
      <c r="E205" s="53"/>
      <c r="F205" s="225"/>
      <c r="G205" s="225"/>
      <c r="H205" s="181" t="s">
        <v>14</v>
      </c>
      <c r="I205" s="226" t="s">
        <v>15</v>
      </c>
      <c r="J205" s="162" t="s">
        <v>16</v>
      </c>
      <c r="K205" s="139"/>
      <c r="L205" s="139"/>
      <c r="M205" s="139"/>
      <c r="N205" s="139"/>
      <c r="O205" s="139"/>
      <c r="P205" s="139"/>
      <c r="Q205" s="139"/>
      <c r="R205" s="224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4.75" customHeight="1">
      <c r="A206" s="162">
        <v>1.0</v>
      </c>
      <c r="B206" s="183" t="s">
        <v>55</v>
      </c>
      <c r="C206" s="200"/>
      <c r="D206" s="200"/>
      <c r="E206" s="200"/>
      <c r="F206" s="200"/>
      <c r="G206" s="200"/>
      <c r="H206" s="227">
        <v>31.0</v>
      </c>
      <c r="I206" s="200">
        <v>1.0</v>
      </c>
      <c r="J206" s="195">
        <f t="shared" ref="J206:J230" si="176">+I206*H206</f>
        <v>31</v>
      </c>
      <c r="K206" s="178"/>
      <c r="L206" s="178"/>
      <c r="M206" s="178"/>
      <c r="N206" s="178"/>
      <c r="O206" s="178"/>
      <c r="P206" s="178"/>
      <c r="Q206" s="228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2">
        <v>2.0</v>
      </c>
      <c r="B207" s="193" t="s">
        <v>55</v>
      </c>
      <c r="C207" s="200"/>
      <c r="D207" s="200"/>
      <c r="E207" s="200"/>
      <c r="F207" s="200"/>
      <c r="G207" s="200"/>
      <c r="H207" s="227">
        <v>19.0</v>
      </c>
      <c r="I207" s="200">
        <v>1.0</v>
      </c>
      <c r="J207" s="195">
        <f t="shared" si="176"/>
        <v>19</v>
      </c>
      <c r="K207" s="178"/>
      <c r="L207" s="178"/>
      <c r="M207" s="178"/>
      <c r="N207" s="178"/>
      <c r="O207" s="178"/>
      <c r="P207" s="178"/>
      <c r="Q207" s="228"/>
      <c r="R207" s="224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3.0</v>
      </c>
      <c r="B208" s="183" t="s">
        <v>55</v>
      </c>
      <c r="C208" s="200"/>
      <c r="D208" s="200"/>
      <c r="E208" s="200"/>
      <c r="F208" s="200"/>
      <c r="G208" s="200"/>
      <c r="H208" s="227">
        <v>30.0</v>
      </c>
      <c r="I208" s="200">
        <v>1.0</v>
      </c>
      <c r="J208" s="195">
        <f t="shared" si="176"/>
        <v>30</v>
      </c>
      <c r="K208" s="178"/>
      <c r="L208" s="178"/>
      <c r="M208" s="178"/>
      <c r="N208" s="178"/>
      <c r="O208" s="178"/>
      <c r="P208" s="178"/>
      <c r="Q208" s="228"/>
      <c r="R208" s="22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4.0</v>
      </c>
      <c r="B209" s="193" t="s">
        <v>55</v>
      </c>
      <c r="C209" s="200"/>
      <c r="D209" s="200"/>
      <c r="E209" s="200"/>
      <c r="F209" s="200"/>
      <c r="G209" s="200"/>
      <c r="H209" s="227">
        <v>27.0</v>
      </c>
      <c r="I209" s="200">
        <v>1.0</v>
      </c>
      <c r="J209" s="195">
        <f t="shared" si="176"/>
        <v>27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>
        <v>5.0</v>
      </c>
      <c r="B210" s="183" t="s">
        <v>55</v>
      </c>
      <c r="C210" s="200"/>
      <c r="D210" s="200"/>
      <c r="E210" s="200"/>
      <c r="F210" s="200"/>
      <c r="G210" s="200"/>
      <c r="H210" s="227">
        <v>46.0</v>
      </c>
      <c r="I210" s="200">
        <v>1.0</v>
      </c>
      <c r="J210" s="195">
        <f t="shared" si="176"/>
        <v>46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2">
        <v>6.0</v>
      </c>
      <c r="B211" s="193" t="s">
        <v>55</v>
      </c>
      <c r="C211" s="200"/>
      <c r="D211" s="200"/>
      <c r="E211" s="200"/>
      <c r="F211" s="200"/>
      <c r="G211" s="200"/>
      <c r="H211" s="227">
        <v>23.0</v>
      </c>
      <c r="I211" s="200">
        <v>1.0</v>
      </c>
      <c r="J211" s="195">
        <f t="shared" si="176"/>
        <v>23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2">
        <v>7.0</v>
      </c>
      <c r="B212" s="183" t="s">
        <v>57</v>
      </c>
      <c r="C212" s="200"/>
      <c r="D212" s="200"/>
      <c r="E212" s="200"/>
      <c r="F212" s="200"/>
      <c r="G212" s="200"/>
      <c r="H212" s="227">
        <v>38.0</v>
      </c>
      <c r="I212" s="200">
        <v>1.0</v>
      </c>
      <c r="J212" s="195">
        <f t="shared" si="176"/>
        <v>38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>
        <v>8.0</v>
      </c>
      <c r="B213" s="193" t="s">
        <v>57</v>
      </c>
      <c r="C213" s="200"/>
      <c r="D213" s="200"/>
      <c r="E213" s="200"/>
      <c r="F213" s="200"/>
      <c r="G213" s="200"/>
      <c r="H213" s="227">
        <v>30.0</v>
      </c>
      <c r="I213" s="200">
        <v>1.0</v>
      </c>
      <c r="J213" s="195">
        <f t="shared" si="176"/>
        <v>30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2">
        <v>9.0</v>
      </c>
      <c r="B214" s="183" t="s">
        <v>105</v>
      </c>
      <c r="C214" s="200"/>
      <c r="D214" s="200"/>
      <c r="E214" s="200"/>
      <c r="F214" s="200"/>
      <c r="G214" s="200"/>
      <c r="H214" s="227">
        <v>53.0</v>
      </c>
      <c r="I214" s="200">
        <v>1.0</v>
      </c>
      <c r="J214" s="195">
        <f t="shared" si="176"/>
        <v>53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2">
        <v>10.0</v>
      </c>
      <c r="B215" s="193" t="s">
        <v>105</v>
      </c>
      <c r="C215" s="200"/>
      <c r="D215" s="200"/>
      <c r="E215" s="200"/>
      <c r="F215" s="200"/>
      <c r="G215" s="200"/>
      <c r="H215" s="227">
        <v>25.0</v>
      </c>
      <c r="I215" s="200">
        <v>1.0</v>
      </c>
      <c r="J215" s="195">
        <f t="shared" si="176"/>
        <v>25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2">
        <v>21.0</v>
      </c>
      <c r="B216" s="229"/>
      <c r="C216" s="200"/>
      <c r="D216" s="200"/>
      <c r="E216" s="200"/>
      <c r="F216" s="200"/>
      <c r="G216" s="200"/>
      <c r="H216" s="227"/>
      <c r="I216" s="200"/>
      <c r="J216" s="195">
        <f t="shared" si="176"/>
        <v>0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22.0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76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23.0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76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24.0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76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25.0</v>
      </c>
      <c r="B220" s="229"/>
      <c r="C220" s="200"/>
      <c r="D220" s="200"/>
      <c r="E220" s="200"/>
      <c r="F220" s="200"/>
      <c r="G220" s="200"/>
      <c r="H220" s="227"/>
      <c r="I220" s="200"/>
      <c r="J220" s="195">
        <f t="shared" si="176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26.0</v>
      </c>
      <c r="B221" s="229"/>
      <c r="C221" s="200"/>
      <c r="D221" s="200"/>
      <c r="E221" s="200"/>
      <c r="F221" s="200"/>
      <c r="G221" s="200"/>
      <c r="H221" s="227"/>
      <c r="I221" s="200"/>
      <c r="J221" s="195">
        <f t="shared" si="176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27.0</v>
      </c>
      <c r="B222" s="229"/>
      <c r="C222" s="200"/>
      <c r="D222" s="200"/>
      <c r="E222" s="200"/>
      <c r="F222" s="200"/>
      <c r="G222" s="200"/>
      <c r="H222" s="200"/>
      <c r="I222" s="200"/>
      <c r="J222" s="195">
        <f t="shared" si="176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28.0</v>
      </c>
      <c r="B223" s="229"/>
      <c r="C223" s="200"/>
      <c r="D223" s="200"/>
      <c r="E223" s="200"/>
      <c r="F223" s="200"/>
      <c r="G223" s="200"/>
      <c r="H223" s="200"/>
      <c r="I223" s="200"/>
      <c r="J223" s="195">
        <f t="shared" si="176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29.0</v>
      </c>
      <c r="B224" s="230"/>
      <c r="C224" s="200"/>
      <c r="D224" s="200"/>
      <c r="E224" s="200"/>
      <c r="F224" s="200"/>
      <c r="G224" s="200"/>
      <c r="H224" s="200"/>
      <c r="I224" s="200"/>
      <c r="J224" s="195">
        <f t="shared" si="176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2">
        <v>30.0</v>
      </c>
      <c r="B225" s="230"/>
      <c r="C225" s="200"/>
      <c r="D225" s="200"/>
      <c r="E225" s="200"/>
      <c r="F225" s="200"/>
      <c r="G225" s="200"/>
      <c r="H225" s="227"/>
      <c r="I225" s="200"/>
      <c r="J225" s="195">
        <f t="shared" si="176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2">
        <v>31.0</v>
      </c>
      <c r="B226" s="218"/>
      <c r="C226" s="200"/>
      <c r="D226" s="200"/>
      <c r="E226" s="200"/>
      <c r="F226" s="200"/>
      <c r="G226" s="200"/>
      <c r="H226" s="227"/>
      <c r="I226" s="200"/>
      <c r="J226" s="195">
        <f t="shared" si="176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2">
        <v>32.0</v>
      </c>
      <c r="B227" s="218"/>
      <c r="C227" s="162"/>
      <c r="D227" s="162"/>
      <c r="E227" s="162"/>
      <c r="F227" s="162"/>
      <c r="G227" s="162"/>
      <c r="H227" s="162"/>
      <c r="I227" s="162"/>
      <c r="J227" s="195">
        <f t="shared" si="176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2">
        <v>33.0</v>
      </c>
      <c r="B228" s="230"/>
      <c r="C228" s="162"/>
      <c r="D228" s="162"/>
      <c r="E228" s="162"/>
      <c r="F228" s="162"/>
      <c r="G228" s="162"/>
      <c r="H228" s="162"/>
      <c r="I228" s="162"/>
      <c r="J228" s="195">
        <f t="shared" si="176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2">
        <v>34.0</v>
      </c>
      <c r="B229" s="231"/>
      <c r="C229" s="162"/>
      <c r="D229" s="162"/>
      <c r="E229" s="162"/>
      <c r="F229" s="162"/>
      <c r="G229" s="162"/>
      <c r="H229" s="162"/>
      <c r="I229" s="162"/>
      <c r="J229" s="195">
        <f t="shared" si="176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2">
        <v>35.0</v>
      </c>
      <c r="B230" s="232"/>
      <c r="C230" s="162"/>
      <c r="D230" s="162"/>
      <c r="E230" s="162"/>
      <c r="F230" s="162"/>
      <c r="G230" s="162"/>
      <c r="H230" s="162"/>
      <c r="I230" s="162"/>
      <c r="J230" s="195">
        <f t="shared" si="176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3">
        <f>SUM(J206:J230)</f>
        <v>322</v>
      </c>
      <c r="K231" s="234"/>
      <c r="L231" s="234"/>
      <c r="M231" s="234"/>
      <c r="N231" s="234"/>
      <c r="O231" s="234"/>
      <c r="P231" s="234"/>
      <c r="Q231" s="234"/>
      <c r="R231" s="139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5"/>
      <c r="J232" s="206">
        <f>+J231*60%</f>
        <v>193.2</v>
      </c>
      <c r="K232" s="206"/>
      <c r="L232" s="206"/>
      <c r="M232" s="206"/>
      <c r="N232" s="206"/>
      <c r="O232" s="206"/>
      <c r="P232" s="206"/>
      <c r="Q232" s="206">
        <f>+J231*40%</f>
        <v>128.8</v>
      </c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35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57.0" customHeight="1">
      <c r="A236" s="236"/>
      <c r="B236" s="237" t="s">
        <v>42</v>
      </c>
      <c r="C236" s="237" t="s">
        <v>43</v>
      </c>
      <c r="D236" s="237" t="s">
        <v>44</v>
      </c>
      <c r="E236" s="237" t="s">
        <v>45</v>
      </c>
      <c r="F236" s="237"/>
      <c r="G236" s="237"/>
      <c r="H236" s="238" t="s">
        <v>46</v>
      </c>
      <c r="I236" s="239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40" t="s">
        <v>48</v>
      </c>
      <c r="B237" s="241">
        <f>+E20</f>
        <v>41459.244</v>
      </c>
      <c r="C237" s="242">
        <f>+J178</f>
        <v>38670.27177</v>
      </c>
      <c r="D237" s="242">
        <f>+J199</f>
        <v>0</v>
      </c>
      <c r="E237" s="243">
        <f>J232</f>
        <v>193.2</v>
      </c>
      <c r="F237" s="243"/>
      <c r="G237" s="243"/>
      <c r="H237" s="244">
        <f>+I20</f>
        <v>934.4075244</v>
      </c>
      <c r="I237" s="245">
        <f>+B237-C237-D237-E237-H237</f>
        <v>1661.364709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9.5" customHeight="1">
      <c r="A238" s="246" t="s">
        <v>49</v>
      </c>
      <c r="B238" s="247"/>
      <c r="C238" s="248">
        <f>+C237/B237</f>
        <v>0.9327297856</v>
      </c>
      <c r="D238" s="248">
        <f>+D237/B237</f>
        <v>0</v>
      </c>
      <c r="E238" s="248">
        <f>+E237/B237</f>
        <v>0.004659998142</v>
      </c>
      <c r="F238" s="248"/>
      <c r="G238" s="248"/>
      <c r="H238" s="249">
        <f>+H237/B237</f>
        <v>0.02253797788</v>
      </c>
      <c r="I238" s="250">
        <f>+I237/B237</f>
        <v>0.04007223838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9.5" customHeight="1">
      <c r="A239" s="165"/>
      <c r="B239" s="221"/>
      <c r="C239" s="251"/>
      <c r="D239" s="251"/>
      <c r="E239" s="251"/>
      <c r="F239" s="251"/>
      <c r="G239" s="251"/>
      <c r="H239" s="252"/>
      <c r="I239" s="253"/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4"/>
      <c r="B240" s="255"/>
      <c r="C240" s="255"/>
      <c r="D240" s="255" t="s">
        <v>50</v>
      </c>
      <c r="E240" s="255" t="s">
        <v>48</v>
      </c>
      <c r="F240" s="255"/>
      <c r="G240" s="255"/>
      <c r="H240" s="256">
        <f>+D237+E237+H237+I237</f>
        <v>2788.972233</v>
      </c>
      <c r="I240" s="257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8"/>
      <c r="B241" s="139"/>
      <c r="C241" s="139"/>
      <c r="D241" s="139"/>
      <c r="E241" s="139" t="s">
        <v>49</v>
      </c>
      <c r="F241" s="139"/>
      <c r="G241" s="139"/>
      <c r="H241" s="252">
        <f>+H240/B237</f>
        <v>0.06727021441</v>
      </c>
      <c r="I241" s="259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8"/>
      <c r="B242" s="139"/>
      <c r="C242" s="139" t="s">
        <v>51</v>
      </c>
      <c r="D242" s="139"/>
      <c r="E242" s="139"/>
      <c r="F242" s="139"/>
      <c r="G242" s="139"/>
      <c r="H242" s="140"/>
      <c r="I242" s="259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8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9.5" customHeight="1">
      <c r="A244" s="260"/>
      <c r="B244" s="261"/>
      <c r="C244" s="261"/>
      <c r="D244" s="261"/>
      <c r="E244" s="261"/>
      <c r="F244" s="261"/>
      <c r="G244" s="261"/>
      <c r="H244" s="262"/>
      <c r="I244" s="263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0:D20"/>
    <mergeCell ref="E21:H21"/>
    <mergeCell ref="C26:E26"/>
    <mergeCell ref="C184:E184"/>
    <mergeCell ref="C205:E205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29" width="9.14"/>
    <col customWidth="1" min="30" max="30" width="13.71"/>
    <col customWidth="1" min="31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44553.0</v>
      </c>
      <c r="J4" s="139" t="str">
        <f>+B8&amp;"/"&amp;B9&amp;"/"&amp;B10&amp;"/"&amp;B11&amp;"/"&amp;B12&amp;"/"&amp;B13&amp;"/"&amp;B14&amp;"/"&amp;B15&amp;"/"&amp;B16</f>
        <v>HRD2930/HRD2940/HRD2930/HRD2940/D1650/D2270CC///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173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+I239</f>
        <v>0.02489279477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57</v>
      </c>
      <c r="C8" s="155">
        <v>29.5</v>
      </c>
      <c r="D8" s="156">
        <v>0.0155</v>
      </c>
      <c r="E8" s="157">
        <f>224.209*27.2</f>
        <v>6098.4848</v>
      </c>
      <c r="F8" s="157"/>
      <c r="G8" s="157"/>
      <c r="H8" s="158">
        <v>27.2</v>
      </c>
      <c r="I8" s="159">
        <f t="shared" ref="I8:I20" si="1">+D8*E8</f>
        <v>94.5265144</v>
      </c>
      <c r="J8" s="160">
        <f t="shared" ref="J8:J20" si="2">E8-I8</f>
        <v>6003.958286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252.8*21.2</f>
        <v>5359.36</v>
      </c>
      <c r="F9" s="157"/>
      <c r="G9" s="157"/>
      <c r="H9" s="158">
        <v>21.2</v>
      </c>
      <c r="I9" s="159">
        <f t="shared" si="1"/>
        <v>78.246656</v>
      </c>
      <c r="J9" s="160">
        <f t="shared" si="2"/>
        <v>5281.113344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57</v>
      </c>
      <c r="C10" s="155">
        <v>29.5</v>
      </c>
      <c r="D10" s="156">
        <v>0.0155</v>
      </c>
      <c r="E10" s="157">
        <f>253.135*47.8</f>
        <v>12099.853</v>
      </c>
      <c r="F10" s="157"/>
      <c r="G10" s="157"/>
      <c r="H10" s="158">
        <v>47.8</v>
      </c>
      <c r="I10" s="159">
        <f t="shared" si="1"/>
        <v>187.5477215</v>
      </c>
      <c r="J10" s="160">
        <f t="shared" si="2"/>
        <v>11912.30528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62" t="s">
        <v>55</v>
      </c>
      <c r="C11" s="155">
        <v>29.5</v>
      </c>
      <c r="D11" s="163">
        <v>0.0146</v>
      </c>
      <c r="E11" s="164">
        <f>252.8*7.7</f>
        <v>1946.56</v>
      </c>
      <c r="F11" s="164"/>
      <c r="G11" s="164"/>
      <c r="H11" s="158">
        <v>7.7</v>
      </c>
      <c r="I11" s="159">
        <f t="shared" si="1"/>
        <v>28.419776</v>
      </c>
      <c r="J11" s="160">
        <f t="shared" si="2"/>
        <v>1918.140224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59</v>
      </c>
      <c r="C12" s="162">
        <v>16.5</v>
      </c>
      <c r="D12" s="163">
        <v>0.1057</v>
      </c>
      <c r="E12" s="164">
        <f>177.395*12.7</f>
        <v>2252.9165</v>
      </c>
      <c r="F12" s="164"/>
      <c r="G12" s="164"/>
      <c r="H12" s="158">
        <v>12.7</v>
      </c>
      <c r="I12" s="159">
        <f t="shared" si="1"/>
        <v>238.1332741</v>
      </c>
      <c r="J12" s="160">
        <f t="shared" si="2"/>
        <v>2014.783226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80</v>
      </c>
      <c r="C13" s="162">
        <v>22.5</v>
      </c>
      <c r="D13" s="163">
        <v>0.0737</v>
      </c>
      <c r="E13" s="164">
        <f>242.699*19.2</f>
        <v>4659.8208</v>
      </c>
      <c r="F13" s="164"/>
      <c r="G13" s="164"/>
      <c r="H13" s="158">
        <v>19.2</v>
      </c>
      <c r="I13" s="159">
        <f t="shared" si="1"/>
        <v>343.428793</v>
      </c>
      <c r="J13" s="160">
        <f t="shared" si="2"/>
        <v>4316.392007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5"/>
      <c r="B21" s="166"/>
      <c r="C21" s="167"/>
      <c r="D21" s="168"/>
      <c r="E21" s="169">
        <f>SUM(E8:E20)</f>
        <v>32416.9951</v>
      </c>
      <c r="F21" s="170"/>
      <c r="G21" s="170"/>
      <c r="H21" s="171"/>
      <c r="I21" s="172">
        <f t="shared" ref="I21:J21" si="3">SUM(I8:I20)</f>
        <v>970.3027349</v>
      </c>
      <c r="J21" s="173">
        <f t="shared" si="3"/>
        <v>31446.69237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4"/>
      <c r="B22" s="144"/>
      <c r="C22" s="144"/>
      <c r="D22" s="175"/>
      <c r="E22" s="176"/>
      <c r="F22" s="151"/>
      <c r="G22" s="151"/>
      <c r="H22" s="147"/>
      <c r="I22" s="177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8"/>
      <c r="B27" s="162" t="s">
        <v>12</v>
      </c>
      <c r="C27" s="179" t="s">
        <v>60</v>
      </c>
      <c r="D27" s="52"/>
      <c r="E27" s="53"/>
      <c r="F27" s="180"/>
      <c r="G27" s="180"/>
      <c r="H27" s="181" t="s">
        <v>14</v>
      </c>
      <c r="I27" s="162" t="s">
        <v>15</v>
      </c>
      <c r="J27" s="162" t="s">
        <v>16</v>
      </c>
      <c r="K27" s="139"/>
      <c r="L27" s="162" t="s">
        <v>17</v>
      </c>
      <c r="M27" s="162" t="s">
        <v>15</v>
      </c>
      <c r="N27" s="178" t="s">
        <v>18</v>
      </c>
      <c r="O27" s="139"/>
      <c r="P27" s="139"/>
      <c r="Q27" s="178" t="s">
        <v>61</v>
      </c>
      <c r="R27" s="182"/>
      <c r="S27" s="162" t="s">
        <v>17</v>
      </c>
      <c r="T27" s="162" t="s">
        <v>15</v>
      </c>
      <c r="U27" s="178" t="s">
        <v>18</v>
      </c>
      <c r="V27" s="139"/>
      <c r="W27" s="178" t="s">
        <v>19</v>
      </c>
      <c r="X27" s="178" t="s">
        <v>20</v>
      </c>
      <c r="Y27" s="178" t="s">
        <v>21</v>
      </c>
      <c r="Z27" s="178" t="s">
        <v>174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1.0</v>
      </c>
      <c r="B28" s="183" t="s">
        <v>94</v>
      </c>
      <c r="C28" s="184">
        <v>100.0</v>
      </c>
      <c r="D28" s="184">
        <v>163.0</v>
      </c>
      <c r="E28" s="184">
        <v>183.0</v>
      </c>
      <c r="F28" s="184">
        <f t="shared" ref="F28:F176" si="5">VALUE(IF(RIGHT(B28, 1)="%", RIGHT(B28, 3), 0))</f>
        <v>0.8</v>
      </c>
      <c r="G28" s="184">
        <f t="shared" ref="G28:G176" si="6">+R28*C28/100*D28/100*E28/100</f>
        <v>86.5041</v>
      </c>
      <c r="H28" s="185">
        <f t="shared" ref="H28:H176" si="7">IF(F28=0, G28, F28*G28)</f>
        <v>69.20328</v>
      </c>
      <c r="I28" s="184">
        <v>1.0</v>
      </c>
      <c r="J28" s="186">
        <f t="shared" ref="J28:J176" si="8">+I28*H28</f>
        <v>69.20328</v>
      </c>
      <c r="K28" s="187"/>
      <c r="L28" s="188">
        <f>D28*25.4/1000</f>
        <v>4.1402</v>
      </c>
      <c r="M28" s="189">
        <f>+I28</f>
        <v>1</v>
      </c>
      <c r="N28" s="189">
        <f>M28*L28</f>
        <v>4.1402</v>
      </c>
      <c r="O28" s="187"/>
      <c r="P28" s="187"/>
      <c r="Q28" s="188">
        <v>90.0</v>
      </c>
      <c r="R28" s="190">
        <v>29.0</v>
      </c>
      <c r="S28" s="178">
        <f t="shared" ref="S28:S177" si="9">E28/100</f>
        <v>1.83</v>
      </c>
      <c r="T28" s="162">
        <f t="shared" ref="T28:T177" si="10">I28</f>
        <v>1</v>
      </c>
      <c r="U28" s="162">
        <f t="shared" ref="U28:U177" si="11">T28*S28</f>
        <v>1.83</v>
      </c>
      <c r="V28" s="191">
        <f t="shared" ref="V28:V59" si="12">R28*C28/100*D28/100*E28/100</f>
        <v>86.5041</v>
      </c>
      <c r="W28" s="178">
        <f t="shared" ref="W28:X28" si="4">C28/100</f>
        <v>1</v>
      </c>
      <c r="X28" s="178">
        <f t="shared" si="4"/>
        <v>1.63</v>
      </c>
      <c r="Y28" s="178">
        <f t="shared" ref="Y28:Y177" si="14">U28</f>
        <v>1.83</v>
      </c>
      <c r="Z28" s="192">
        <f t="shared" ref="Z28:Z177" si="15">W28*X28*Y28</f>
        <v>2.9829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2.0</v>
      </c>
      <c r="B29" s="193" t="s">
        <v>57</v>
      </c>
      <c r="C29" s="193">
        <v>99.0</v>
      </c>
      <c r="D29" s="193">
        <v>163.0</v>
      </c>
      <c r="E29" s="193">
        <v>193.0</v>
      </c>
      <c r="F29" s="193">
        <f t="shared" si="5"/>
        <v>0</v>
      </c>
      <c r="G29" s="193">
        <f t="shared" si="6"/>
        <v>90.318789</v>
      </c>
      <c r="H29" s="194">
        <f t="shared" si="7"/>
        <v>90.318789</v>
      </c>
      <c r="I29" s="193">
        <v>1.0</v>
      </c>
      <c r="J29" s="195">
        <f t="shared" si="8"/>
        <v>90.318789</v>
      </c>
      <c r="K29" s="139"/>
      <c r="L29" s="178"/>
      <c r="M29" s="162"/>
      <c r="N29" s="162"/>
      <c r="O29" s="139"/>
      <c r="P29" s="139"/>
      <c r="Q29" s="178">
        <v>93.0</v>
      </c>
      <c r="R29" s="190">
        <v>29.0</v>
      </c>
      <c r="S29" s="178">
        <f t="shared" si="9"/>
        <v>1.93</v>
      </c>
      <c r="T29" s="162">
        <f t="shared" si="10"/>
        <v>1</v>
      </c>
      <c r="U29" s="162">
        <f t="shared" si="11"/>
        <v>1.93</v>
      </c>
      <c r="V29" s="191">
        <f t="shared" si="12"/>
        <v>90.318789</v>
      </c>
      <c r="W29" s="178">
        <f t="shared" ref="W29:X29" si="13">C29/100</f>
        <v>0.99</v>
      </c>
      <c r="X29" s="178">
        <f t="shared" si="13"/>
        <v>1.63</v>
      </c>
      <c r="Y29" s="178">
        <f t="shared" si="14"/>
        <v>1.93</v>
      </c>
      <c r="Z29" s="192">
        <f t="shared" si="15"/>
        <v>3.114441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3.0</v>
      </c>
      <c r="B30" s="193" t="s">
        <v>57</v>
      </c>
      <c r="C30" s="193">
        <v>103.0</v>
      </c>
      <c r="D30" s="193">
        <v>163.0</v>
      </c>
      <c r="E30" s="193">
        <v>2873.0</v>
      </c>
      <c r="F30" s="193">
        <f t="shared" si="5"/>
        <v>0</v>
      </c>
      <c r="G30" s="193">
        <f t="shared" si="6"/>
        <v>1398.809113</v>
      </c>
      <c r="H30" s="194">
        <f t="shared" si="7"/>
        <v>1398.809113</v>
      </c>
      <c r="I30" s="193">
        <v>1.0</v>
      </c>
      <c r="J30" s="195">
        <f t="shared" si="8"/>
        <v>1398.809113</v>
      </c>
      <c r="K30" s="139"/>
      <c r="L30" s="178">
        <f t="shared" ref="L30:L52" si="17">D30*25.4/1000</f>
        <v>4.1402</v>
      </c>
      <c r="M30" s="162">
        <f t="shared" ref="M30:M59" si="18">+I30</f>
        <v>1</v>
      </c>
      <c r="N30" s="162">
        <f t="shared" ref="N30:N52" si="19">M30*L30</f>
        <v>4.1402</v>
      </c>
      <c r="O30" s="139"/>
      <c r="P30" s="139"/>
      <c r="Q30" s="178">
        <v>1420.0</v>
      </c>
      <c r="R30" s="190">
        <v>29.0</v>
      </c>
      <c r="S30" s="178">
        <f t="shared" si="9"/>
        <v>28.73</v>
      </c>
      <c r="T30" s="162">
        <f t="shared" si="10"/>
        <v>1</v>
      </c>
      <c r="U30" s="162">
        <f t="shared" si="11"/>
        <v>28.73</v>
      </c>
      <c r="V30" s="191">
        <f t="shared" si="12"/>
        <v>1398.809113</v>
      </c>
      <c r="W30" s="178">
        <f t="shared" ref="W30:X30" si="16">C30/100</f>
        <v>1.03</v>
      </c>
      <c r="X30" s="178">
        <f t="shared" si="16"/>
        <v>1.63</v>
      </c>
      <c r="Y30" s="178">
        <f t="shared" si="14"/>
        <v>28.73</v>
      </c>
      <c r="Z30" s="192">
        <f t="shared" si="15"/>
        <v>48.234797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4.0</v>
      </c>
      <c r="B31" s="193" t="s">
        <v>57</v>
      </c>
      <c r="C31" s="193">
        <v>103.0</v>
      </c>
      <c r="D31" s="193">
        <v>163.0</v>
      </c>
      <c r="E31" s="193">
        <v>2875.0</v>
      </c>
      <c r="F31" s="193">
        <f t="shared" si="5"/>
        <v>0</v>
      </c>
      <c r="G31" s="193">
        <f t="shared" si="6"/>
        <v>1399.782875</v>
      </c>
      <c r="H31" s="194">
        <f t="shared" si="7"/>
        <v>1399.782875</v>
      </c>
      <c r="I31" s="193">
        <v>1.0</v>
      </c>
      <c r="J31" s="195">
        <f t="shared" si="8"/>
        <v>1399.782875</v>
      </c>
      <c r="K31" s="139"/>
      <c r="L31" s="178">
        <f t="shared" si="17"/>
        <v>4.1402</v>
      </c>
      <c r="M31" s="162">
        <f t="shared" si="18"/>
        <v>1</v>
      </c>
      <c r="N31" s="162">
        <f t="shared" si="19"/>
        <v>4.1402</v>
      </c>
      <c r="O31" s="139"/>
      <c r="P31" s="139"/>
      <c r="Q31" s="178">
        <v>1440.0</v>
      </c>
      <c r="R31" s="190">
        <v>29.0</v>
      </c>
      <c r="S31" s="178">
        <f t="shared" si="9"/>
        <v>28.75</v>
      </c>
      <c r="T31" s="162">
        <f t="shared" si="10"/>
        <v>1</v>
      </c>
      <c r="U31" s="162">
        <f t="shared" si="11"/>
        <v>28.75</v>
      </c>
      <c r="V31" s="191">
        <f t="shared" si="12"/>
        <v>1399.782875</v>
      </c>
      <c r="W31" s="178">
        <f t="shared" ref="W31:X31" si="20">C31/100</f>
        <v>1.03</v>
      </c>
      <c r="X31" s="178">
        <f t="shared" si="20"/>
        <v>1.63</v>
      </c>
      <c r="Y31" s="178">
        <f t="shared" si="14"/>
        <v>28.75</v>
      </c>
      <c r="Z31" s="192">
        <f t="shared" si="15"/>
        <v>48.268375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5.0</v>
      </c>
      <c r="B32" s="193" t="s">
        <v>57</v>
      </c>
      <c r="C32" s="193">
        <v>100.0</v>
      </c>
      <c r="D32" s="193">
        <v>163.0</v>
      </c>
      <c r="E32" s="193">
        <v>2708.0</v>
      </c>
      <c r="F32" s="193">
        <f t="shared" si="5"/>
        <v>0</v>
      </c>
      <c r="G32" s="193">
        <f t="shared" si="6"/>
        <v>1280.0716</v>
      </c>
      <c r="H32" s="194">
        <f t="shared" si="7"/>
        <v>1280.0716</v>
      </c>
      <c r="I32" s="193">
        <v>1.0</v>
      </c>
      <c r="J32" s="195">
        <f t="shared" si="8"/>
        <v>1280.0716</v>
      </c>
      <c r="K32" s="139"/>
      <c r="L32" s="178">
        <f t="shared" si="17"/>
        <v>4.1402</v>
      </c>
      <c r="M32" s="162">
        <f t="shared" si="18"/>
        <v>1</v>
      </c>
      <c r="N32" s="162">
        <f t="shared" si="19"/>
        <v>4.1402</v>
      </c>
      <c r="O32" s="139"/>
      <c r="P32" s="139"/>
      <c r="Q32" s="178">
        <v>1300.0</v>
      </c>
      <c r="R32" s="190">
        <v>29.0</v>
      </c>
      <c r="S32" s="178">
        <f t="shared" si="9"/>
        <v>27.08</v>
      </c>
      <c r="T32" s="162">
        <f t="shared" si="10"/>
        <v>1</v>
      </c>
      <c r="U32" s="162">
        <f t="shared" si="11"/>
        <v>27.08</v>
      </c>
      <c r="V32" s="191">
        <f t="shared" si="12"/>
        <v>1280.0716</v>
      </c>
      <c r="W32" s="178">
        <f t="shared" ref="W32:X32" si="21">C32/100</f>
        <v>1</v>
      </c>
      <c r="X32" s="178">
        <f t="shared" si="21"/>
        <v>1.63</v>
      </c>
      <c r="Y32" s="178">
        <f t="shared" si="14"/>
        <v>27.08</v>
      </c>
      <c r="Z32" s="192">
        <f t="shared" si="15"/>
        <v>44.1404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6.0</v>
      </c>
      <c r="B33" s="193" t="s">
        <v>57</v>
      </c>
      <c r="C33" s="193">
        <v>103.0</v>
      </c>
      <c r="D33" s="193">
        <v>163.0</v>
      </c>
      <c r="E33" s="193">
        <v>2870.0</v>
      </c>
      <c r="F33" s="193">
        <f t="shared" si="5"/>
        <v>0</v>
      </c>
      <c r="G33" s="193">
        <f t="shared" si="6"/>
        <v>1397.34847</v>
      </c>
      <c r="H33" s="194">
        <f t="shared" si="7"/>
        <v>1397.34847</v>
      </c>
      <c r="I33" s="193">
        <v>1.0</v>
      </c>
      <c r="J33" s="195">
        <f t="shared" si="8"/>
        <v>1397.34847</v>
      </c>
      <c r="K33" s="139"/>
      <c r="L33" s="178">
        <f t="shared" si="17"/>
        <v>4.1402</v>
      </c>
      <c r="M33" s="162">
        <f t="shared" si="18"/>
        <v>1</v>
      </c>
      <c r="N33" s="162">
        <f t="shared" si="19"/>
        <v>4.1402</v>
      </c>
      <c r="O33" s="139"/>
      <c r="P33" s="139"/>
      <c r="Q33" s="178">
        <v>1405.0</v>
      </c>
      <c r="R33" s="190">
        <v>29.0</v>
      </c>
      <c r="S33" s="178">
        <f t="shared" si="9"/>
        <v>28.7</v>
      </c>
      <c r="T33" s="162">
        <f t="shared" si="10"/>
        <v>1</v>
      </c>
      <c r="U33" s="162">
        <f t="shared" si="11"/>
        <v>28.7</v>
      </c>
      <c r="V33" s="191">
        <f t="shared" si="12"/>
        <v>1397.34847</v>
      </c>
      <c r="W33" s="178">
        <f t="shared" ref="W33:X33" si="22">C33/100</f>
        <v>1.03</v>
      </c>
      <c r="X33" s="178">
        <f t="shared" si="22"/>
        <v>1.63</v>
      </c>
      <c r="Y33" s="178">
        <f t="shared" si="14"/>
        <v>28.7</v>
      </c>
      <c r="Z33" s="192">
        <f t="shared" si="15"/>
        <v>48.18443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7.0</v>
      </c>
      <c r="B34" s="183" t="s">
        <v>63</v>
      </c>
      <c r="C34" s="184">
        <v>93.0</v>
      </c>
      <c r="D34" s="184">
        <v>195.0</v>
      </c>
      <c r="E34" s="184">
        <v>182.0</v>
      </c>
      <c r="F34" s="184">
        <f t="shared" si="5"/>
        <v>0.8</v>
      </c>
      <c r="G34" s="184">
        <f t="shared" si="6"/>
        <v>99.0171</v>
      </c>
      <c r="H34" s="185">
        <f t="shared" si="7"/>
        <v>79.21368</v>
      </c>
      <c r="I34" s="184">
        <v>1.0</v>
      </c>
      <c r="J34" s="186">
        <f t="shared" si="8"/>
        <v>79.21368</v>
      </c>
      <c r="K34" s="187"/>
      <c r="L34" s="188">
        <f t="shared" si="17"/>
        <v>4.953</v>
      </c>
      <c r="M34" s="189">
        <f t="shared" si="18"/>
        <v>1</v>
      </c>
      <c r="N34" s="189">
        <f t="shared" si="19"/>
        <v>4.953</v>
      </c>
      <c r="O34" s="187"/>
      <c r="P34" s="187"/>
      <c r="Q34" s="188">
        <v>101.0</v>
      </c>
      <c r="R34" s="190">
        <v>30.0</v>
      </c>
      <c r="S34" s="178">
        <f t="shared" si="9"/>
        <v>1.82</v>
      </c>
      <c r="T34" s="162">
        <f t="shared" si="10"/>
        <v>1</v>
      </c>
      <c r="U34" s="162">
        <f t="shared" si="11"/>
        <v>1.82</v>
      </c>
      <c r="V34" s="191">
        <f t="shared" si="12"/>
        <v>99.0171</v>
      </c>
      <c r="W34" s="178">
        <f t="shared" ref="W34:X34" si="23">C34/100</f>
        <v>0.93</v>
      </c>
      <c r="X34" s="178">
        <f t="shared" si="23"/>
        <v>1.95</v>
      </c>
      <c r="Y34" s="178">
        <f t="shared" si="14"/>
        <v>1.82</v>
      </c>
      <c r="Z34" s="192">
        <f t="shared" si="15"/>
        <v>3.30057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8.0</v>
      </c>
      <c r="B35" s="193" t="s">
        <v>55</v>
      </c>
      <c r="C35" s="193">
        <v>99.0</v>
      </c>
      <c r="D35" s="193">
        <v>195.0</v>
      </c>
      <c r="E35" s="193">
        <v>202.0</v>
      </c>
      <c r="F35" s="193">
        <f t="shared" si="5"/>
        <v>0</v>
      </c>
      <c r="G35" s="193">
        <f t="shared" si="6"/>
        <v>116.9883</v>
      </c>
      <c r="H35" s="194">
        <f t="shared" si="7"/>
        <v>116.9883</v>
      </c>
      <c r="I35" s="193">
        <v>1.0</v>
      </c>
      <c r="J35" s="195">
        <f t="shared" si="8"/>
        <v>116.9883</v>
      </c>
      <c r="K35" s="139"/>
      <c r="L35" s="178">
        <f t="shared" si="17"/>
        <v>4.953</v>
      </c>
      <c r="M35" s="162">
        <f t="shared" si="18"/>
        <v>1</v>
      </c>
      <c r="N35" s="162">
        <f t="shared" si="19"/>
        <v>4.953</v>
      </c>
      <c r="O35" s="139"/>
      <c r="P35" s="139"/>
      <c r="Q35" s="178">
        <v>120.0</v>
      </c>
      <c r="R35" s="190">
        <v>30.0</v>
      </c>
      <c r="S35" s="178">
        <f t="shared" si="9"/>
        <v>2.02</v>
      </c>
      <c r="T35" s="162">
        <f t="shared" si="10"/>
        <v>1</v>
      </c>
      <c r="U35" s="162">
        <f t="shared" si="11"/>
        <v>2.02</v>
      </c>
      <c r="V35" s="191">
        <f t="shared" si="12"/>
        <v>116.9883</v>
      </c>
      <c r="W35" s="178">
        <f t="shared" ref="W35:X35" si="24">C35/100</f>
        <v>0.99</v>
      </c>
      <c r="X35" s="178">
        <f t="shared" si="24"/>
        <v>1.95</v>
      </c>
      <c r="Y35" s="178">
        <f t="shared" si="14"/>
        <v>2.02</v>
      </c>
      <c r="Z35" s="192">
        <f t="shared" si="15"/>
        <v>3.89961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9.0</v>
      </c>
      <c r="B36" s="193" t="s">
        <v>55</v>
      </c>
      <c r="C36" s="193">
        <v>100.0</v>
      </c>
      <c r="D36" s="193">
        <v>195.0</v>
      </c>
      <c r="E36" s="193">
        <v>2879.0</v>
      </c>
      <c r="F36" s="193">
        <f t="shared" si="5"/>
        <v>0</v>
      </c>
      <c r="G36" s="193">
        <f t="shared" si="6"/>
        <v>1684.215</v>
      </c>
      <c r="H36" s="194">
        <f t="shared" si="7"/>
        <v>1684.215</v>
      </c>
      <c r="I36" s="193">
        <v>1.0</v>
      </c>
      <c r="J36" s="195">
        <f t="shared" si="8"/>
        <v>1684.215</v>
      </c>
      <c r="K36" s="139"/>
      <c r="L36" s="178">
        <f t="shared" si="17"/>
        <v>4.953</v>
      </c>
      <c r="M36" s="162">
        <f t="shared" si="18"/>
        <v>1</v>
      </c>
      <c r="N36" s="162">
        <f t="shared" si="19"/>
        <v>4.953</v>
      </c>
      <c r="O36" s="139"/>
      <c r="P36" s="139"/>
      <c r="Q36" s="178">
        <v>1690.0</v>
      </c>
      <c r="R36" s="190">
        <v>30.0</v>
      </c>
      <c r="S36" s="178">
        <f t="shared" si="9"/>
        <v>28.79</v>
      </c>
      <c r="T36" s="162">
        <f t="shared" si="10"/>
        <v>1</v>
      </c>
      <c r="U36" s="162">
        <f t="shared" si="11"/>
        <v>28.79</v>
      </c>
      <c r="V36" s="191">
        <f t="shared" si="12"/>
        <v>1684.215</v>
      </c>
      <c r="W36" s="178">
        <f t="shared" ref="W36:X36" si="25">C36/100</f>
        <v>1</v>
      </c>
      <c r="X36" s="178">
        <f t="shared" si="25"/>
        <v>1.95</v>
      </c>
      <c r="Y36" s="178">
        <f t="shared" si="14"/>
        <v>28.79</v>
      </c>
      <c r="Z36" s="192">
        <f t="shared" si="15"/>
        <v>56.1405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10.0</v>
      </c>
      <c r="B37" s="193" t="s">
        <v>55</v>
      </c>
      <c r="C37" s="193">
        <v>100.0</v>
      </c>
      <c r="D37" s="193">
        <v>195.0</v>
      </c>
      <c r="E37" s="193">
        <v>2876.0</v>
      </c>
      <c r="F37" s="193">
        <f t="shared" si="5"/>
        <v>0</v>
      </c>
      <c r="G37" s="193">
        <f t="shared" si="6"/>
        <v>1682.46</v>
      </c>
      <c r="H37" s="194">
        <f t="shared" si="7"/>
        <v>1682.46</v>
      </c>
      <c r="I37" s="193">
        <v>1.0</v>
      </c>
      <c r="J37" s="195">
        <f t="shared" si="8"/>
        <v>1682.46</v>
      </c>
      <c r="K37" s="139"/>
      <c r="L37" s="178">
        <f t="shared" si="17"/>
        <v>4.953</v>
      </c>
      <c r="M37" s="162">
        <f t="shared" si="18"/>
        <v>1</v>
      </c>
      <c r="N37" s="162">
        <f t="shared" si="19"/>
        <v>4.953</v>
      </c>
      <c r="O37" s="139"/>
      <c r="P37" s="139"/>
      <c r="Q37" s="178">
        <v>1700.0</v>
      </c>
      <c r="R37" s="190">
        <v>30.0</v>
      </c>
      <c r="S37" s="178">
        <f t="shared" si="9"/>
        <v>28.76</v>
      </c>
      <c r="T37" s="162">
        <f t="shared" si="10"/>
        <v>1</v>
      </c>
      <c r="U37" s="162">
        <f t="shared" si="11"/>
        <v>28.76</v>
      </c>
      <c r="V37" s="191">
        <f t="shared" si="12"/>
        <v>1682.46</v>
      </c>
      <c r="W37" s="178">
        <f t="shared" ref="W37:X37" si="26">C37/100</f>
        <v>1</v>
      </c>
      <c r="X37" s="178">
        <f t="shared" si="26"/>
        <v>1.95</v>
      </c>
      <c r="Y37" s="178">
        <f t="shared" si="14"/>
        <v>28.76</v>
      </c>
      <c r="Z37" s="192">
        <f t="shared" si="15"/>
        <v>56.082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11.0</v>
      </c>
      <c r="B38" s="193" t="s">
        <v>55</v>
      </c>
      <c r="C38" s="193">
        <v>99.0</v>
      </c>
      <c r="D38" s="193">
        <v>195.0</v>
      </c>
      <c r="E38" s="193">
        <v>2510.0</v>
      </c>
      <c r="F38" s="193">
        <f t="shared" si="5"/>
        <v>0</v>
      </c>
      <c r="G38" s="193">
        <f t="shared" si="6"/>
        <v>1453.6665</v>
      </c>
      <c r="H38" s="194">
        <f t="shared" si="7"/>
        <v>1453.6665</v>
      </c>
      <c r="I38" s="193">
        <v>1.0</v>
      </c>
      <c r="J38" s="195">
        <f t="shared" si="8"/>
        <v>1453.6665</v>
      </c>
      <c r="K38" s="139"/>
      <c r="L38" s="178">
        <f t="shared" si="17"/>
        <v>4.953</v>
      </c>
      <c r="M38" s="162">
        <f t="shared" si="18"/>
        <v>1</v>
      </c>
      <c r="N38" s="162">
        <f t="shared" si="19"/>
        <v>4.953</v>
      </c>
      <c r="O38" s="139"/>
      <c r="P38" s="139"/>
      <c r="Q38" s="178">
        <v>1470.0</v>
      </c>
      <c r="R38" s="190">
        <v>30.0</v>
      </c>
      <c r="S38" s="178">
        <f t="shared" si="9"/>
        <v>25.1</v>
      </c>
      <c r="T38" s="162">
        <f t="shared" si="10"/>
        <v>1</v>
      </c>
      <c r="U38" s="162">
        <f t="shared" si="11"/>
        <v>25.1</v>
      </c>
      <c r="V38" s="191">
        <f t="shared" si="12"/>
        <v>1453.6665</v>
      </c>
      <c r="W38" s="178">
        <f t="shared" ref="W38:X38" si="27">C38/100</f>
        <v>0.99</v>
      </c>
      <c r="X38" s="178">
        <f t="shared" si="27"/>
        <v>1.95</v>
      </c>
      <c r="Y38" s="178">
        <f t="shared" si="14"/>
        <v>25.1</v>
      </c>
      <c r="Z38" s="192">
        <f t="shared" si="15"/>
        <v>48.45555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12.0</v>
      </c>
      <c r="B39" s="183" t="s">
        <v>94</v>
      </c>
      <c r="C39" s="184">
        <v>90.0</v>
      </c>
      <c r="D39" s="184">
        <v>202.0</v>
      </c>
      <c r="E39" s="184">
        <v>189.0</v>
      </c>
      <c r="F39" s="184">
        <f t="shared" si="5"/>
        <v>0.8</v>
      </c>
      <c r="G39" s="184">
        <f t="shared" si="6"/>
        <v>99.64458</v>
      </c>
      <c r="H39" s="185">
        <f t="shared" si="7"/>
        <v>79.715664</v>
      </c>
      <c r="I39" s="184">
        <v>1.0</v>
      </c>
      <c r="J39" s="186">
        <f t="shared" si="8"/>
        <v>79.715664</v>
      </c>
      <c r="K39" s="187"/>
      <c r="L39" s="188">
        <f t="shared" si="17"/>
        <v>5.1308</v>
      </c>
      <c r="M39" s="189">
        <f t="shared" si="18"/>
        <v>1</v>
      </c>
      <c r="N39" s="189">
        <f t="shared" si="19"/>
        <v>5.1308</v>
      </c>
      <c r="O39" s="187"/>
      <c r="P39" s="187"/>
      <c r="Q39" s="188">
        <v>104.0</v>
      </c>
      <c r="R39" s="190">
        <v>29.0</v>
      </c>
      <c r="S39" s="178">
        <f t="shared" si="9"/>
        <v>1.89</v>
      </c>
      <c r="T39" s="162">
        <f t="shared" si="10"/>
        <v>1</v>
      </c>
      <c r="U39" s="162">
        <f t="shared" si="11"/>
        <v>1.89</v>
      </c>
      <c r="V39" s="191">
        <f t="shared" si="12"/>
        <v>99.64458</v>
      </c>
      <c r="W39" s="178">
        <f t="shared" ref="W39:X39" si="28">C39/100</f>
        <v>0.9</v>
      </c>
      <c r="X39" s="178">
        <f t="shared" si="28"/>
        <v>2.02</v>
      </c>
      <c r="Y39" s="178">
        <f t="shared" si="14"/>
        <v>1.89</v>
      </c>
      <c r="Z39" s="192">
        <f t="shared" si="15"/>
        <v>3.43602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13.0</v>
      </c>
      <c r="B40" s="193" t="s">
        <v>57</v>
      </c>
      <c r="C40" s="193">
        <v>95.0</v>
      </c>
      <c r="D40" s="193">
        <v>202.0</v>
      </c>
      <c r="E40" s="193">
        <v>215.0</v>
      </c>
      <c r="F40" s="193">
        <f t="shared" si="5"/>
        <v>0</v>
      </c>
      <c r="G40" s="193">
        <f t="shared" si="6"/>
        <v>119.64965</v>
      </c>
      <c r="H40" s="194">
        <f t="shared" si="7"/>
        <v>119.64965</v>
      </c>
      <c r="I40" s="193">
        <v>1.0</v>
      </c>
      <c r="J40" s="195">
        <f t="shared" si="8"/>
        <v>119.64965</v>
      </c>
      <c r="K40" s="139"/>
      <c r="L40" s="178">
        <f t="shared" si="17"/>
        <v>5.1308</v>
      </c>
      <c r="M40" s="162">
        <f t="shared" si="18"/>
        <v>1</v>
      </c>
      <c r="N40" s="162">
        <f t="shared" si="19"/>
        <v>5.1308</v>
      </c>
      <c r="O40" s="139"/>
      <c r="P40" s="139"/>
      <c r="Q40" s="178">
        <v>126.0</v>
      </c>
      <c r="R40" s="190">
        <v>29.0</v>
      </c>
      <c r="S40" s="178">
        <f t="shared" si="9"/>
        <v>2.15</v>
      </c>
      <c r="T40" s="162">
        <f t="shared" si="10"/>
        <v>1</v>
      </c>
      <c r="U40" s="162">
        <f t="shared" si="11"/>
        <v>2.15</v>
      </c>
      <c r="V40" s="191">
        <f t="shared" si="12"/>
        <v>119.64965</v>
      </c>
      <c r="W40" s="178">
        <f t="shared" ref="W40:X40" si="29">C40/100</f>
        <v>0.95</v>
      </c>
      <c r="X40" s="178">
        <f t="shared" si="29"/>
        <v>2.02</v>
      </c>
      <c r="Y40" s="178">
        <f t="shared" si="14"/>
        <v>2.15</v>
      </c>
      <c r="Z40" s="192">
        <f t="shared" si="15"/>
        <v>4.12585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14.0</v>
      </c>
      <c r="B41" s="193" t="s">
        <v>57</v>
      </c>
      <c r="C41" s="193">
        <v>95.0</v>
      </c>
      <c r="D41" s="193">
        <v>202.0</v>
      </c>
      <c r="E41" s="193">
        <v>206.0</v>
      </c>
      <c r="F41" s="193">
        <f t="shared" si="5"/>
        <v>0</v>
      </c>
      <c r="G41" s="193">
        <f t="shared" si="6"/>
        <v>114.64106</v>
      </c>
      <c r="H41" s="194">
        <f t="shared" si="7"/>
        <v>114.64106</v>
      </c>
      <c r="I41" s="193">
        <v>1.0</v>
      </c>
      <c r="J41" s="195">
        <f t="shared" si="8"/>
        <v>114.64106</v>
      </c>
      <c r="K41" s="139"/>
      <c r="L41" s="178">
        <f t="shared" si="17"/>
        <v>5.1308</v>
      </c>
      <c r="M41" s="162">
        <f t="shared" si="18"/>
        <v>1</v>
      </c>
      <c r="N41" s="162">
        <f t="shared" si="19"/>
        <v>5.1308</v>
      </c>
      <c r="O41" s="139"/>
      <c r="P41" s="139"/>
      <c r="Q41" s="178">
        <v>122.0</v>
      </c>
      <c r="R41" s="190">
        <v>29.0</v>
      </c>
      <c r="S41" s="178">
        <f t="shared" si="9"/>
        <v>2.06</v>
      </c>
      <c r="T41" s="162">
        <f t="shared" si="10"/>
        <v>1</v>
      </c>
      <c r="U41" s="162">
        <f t="shared" si="11"/>
        <v>2.06</v>
      </c>
      <c r="V41" s="191">
        <f t="shared" si="12"/>
        <v>114.64106</v>
      </c>
      <c r="W41" s="178">
        <f t="shared" ref="W41:X41" si="30">C41/100</f>
        <v>0.95</v>
      </c>
      <c r="X41" s="178">
        <f t="shared" si="30"/>
        <v>2.02</v>
      </c>
      <c r="Y41" s="178">
        <f t="shared" si="14"/>
        <v>2.06</v>
      </c>
      <c r="Z41" s="192">
        <f t="shared" si="15"/>
        <v>3.95314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15.0</v>
      </c>
      <c r="B42" s="193" t="s">
        <v>57</v>
      </c>
      <c r="C42" s="193">
        <v>102.0</v>
      </c>
      <c r="D42" s="193">
        <v>202.0</v>
      </c>
      <c r="E42" s="193">
        <v>2881.0</v>
      </c>
      <c r="F42" s="193">
        <f t="shared" si="5"/>
        <v>0</v>
      </c>
      <c r="G42" s="193">
        <f t="shared" si="6"/>
        <v>1721.443596</v>
      </c>
      <c r="H42" s="194">
        <f t="shared" si="7"/>
        <v>1721.443596</v>
      </c>
      <c r="I42" s="193">
        <v>1.0</v>
      </c>
      <c r="J42" s="195">
        <f t="shared" si="8"/>
        <v>1721.443596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1715.0</v>
      </c>
      <c r="R42" s="190">
        <v>29.0</v>
      </c>
      <c r="S42" s="178">
        <f t="shared" si="9"/>
        <v>28.81</v>
      </c>
      <c r="T42" s="162">
        <f t="shared" si="10"/>
        <v>1</v>
      </c>
      <c r="U42" s="162">
        <f t="shared" si="11"/>
        <v>28.81</v>
      </c>
      <c r="V42" s="191">
        <f t="shared" si="12"/>
        <v>1721.443596</v>
      </c>
      <c r="W42" s="178">
        <f t="shared" ref="W42:X42" si="31">C42/100</f>
        <v>1.02</v>
      </c>
      <c r="X42" s="178">
        <f t="shared" si="31"/>
        <v>2.02</v>
      </c>
      <c r="Y42" s="178">
        <f t="shared" si="14"/>
        <v>28.81</v>
      </c>
      <c r="Z42" s="192">
        <f t="shared" si="15"/>
        <v>59.360124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16.0</v>
      </c>
      <c r="B43" s="193" t="s">
        <v>57</v>
      </c>
      <c r="C43" s="193">
        <v>101.0</v>
      </c>
      <c r="D43" s="193">
        <v>202.0</v>
      </c>
      <c r="E43" s="193">
        <v>2885.0</v>
      </c>
      <c r="F43" s="193">
        <f t="shared" si="5"/>
        <v>0</v>
      </c>
      <c r="G43" s="193">
        <f t="shared" si="6"/>
        <v>1706.93333</v>
      </c>
      <c r="H43" s="194">
        <f t="shared" si="7"/>
        <v>1706.93333</v>
      </c>
      <c r="I43" s="193">
        <v>1.0</v>
      </c>
      <c r="J43" s="195">
        <f t="shared" si="8"/>
        <v>1706.93333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1725.0</v>
      </c>
      <c r="R43" s="190">
        <v>29.0</v>
      </c>
      <c r="S43" s="178">
        <f t="shared" si="9"/>
        <v>28.85</v>
      </c>
      <c r="T43" s="162">
        <f t="shared" si="10"/>
        <v>1</v>
      </c>
      <c r="U43" s="162">
        <f t="shared" si="11"/>
        <v>28.85</v>
      </c>
      <c r="V43" s="191">
        <f t="shared" si="12"/>
        <v>1706.93333</v>
      </c>
      <c r="W43" s="178">
        <f t="shared" ref="W43:X43" si="32">C43/100</f>
        <v>1.01</v>
      </c>
      <c r="X43" s="178">
        <f t="shared" si="32"/>
        <v>2.02</v>
      </c>
      <c r="Y43" s="178">
        <f t="shared" si="14"/>
        <v>28.85</v>
      </c>
      <c r="Z43" s="192">
        <f t="shared" si="15"/>
        <v>58.85977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17.0</v>
      </c>
      <c r="B44" s="193" t="s">
        <v>57</v>
      </c>
      <c r="C44" s="193">
        <v>101.0</v>
      </c>
      <c r="D44" s="193">
        <v>202.0</v>
      </c>
      <c r="E44" s="193">
        <v>2880.0</v>
      </c>
      <c r="F44" s="193">
        <f t="shared" si="5"/>
        <v>0</v>
      </c>
      <c r="G44" s="193">
        <f t="shared" si="6"/>
        <v>1703.97504</v>
      </c>
      <c r="H44" s="194">
        <f t="shared" si="7"/>
        <v>1703.97504</v>
      </c>
      <c r="I44" s="193">
        <v>1.0</v>
      </c>
      <c r="J44" s="195">
        <f t="shared" si="8"/>
        <v>1703.97504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1690.0</v>
      </c>
      <c r="R44" s="190">
        <v>29.0</v>
      </c>
      <c r="S44" s="178">
        <f t="shared" si="9"/>
        <v>28.8</v>
      </c>
      <c r="T44" s="162">
        <f t="shared" si="10"/>
        <v>1</v>
      </c>
      <c r="U44" s="162">
        <f t="shared" si="11"/>
        <v>28.8</v>
      </c>
      <c r="V44" s="191">
        <f t="shared" si="12"/>
        <v>1703.97504</v>
      </c>
      <c r="W44" s="178">
        <f t="shared" ref="W44:X44" si="33">C44/100</f>
        <v>1.01</v>
      </c>
      <c r="X44" s="178">
        <f t="shared" si="33"/>
        <v>2.02</v>
      </c>
      <c r="Y44" s="178">
        <f t="shared" si="14"/>
        <v>28.8</v>
      </c>
      <c r="Z44" s="192">
        <f t="shared" si="15"/>
        <v>58.75776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18.0</v>
      </c>
      <c r="B45" s="193" t="s">
        <v>57</v>
      </c>
      <c r="C45" s="193">
        <v>101.0</v>
      </c>
      <c r="D45" s="193">
        <v>202.0</v>
      </c>
      <c r="E45" s="193">
        <v>2882.0</v>
      </c>
      <c r="F45" s="193">
        <f t="shared" si="5"/>
        <v>0</v>
      </c>
      <c r="G45" s="193">
        <f t="shared" si="6"/>
        <v>1705.158356</v>
      </c>
      <c r="H45" s="194">
        <f t="shared" si="7"/>
        <v>1705.158356</v>
      </c>
      <c r="I45" s="193">
        <v>1.0</v>
      </c>
      <c r="J45" s="195">
        <f t="shared" si="8"/>
        <v>1705.158356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1710.0</v>
      </c>
      <c r="R45" s="190">
        <v>29.0</v>
      </c>
      <c r="S45" s="178">
        <f t="shared" si="9"/>
        <v>28.82</v>
      </c>
      <c r="T45" s="162">
        <f t="shared" si="10"/>
        <v>1</v>
      </c>
      <c r="U45" s="162">
        <f t="shared" si="11"/>
        <v>28.82</v>
      </c>
      <c r="V45" s="191">
        <f t="shared" si="12"/>
        <v>1705.158356</v>
      </c>
      <c r="W45" s="178">
        <f t="shared" ref="W45:X45" si="34">C45/100</f>
        <v>1.01</v>
      </c>
      <c r="X45" s="178">
        <f t="shared" si="34"/>
        <v>2.02</v>
      </c>
      <c r="Y45" s="178">
        <f t="shared" si="14"/>
        <v>28.82</v>
      </c>
      <c r="Z45" s="192">
        <f t="shared" si="15"/>
        <v>58.798564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19.0</v>
      </c>
      <c r="B46" s="193" t="s">
        <v>57</v>
      </c>
      <c r="C46" s="193">
        <v>99.0</v>
      </c>
      <c r="D46" s="193">
        <v>202.0</v>
      </c>
      <c r="E46" s="193">
        <v>2661.0</v>
      </c>
      <c r="F46" s="193">
        <f t="shared" si="5"/>
        <v>0</v>
      </c>
      <c r="G46" s="193">
        <f t="shared" si="6"/>
        <v>1543.225662</v>
      </c>
      <c r="H46" s="194">
        <f t="shared" si="7"/>
        <v>1543.225662</v>
      </c>
      <c r="I46" s="193">
        <v>1.0</v>
      </c>
      <c r="J46" s="195">
        <f t="shared" si="8"/>
        <v>1543.225662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1555.0</v>
      </c>
      <c r="R46" s="190">
        <v>29.0</v>
      </c>
      <c r="S46" s="178">
        <f t="shared" si="9"/>
        <v>26.61</v>
      </c>
      <c r="T46" s="162">
        <f t="shared" si="10"/>
        <v>1</v>
      </c>
      <c r="U46" s="162">
        <f t="shared" si="11"/>
        <v>26.61</v>
      </c>
      <c r="V46" s="191">
        <f t="shared" si="12"/>
        <v>1543.225662</v>
      </c>
      <c r="W46" s="178">
        <f t="shared" ref="W46:X46" si="35">C46/100</f>
        <v>0.99</v>
      </c>
      <c r="X46" s="178">
        <f t="shared" si="35"/>
        <v>2.02</v>
      </c>
      <c r="Y46" s="178">
        <f t="shared" si="14"/>
        <v>26.61</v>
      </c>
      <c r="Z46" s="192">
        <f t="shared" si="15"/>
        <v>53.214678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20.0</v>
      </c>
      <c r="B47" s="193" t="s">
        <v>57</v>
      </c>
      <c r="C47" s="193">
        <v>99.0</v>
      </c>
      <c r="D47" s="193">
        <v>202.0</v>
      </c>
      <c r="E47" s="193">
        <v>2877.0</v>
      </c>
      <c r="F47" s="193">
        <f t="shared" si="5"/>
        <v>0</v>
      </c>
      <c r="G47" s="193">
        <f t="shared" si="6"/>
        <v>1668.493134</v>
      </c>
      <c r="H47" s="194">
        <f t="shared" si="7"/>
        <v>1668.493134</v>
      </c>
      <c r="I47" s="193">
        <v>1.0</v>
      </c>
      <c r="J47" s="195">
        <f t="shared" si="8"/>
        <v>1668.493134</v>
      </c>
      <c r="K47" s="139"/>
      <c r="L47" s="178">
        <f t="shared" si="17"/>
        <v>5.1308</v>
      </c>
      <c r="M47" s="162">
        <f t="shared" si="18"/>
        <v>1</v>
      </c>
      <c r="N47" s="162">
        <f t="shared" si="19"/>
        <v>5.1308</v>
      </c>
      <c r="O47" s="139"/>
      <c r="P47" s="139"/>
      <c r="Q47" s="178">
        <v>1675.0</v>
      </c>
      <c r="R47" s="190">
        <v>29.0</v>
      </c>
      <c r="S47" s="178">
        <f t="shared" si="9"/>
        <v>28.77</v>
      </c>
      <c r="T47" s="162">
        <f t="shared" si="10"/>
        <v>1</v>
      </c>
      <c r="U47" s="162">
        <f t="shared" si="11"/>
        <v>28.77</v>
      </c>
      <c r="V47" s="191">
        <f t="shared" si="12"/>
        <v>1668.493134</v>
      </c>
      <c r="W47" s="178">
        <f t="shared" ref="W47:X47" si="36">C47/100</f>
        <v>0.99</v>
      </c>
      <c r="X47" s="178">
        <f t="shared" si="36"/>
        <v>2.02</v>
      </c>
      <c r="Y47" s="178">
        <f t="shared" si="14"/>
        <v>28.77</v>
      </c>
      <c r="Z47" s="192">
        <f t="shared" si="15"/>
        <v>57.534246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21.0</v>
      </c>
      <c r="B48" s="193" t="s">
        <v>57</v>
      </c>
      <c r="C48" s="193">
        <v>99.0</v>
      </c>
      <c r="D48" s="193">
        <v>202.0</v>
      </c>
      <c r="E48" s="193">
        <v>2877.0</v>
      </c>
      <c r="F48" s="193">
        <f t="shared" si="5"/>
        <v>0</v>
      </c>
      <c r="G48" s="193">
        <f t="shared" si="6"/>
        <v>1668.493134</v>
      </c>
      <c r="H48" s="194">
        <f t="shared" si="7"/>
        <v>1668.493134</v>
      </c>
      <c r="I48" s="193">
        <v>1.0</v>
      </c>
      <c r="J48" s="195">
        <f t="shared" si="8"/>
        <v>1668.493134</v>
      </c>
      <c r="K48" s="139"/>
      <c r="L48" s="178">
        <f t="shared" si="17"/>
        <v>5.1308</v>
      </c>
      <c r="M48" s="162">
        <f t="shared" si="18"/>
        <v>1</v>
      </c>
      <c r="N48" s="162">
        <f t="shared" si="19"/>
        <v>5.1308</v>
      </c>
      <c r="O48" s="139"/>
      <c r="P48" s="139"/>
      <c r="Q48" s="178">
        <v>1675.0</v>
      </c>
      <c r="R48" s="190">
        <v>29.0</v>
      </c>
      <c r="S48" s="178">
        <f t="shared" si="9"/>
        <v>28.77</v>
      </c>
      <c r="T48" s="162">
        <f t="shared" si="10"/>
        <v>1</v>
      </c>
      <c r="U48" s="162">
        <f t="shared" si="11"/>
        <v>28.77</v>
      </c>
      <c r="V48" s="191">
        <f t="shared" si="12"/>
        <v>1668.493134</v>
      </c>
      <c r="W48" s="178">
        <f t="shared" ref="W48:X48" si="37">C48/100</f>
        <v>0.99</v>
      </c>
      <c r="X48" s="178">
        <f t="shared" si="37"/>
        <v>2.02</v>
      </c>
      <c r="Y48" s="178">
        <f t="shared" si="14"/>
        <v>28.77</v>
      </c>
      <c r="Z48" s="192">
        <f t="shared" si="15"/>
        <v>57.534246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22.0</v>
      </c>
      <c r="B49" s="196" t="s">
        <v>55</v>
      </c>
      <c r="C49" s="193">
        <v>94.0</v>
      </c>
      <c r="D49" s="193">
        <v>206.0</v>
      </c>
      <c r="E49" s="193">
        <v>2886.0</v>
      </c>
      <c r="F49" s="193">
        <f t="shared" si="5"/>
        <v>0</v>
      </c>
      <c r="G49" s="193">
        <f t="shared" si="6"/>
        <v>1732.419624</v>
      </c>
      <c r="H49" s="194">
        <f t="shared" si="7"/>
        <v>1732.419624</v>
      </c>
      <c r="I49" s="193">
        <v>1.0</v>
      </c>
      <c r="J49" s="195">
        <f t="shared" si="8"/>
        <v>1732.419624</v>
      </c>
      <c r="K49" s="139"/>
      <c r="L49" s="178">
        <f t="shared" si="17"/>
        <v>5.2324</v>
      </c>
      <c r="M49" s="162">
        <f t="shared" si="18"/>
        <v>1</v>
      </c>
      <c r="N49" s="162">
        <f t="shared" si="19"/>
        <v>5.2324</v>
      </c>
      <c r="O49" s="139"/>
      <c r="P49" s="139"/>
      <c r="Q49" s="178">
        <v>1730.0</v>
      </c>
      <c r="R49" s="190">
        <v>31.0</v>
      </c>
      <c r="S49" s="178">
        <f t="shared" si="9"/>
        <v>28.86</v>
      </c>
      <c r="T49" s="162">
        <f t="shared" si="10"/>
        <v>1</v>
      </c>
      <c r="U49" s="162">
        <f t="shared" si="11"/>
        <v>28.86</v>
      </c>
      <c r="V49" s="191">
        <f t="shared" si="12"/>
        <v>1732.419624</v>
      </c>
      <c r="W49" s="178">
        <f t="shared" ref="W49:X49" si="38">C49/100</f>
        <v>0.94</v>
      </c>
      <c r="X49" s="178">
        <f t="shared" si="38"/>
        <v>2.06</v>
      </c>
      <c r="Y49" s="178">
        <f t="shared" si="14"/>
        <v>28.86</v>
      </c>
      <c r="Z49" s="192">
        <f t="shared" si="15"/>
        <v>55.884504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23.0</v>
      </c>
      <c r="B50" s="272" t="s">
        <v>95</v>
      </c>
      <c r="C50" s="272">
        <v>95.0</v>
      </c>
      <c r="D50" s="272">
        <v>206.0</v>
      </c>
      <c r="E50" s="272">
        <v>202.0</v>
      </c>
      <c r="F50" s="272">
        <f t="shared" si="5"/>
        <v>0.5</v>
      </c>
      <c r="G50" s="272">
        <f t="shared" si="6"/>
        <v>122.54734</v>
      </c>
      <c r="H50" s="273">
        <f t="shared" si="7"/>
        <v>61.27367</v>
      </c>
      <c r="I50" s="272">
        <v>1.0</v>
      </c>
      <c r="J50" s="274">
        <f t="shared" si="8"/>
        <v>61.27367</v>
      </c>
      <c r="K50" s="275"/>
      <c r="L50" s="276">
        <f t="shared" si="17"/>
        <v>5.2324</v>
      </c>
      <c r="M50" s="277">
        <f t="shared" si="18"/>
        <v>1</v>
      </c>
      <c r="N50" s="277">
        <f t="shared" si="19"/>
        <v>5.2324</v>
      </c>
      <c r="O50" s="275"/>
      <c r="P50" s="275"/>
      <c r="Q50" s="276">
        <v>122.0</v>
      </c>
      <c r="R50" s="190">
        <v>31.0</v>
      </c>
      <c r="S50" s="178">
        <f t="shared" si="9"/>
        <v>2.02</v>
      </c>
      <c r="T50" s="162">
        <f t="shared" si="10"/>
        <v>1</v>
      </c>
      <c r="U50" s="162">
        <f t="shared" si="11"/>
        <v>2.02</v>
      </c>
      <c r="V50" s="191">
        <f t="shared" si="12"/>
        <v>122.54734</v>
      </c>
      <c r="W50" s="178">
        <f t="shared" ref="W50:X50" si="39">C50/100</f>
        <v>0.95</v>
      </c>
      <c r="X50" s="178">
        <f t="shared" si="39"/>
        <v>2.06</v>
      </c>
      <c r="Y50" s="178">
        <f t="shared" si="14"/>
        <v>2.02</v>
      </c>
      <c r="Z50" s="192">
        <f t="shared" si="15"/>
        <v>3.95314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24.0</v>
      </c>
      <c r="B51" s="183" t="s">
        <v>175</v>
      </c>
      <c r="C51" s="184">
        <v>80.0</v>
      </c>
      <c r="D51" s="184">
        <v>191.0</v>
      </c>
      <c r="E51" s="184">
        <v>185.0</v>
      </c>
      <c r="F51" s="184">
        <f t="shared" si="5"/>
        <v>0.8</v>
      </c>
      <c r="G51" s="184">
        <f t="shared" si="6"/>
        <v>45.2288</v>
      </c>
      <c r="H51" s="185">
        <f t="shared" si="7"/>
        <v>36.18304</v>
      </c>
      <c r="I51" s="184">
        <v>1.0</v>
      </c>
      <c r="J51" s="186">
        <f t="shared" si="8"/>
        <v>36.18304</v>
      </c>
      <c r="K51" s="187"/>
      <c r="L51" s="188">
        <f t="shared" si="17"/>
        <v>4.8514</v>
      </c>
      <c r="M51" s="189">
        <f t="shared" si="18"/>
        <v>1</v>
      </c>
      <c r="N51" s="189">
        <f t="shared" si="19"/>
        <v>4.8514</v>
      </c>
      <c r="O51" s="187"/>
      <c r="P51" s="187"/>
      <c r="Q51" s="188">
        <v>50.0</v>
      </c>
      <c r="R51" s="190">
        <v>16.0</v>
      </c>
      <c r="S51" s="178">
        <f t="shared" si="9"/>
        <v>1.85</v>
      </c>
      <c r="T51" s="162">
        <f t="shared" si="10"/>
        <v>1</v>
      </c>
      <c r="U51" s="162">
        <f t="shared" si="11"/>
        <v>1.85</v>
      </c>
      <c r="V51" s="191">
        <f t="shared" si="12"/>
        <v>45.2288</v>
      </c>
      <c r="W51" s="178">
        <f t="shared" ref="W51:X51" si="40">C51/100</f>
        <v>0.8</v>
      </c>
      <c r="X51" s="178">
        <f t="shared" si="40"/>
        <v>1.91</v>
      </c>
      <c r="Y51" s="178">
        <f t="shared" si="14"/>
        <v>1.85</v>
      </c>
      <c r="Z51" s="192">
        <f t="shared" si="15"/>
        <v>2.8268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25.0</v>
      </c>
      <c r="B52" s="193" t="s">
        <v>59</v>
      </c>
      <c r="C52" s="193">
        <v>100.0</v>
      </c>
      <c r="D52" s="193">
        <v>191.0</v>
      </c>
      <c r="E52" s="193">
        <v>208.0</v>
      </c>
      <c r="F52" s="193">
        <f t="shared" si="5"/>
        <v>0</v>
      </c>
      <c r="G52" s="193">
        <f t="shared" si="6"/>
        <v>63.5648</v>
      </c>
      <c r="H52" s="194">
        <f t="shared" si="7"/>
        <v>63.5648</v>
      </c>
      <c r="I52" s="193">
        <v>1.0</v>
      </c>
      <c r="J52" s="195">
        <f t="shared" si="8"/>
        <v>63.5648</v>
      </c>
      <c r="K52" s="139"/>
      <c r="L52" s="178">
        <f t="shared" si="17"/>
        <v>4.8514</v>
      </c>
      <c r="M52" s="162">
        <f t="shared" si="18"/>
        <v>1</v>
      </c>
      <c r="N52" s="162">
        <f t="shared" si="19"/>
        <v>4.8514</v>
      </c>
      <c r="O52" s="139"/>
      <c r="P52" s="139"/>
      <c r="Q52" s="178">
        <v>63.0</v>
      </c>
      <c r="R52" s="190">
        <v>16.0</v>
      </c>
      <c r="S52" s="178">
        <f t="shared" si="9"/>
        <v>2.08</v>
      </c>
      <c r="T52" s="162">
        <f t="shared" si="10"/>
        <v>1</v>
      </c>
      <c r="U52" s="162">
        <f t="shared" si="11"/>
        <v>2.08</v>
      </c>
      <c r="V52" s="191">
        <f t="shared" si="12"/>
        <v>63.5648</v>
      </c>
      <c r="W52" s="178">
        <f t="shared" ref="W52:X52" si="41">C52/100</f>
        <v>1</v>
      </c>
      <c r="X52" s="178">
        <f t="shared" si="41"/>
        <v>1.91</v>
      </c>
      <c r="Y52" s="178">
        <f t="shared" si="14"/>
        <v>2.08</v>
      </c>
      <c r="Z52" s="192">
        <f t="shared" si="15"/>
        <v>3.9728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26.0</v>
      </c>
      <c r="B53" s="193" t="s">
        <v>59</v>
      </c>
      <c r="C53" s="193">
        <v>105.0</v>
      </c>
      <c r="D53" s="193">
        <v>191.0</v>
      </c>
      <c r="E53" s="193">
        <v>2717.0</v>
      </c>
      <c r="F53" s="193">
        <f t="shared" si="5"/>
        <v>0</v>
      </c>
      <c r="G53" s="193">
        <f t="shared" si="6"/>
        <v>871.83096</v>
      </c>
      <c r="H53" s="194">
        <f t="shared" si="7"/>
        <v>871.83096</v>
      </c>
      <c r="I53" s="193">
        <v>1.0</v>
      </c>
      <c r="J53" s="195">
        <f t="shared" si="8"/>
        <v>871.83096</v>
      </c>
      <c r="K53" s="139"/>
      <c r="L53" s="197"/>
      <c r="M53" s="198">
        <f t="shared" si="18"/>
        <v>1</v>
      </c>
      <c r="N53" s="198"/>
      <c r="O53" s="139"/>
      <c r="P53" s="139"/>
      <c r="Q53" s="178">
        <v>845.0</v>
      </c>
      <c r="R53" s="190">
        <v>16.0</v>
      </c>
      <c r="S53" s="178">
        <f t="shared" si="9"/>
        <v>27.17</v>
      </c>
      <c r="T53" s="162">
        <f t="shared" si="10"/>
        <v>1</v>
      </c>
      <c r="U53" s="162">
        <f t="shared" si="11"/>
        <v>27.17</v>
      </c>
      <c r="V53" s="191">
        <f t="shared" si="12"/>
        <v>871.83096</v>
      </c>
      <c r="W53" s="178">
        <f t="shared" ref="W53:X53" si="42">C53/100</f>
        <v>1.05</v>
      </c>
      <c r="X53" s="178">
        <f t="shared" si="42"/>
        <v>1.91</v>
      </c>
      <c r="Y53" s="178">
        <f t="shared" si="14"/>
        <v>27.17</v>
      </c>
      <c r="Z53" s="192">
        <f t="shared" si="15"/>
        <v>54.489435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27.0</v>
      </c>
      <c r="B54" s="193" t="s">
        <v>59</v>
      </c>
      <c r="C54" s="193">
        <v>105.0</v>
      </c>
      <c r="D54" s="193">
        <v>191.0</v>
      </c>
      <c r="E54" s="193">
        <v>2862.0</v>
      </c>
      <c r="F54" s="193">
        <f t="shared" si="5"/>
        <v>0</v>
      </c>
      <c r="G54" s="193">
        <f t="shared" si="6"/>
        <v>918.35856</v>
      </c>
      <c r="H54" s="194">
        <f t="shared" si="7"/>
        <v>918.35856</v>
      </c>
      <c r="I54" s="193">
        <v>1.0</v>
      </c>
      <c r="J54" s="195">
        <f t="shared" si="8"/>
        <v>918.35856</v>
      </c>
      <c r="K54" s="139"/>
      <c r="L54" s="197"/>
      <c r="M54" s="198">
        <f t="shared" si="18"/>
        <v>1</v>
      </c>
      <c r="N54" s="198"/>
      <c r="O54" s="139"/>
      <c r="P54" s="139"/>
      <c r="Q54" s="178">
        <v>930.0</v>
      </c>
      <c r="R54" s="190">
        <v>16.0</v>
      </c>
      <c r="S54" s="178">
        <f t="shared" si="9"/>
        <v>28.62</v>
      </c>
      <c r="T54" s="162">
        <f t="shared" si="10"/>
        <v>1</v>
      </c>
      <c r="U54" s="162">
        <f t="shared" si="11"/>
        <v>28.62</v>
      </c>
      <c r="V54" s="191">
        <f t="shared" si="12"/>
        <v>918.35856</v>
      </c>
      <c r="W54" s="178">
        <f t="shared" ref="W54:X54" si="43">C54/100</f>
        <v>1.05</v>
      </c>
      <c r="X54" s="178">
        <f t="shared" si="43"/>
        <v>1.91</v>
      </c>
      <c r="Y54" s="178">
        <f t="shared" si="14"/>
        <v>28.62</v>
      </c>
      <c r="Z54" s="192">
        <f t="shared" si="15"/>
        <v>57.39741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28.0</v>
      </c>
      <c r="B55" s="183" t="s">
        <v>87</v>
      </c>
      <c r="C55" s="184">
        <v>70.0</v>
      </c>
      <c r="D55" s="184">
        <v>216.0</v>
      </c>
      <c r="E55" s="184">
        <v>175.0</v>
      </c>
      <c r="F55" s="184">
        <f t="shared" si="5"/>
        <v>0.8</v>
      </c>
      <c r="G55" s="184">
        <f t="shared" si="6"/>
        <v>60.858</v>
      </c>
      <c r="H55" s="185">
        <f t="shared" si="7"/>
        <v>48.6864</v>
      </c>
      <c r="I55" s="184">
        <v>1.0</v>
      </c>
      <c r="J55" s="186">
        <f t="shared" si="8"/>
        <v>48.6864</v>
      </c>
      <c r="K55" s="187"/>
      <c r="L55" s="188"/>
      <c r="M55" s="189">
        <f t="shared" si="18"/>
        <v>1</v>
      </c>
      <c r="N55" s="189"/>
      <c r="O55" s="187"/>
      <c r="P55" s="187"/>
      <c r="Q55" s="188">
        <v>72.0</v>
      </c>
      <c r="R55" s="190">
        <v>23.0</v>
      </c>
      <c r="S55" s="178">
        <f t="shared" si="9"/>
        <v>1.75</v>
      </c>
      <c r="T55" s="162">
        <f t="shared" si="10"/>
        <v>1</v>
      </c>
      <c r="U55" s="162">
        <f t="shared" si="11"/>
        <v>1.75</v>
      </c>
      <c r="V55" s="191">
        <f t="shared" si="12"/>
        <v>60.858</v>
      </c>
      <c r="W55" s="178">
        <f t="shared" ref="W55:X55" si="44">C55/100</f>
        <v>0.7</v>
      </c>
      <c r="X55" s="178">
        <f t="shared" si="44"/>
        <v>2.16</v>
      </c>
      <c r="Y55" s="178">
        <f t="shared" si="14"/>
        <v>1.75</v>
      </c>
      <c r="Z55" s="192">
        <f t="shared" si="15"/>
        <v>2.646</v>
      </c>
      <c r="AA55" s="139"/>
      <c r="AB55" s="139"/>
      <c r="AC55" s="139"/>
      <c r="AD55" s="294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29.0</v>
      </c>
      <c r="B56" s="193" t="s">
        <v>80</v>
      </c>
      <c r="C56" s="193">
        <v>93.0</v>
      </c>
      <c r="D56" s="193">
        <v>216.0</v>
      </c>
      <c r="E56" s="193">
        <v>203.0</v>
      </c>
      <c r="F56" s="193">
        <f t="shared" si="5"/>
        <v>0</v>
      </c>
      <c r="G56" s="193">
        <f t="shared" si="6"/>
        <v>93.790872</v>
      </c>
      <c r="H56" s="194">
        <f t="shared" si="7"/>
        <v>93.790872</v>
      </c>
      <c r="I56" s="193">
        <v>1.0</v>
      </c>
      <c r="J56" s="195">
        <f t="shared" si="8"/>
        <v>93.790872</v>
      </c>
      <c r="K56" s="139"/>
      <c r="L56" s="197"/>
      <c r="M56" s="198">
        <f t="shared" si="18"/>
        <v>1</v>
      </c>
      <c r="N56" s="198"/>
      <c r="O56" s="139"/>
      <c r="P56" s="139"/>
      <c r="Q56" s="178">
        <v>101.0</v>
      </c>
      <c r="R56" s="190">
        <v>23.0</v>
      </c>
      <c r="S56" s="178">
        <f t="shared" si="9"/>
        <v>2.03</v>
      </c>
      <c r="T56" s="162">
        <f t="shared" si="10"/>
        <v>1</v>
      </c>
      <c r="U56" s="162">
        <f t="shared" si="11"/>
        <v>2.03</v>
      </c>
      <c r="V56" s="191">
        <f t="shared" si="12"/>
        <v>93.790872</v>
      </c>
      <c r="W56" s="178">
        <f t="shared" ref="W56:X56" si="45">C56/100</f>
        <v>0.93</v>
      </c>
      <c r="X56" s="178">
        <f t="shared" si="45"/>
        <v>2.16</v>
      </c>
      <c r="Y56" s="178">
        <f t="shared" si="14"/>
        <v>2.03</v>
      </c>
      <c r="Z56" s="192">
        <f t="shared" si="15"/>
        <v>4.077864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30.0</v>
      </c>
      <c r="B57" s="193" t="s">
        <v>80</v>
      </c>
      <c r="C57" s="193">
        <v>100.0</v>
      </c>
      <c r="D57" s="193">
        <v>216.0</v>
      </c>
      <c r="E57" s="193">
        <v>2872.0</v>
      </c>
      <c r="F57" s="193">
        <f t="shared" si="5"/>
        <v>0</v>
      </c>
      <c r="G57" s="193">
        <f t="shared" si="6"/>
        <v>1426.8096</v>
      </c>
      <c r="H57" s="194">
        <f t="shared" si="7"/>
        <v>1426.8096</v>
      </c>
      <c r="I57" s="193">
        <v>1.0</v>
      </c>
      <c r="J57" s="195">
        <f t="shared" si="8"/>
        <v>1426.8096</v>
      </c>
      <c r="K57" s="139"/>
      <c r="L57" s="197"/>
      <c r="M57" s="198">
        <f t="shared" si="18"/>
        <v>1</v>
      </c>
      <c r="N57" s="198"/>
      <c r="O57" s="139"/>
      <c r="P57" s="139"/>
      <c r="Q57" s="178">
        <v>1455.0</v>
      </c>
      <c r="R57" s="190">
        <v>23.0</v>
      </c>
      <c r="S57" s="178">
        <f t="shared" si="9"/>
        <v>28.72</v>
      </c>
      <c r="T57" s="162">
        <f t="shared" si="10"/>
        <v>1</v>
      </c>
      <c r="U57" s="162">
        <f t="shared" si="11"/>
        <v>28.72</v>
      </c>
      <c r="V57" s="191">
        <f t="shared" si="12"/>
        <v>1426.8096</v>
      </c>
      <c r="W57" s="178">
        <f t="shared" ref="W57:X57" si="46">C57/100</f>
        <v>1</v>
      </c>
      <c r="X57" s="178">
        <f t="shared" si="46"/>
        <v>2.16</v>
      </c>
      <c r="Y57" s="178">
        <f t="shared" si="14"/>
        <v>28.72</v>
      </c>
      <c r="Z57" s="192">
        <f t="shared" si="15"/>
        <v>62.0352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31.0</v>
      </c>
      <c r="B58" s="193" t="s">
        <v>80</v>
      </c>
      <c r="C58" s="193">
        <v>95.0</v>
      </c>
      <c r="D58" s="193">
        <v>216.0</v>
      </c>
      <c r="E58" s="193">
        <v>2845.0</v>
      </c>
      <c r="F58" s="193">
        <f t="shared" si="5"/>
        <v>0</v>
      </c>
      <c r="G58" s="193">
        <f t="shared" si="6"/>
        <v>1342.7262</v>
      </c>
      <c r="H58" s="194">
        <f t="shared" si="7"/>
        <v>1342.7262</v>
      </c>
      <c r="I58" s="193">
        <v>1.0</v>
      </c>
      <c r="J58" s="195">
        <f t="shared" si="8"/>
        <v>1342.7262</v>
      </c>
      <c r="K58" s="139"/>
      <c r="L58" s="197"/>
      <c r="M58" s="198">
        <f t="shared" si="18"/>
        <v>1</v>
      </c>
      <c r="N58" s="198"/>
      <c r="O58" s="139"/>
      <c r="P58" s="139"/>
      <c r="Q58" s="178">
        <v>1385.0</v>
      </c>
      <c r="R58" s="190">
        <v>23.0</v>
      </c>
      <c r="S58" s="178">
        <f t="shared" si="9"/>
        <v>28.45</v>
      </c>
      <c r="T58" s="162">
        <f t="shared" si="10"/>
        <v>1</v>
      </c>
      <c r="U58" s="162">
        <f t="shared" si="11"/>
        <v>28.45</v>
      </c>
      <c r="V58" s="191">
        <f t="shared" si="12"/>
        <v>1342.7262</v>
      </c>
      <c r="W58" s="178">
        <f t="shared" ref="W58:X58" si="47">C58/100</f>
        <v>0.95</v>
      </c>
      <c r="X58" s="178">
        <f t="shared" si="47"/>
        <v>2.16</v>
      </c>
      <c r="Y58" s="178">
        <f t="shared" si="14"/>
        <v>28.45</v>
      </c>
      <c r="Z58" s="192">
        <f t="shared" si="15"/>
        <v>58.3794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32.0</v>
      </c>
      <c r="B59" s="193" t="s">
        <v>80</v>
      </c>
      <c r="C59" s="193">
        <v>100.0</v>
      </c>
      <c r="D59" s="193">
        <v>216.0</v>
      </c>
      <c r="E59" s="193">
        <v>2096.0</v>
      </c>
      <c r="F59" s="193">
        <f t="shared" si="5"/>
        <v>0</v>
      </c>
      <c r="G59" s="193">
        <f t="shared" si="6"/>
        <v>1041.2928</v>
      </c>
      <c r="H59" s="194">
        <f t="shared" si="7"/>
        <v>1041.2928</v>
      </c>
      <c r="I59" s="193">
        <v>1.0</v>
      </c>
      <c r="J59" s="195">
        <f t="shared" si="8"/>
        <v>1041.2928</v>
      </c>
      <c r="K59" s="139"/>
      <c r="L59" s="197"/>
      <c r="M59" s="198">
        <f t="shared" si="18"/>
        <v>1</v>
      </c>
      <c r="N59" s="198"/>
      <c r="O59" s="139"/>
      <c r="P59" s="139"/>
      <c r="Q59" s="178">
        <v>1075.0</v>
      </c>
      <c r="R59" s="190">
        <v>23.0</v>
      </c>
      <c r="S59" s="178">
        <f t="shared" si="9"/>
        <v>20.96</v>
      </c>
      <c r="T59" s="162">
        <f t="shared" si="10"/>
        <v>1</v>
      </c>
      <c r="U59" s="162">
        <f t="shared" si="11"/>
        <v>20.96</v>
      </c>
      <c r="V59" s="191">
        <f t="shared" si="12"/>
        <v>1041.2928</v>
      </c>
      <c r="W59" s="178">
        <f t="shared" ref="W59:X59" si="48">C59/100</f>
        <v>1</v>
      </c>
      <c r="X59" s="178">
        <f t="shared" si="48"/>
        <v>2.16</v>
      </c>
      <c r="Y59" s="178">
        <f t="shared" si="14"/>
        <v>20.96</v>
      </c>
      <c r="Z59" s="192">
        <f t="shared" si="15"/>
        <v>45.2736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hidden="1" customHeight="1">
      <c r="A60" s="162">
        <v>101.0</v>
      </c>
      <c r="B60" s="193"/>
      <c r="C60" s="193"/>
      <c r="D60" s="193"/>
      <c r="E60" s="193"/>
      <c r="F60" s="193">
        <f t="shared" si="5"/>
        <v>0</v>
      </c>
      <c r="G60" s="193">
        <f t="shared" si="6"/>
        <v>0</v>
      </c>
      <c r="H60" s="194">
        <f t="shared" si="7"/>
        <v>0</v>
      </c>
      <c r="I60" s="193"/>
      <c r="J60" s="195">
        <f t="shared" si="8"/>
        <v>0</v>
      </c>
      <c r="K60" s="139"/>
      <c r="L60" s="197"/>
      <c r="M60" s="198"/>
      <c r="N60" s="198"/>
      <c r="O60" s="139"/>
      <c r="P60" s="139"/>
      <c r="Q60" s="195"/>
      <c r="R60" s="141"/>
      <c r="S60" s="199">
        <f t="shared" si="9"/>
        <v>0</v>
      </c>
      <c r="T60" s="200" t="str">
        <f t="shared" si="10"/>
        <v/>
      </c>
      <c r="U60" s="200">
        <f t="shared" si="11"/>
        <v>0</v>
      </c>
      <c r="V60" s="203"/>
      <c r="W60" s="199">
        <f t="shared" ref="W60:X60" si="49">C60/100</f>
        <v>0</v>
      </c>
      <c r="X60" s="199">
        <f t="shared" si="49"/>
        <v>0</v>
      </c>
      <c r="Y60" s="199">
        <f t="shared" si="14"/>
        <v>0</v>
      </c>
      <c r="Z60" s="202">
        <f t="shared" si="15"/>
        <v>0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hidden="1" customHeight="1">
      <c r="A61" s="162">
        <v>102.0</v>
      </c>
      <c r="B61" s="193"/>
      <c r="C61" s="193"/>
      <c r="D61" s="193"/>
      <c r="E61" s="193"/>
      <c r="F61" s="193">
        <f t="shared" si="5"/>
        <v>0</v>
      </c>
      <c r="G61" s="193">
        <f t="shared" si="6"/>
        <v>0</v>
      </c>
      <c r="H61" s="194">
        <f t="shared" si="7"/>
        <v>0</v>
      </c>
      <c r="I61" s="193"/>
      <c r="J61" s="195">
        <f t="shared" si="8"/>
        <v>0</v>
      </c>
      <c r="K61" s="139"/>
      <c r="L61" s="197"/>
      <c r="M61" s="198"/>
      <c r="N61" s="198"/>
      <c r="O61" s="139"/>
      <c r="P61" s="139"/>
      <c r="Q61" s="195"/>
      <c r="R61" s="141"/>
      <c r="S61" s="199">
        <f t="shared" si="9"/>
        <v>0</v>
      </c>
      <c r="T61" s="200" t="str">
        <f t="shared" si="10"/>
        <v/>
      </c>
      <c r="U61" s="200">
        <f t="shared" si="11"/>
        <v>0</v>
      </c>
      <c r="V61" s="203"/>
      <c r="W61" s="199">
        <f t="shared" ref="W61:X61" si="50">C61/100</f>
        <v>0</v>
      </c>
      <c r="X61" s="199">
        <f t="shared" si="50"/>
        <v>0</v>
      </c>
      <c r="Y61" s="199">
        <f t="shared" si="14"/>
        <v>0</v>
      </c>
      <c r="Z61" s="202">
        <f t="shared" si="15"/>
        <v>0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103.0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1">C62/100</f>
        <v>0</v>
      </c>
      <c r="X62" s="199">
        <f t="shared" si="51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104.0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2">C63/100</f>
        <v>0</v>
      </c>
      <c r="X63" s="199">
        <f t="shared" si="52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105.0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3">C64/100</f>
        <v>0</v>
      </c>
      <c r="X64" s="199">
        <f t="shared" si="53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106.0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4">C65/100</f>
        <v>0</v>
      </c>
      <c r="X65" s="199">
        <f t="shared" si="54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107.0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5">C66/100</f>
        <v>0</v>
      </c>
      <c r="X66" s="199">
        <f t="shared" si="55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108.0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6">C67/100</f>
        <v>0</v>
      </c>
      <c r="X67" s="199">
        <f t="shared" si="56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109.0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7">C68/100</f>
        <v>0</v>
      </c>
      <c r="X68" s="199">
        <f t="shared" si="57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110.0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8">C69/100</f>
        <v>0</v>
      </c>
      <c r="X69" s="199">
        <f t="shared" si="58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111.0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9">C70/100</f>
        <v>0</v>
      </c>
      <c r="X70" s="199">
        <f t="shared" si="59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112.0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0">C71/100</f>
        <v>0</v>
      </c>
      <c r="X71" s="199">
        <f t="shared" si="60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113.0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1">C72/100</f>
        <v>0</v>
      </c>
      <c r="X72" s="199">
        <f t="shared" si="61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114.0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2">C73/100</f>
        <v>0</v>
      </c>
      <c r="X73" s="199">
        <f t="shared" si="62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115.0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3">C74/100</f>
        <v>0</v>
      </c>
      <c r="X74" s="199">
        <f t="shared" si="63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116.0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4">C75/100</f>
        <v>0</v>
      </c>
      <c r="X75" s="199">
        <f t="shared" si="64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117.0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5">C76/100</f>
        <v>0</v>
      </c>
      <c r="X76" s="199">
        <f t="shared" si="65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118.0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6">C77/100</f>
        <v>0</v>
      </c>
      <c r="X77" s="199">
        <f t="shared" si="66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119.0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7">C78/100</f>
        <v>0</v>
      </c>
      <c r="X78" s="199">
        <f t="shared" si="67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120.0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8">C79/100</f>
        <v>0</v>
      </c>
      <c r="X79" s="199">
        <f t="shared" si="68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121.0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9">C80/100</f>
        <v>0</v>
      </c>
      <c r="X80" s="199">
        <f t="shared" si="69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122.0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0">C81/100</f>
        <v>0</v>
      </c>
      <c r="X81" s="199">
        <f t="shared" si="70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123.0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1">C82/100</f>
        <v>0</v>
      </c>
      <c r="X82" s="199">
        <f t="shared" si="71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124.0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2">C83/100</f>
        <v>0</v>
      </c>
      <c r="X83" s="199">
        <f t="shared" si="72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125.0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3">C84/100</f>
        <v>0</v>
      </c>
      <c r="X84" s="199">
        <f t="shared" si="73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126.0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4">C85/100</f>
        <v>0</v>
      </c>
      <c r="X85" s="199">
        <f t="shared" si="74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127.0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5">C86/100</f>
        <v>0</v>
      </c>
      <c r="X86" s="199">
        <f t="shared" si="75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128.0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6">C87/100</f>
        <v>0</v>
      </c>
      <c r="X87" s="199">
        <f t="shared" si="76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129.0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7">C88/100</f>
        <v>0</v>
      </c>
      <c r="X88" s="199">
        <f t="shared" si="77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130.0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8">C89/100</f>
        <v>0</v>
      </c>
      <c r="X89" s="199">
        <f t="shared" si="78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131.0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9">C90/100</f>
        <v>0</v>
      </c>
      <c r="X90" s="199">
        <f t="shared" si="79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132.0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0">C91/100</f>
        <v>0</v>
      </c>
      <c r="X91" s="199">
        <f t="shared" si="80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133.0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1">C92/100</f>
        <v>0</v>
      </c>
      <c r="X92" s="199">
        <f t="shared" si="81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134.0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2">C93/100</f>
        <v>0</v>
      </c>
      <c r="X93" s="199">
        <f t="shared" si="82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135.0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3">C94/100</f>
        <v>0</v>
      </c>
      <c r="X94" s="199">
        <f t="shared" si="83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136.0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4">C95/100</f>
        <v>0</v>
      </c>
      <c r="X95" s="199">
        <f t="shared" si="84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137.0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5">C96/100</f>
        <v>0</v>
      </c>
      <c r="X96" s="199">
        <f t="shared" si="85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138.0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6">C97/100</f>
        <v>0</v>
      </c>
      <c r="X97" s="199">
        <f t="shared" si="86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139.0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7">C98/100</f>
        <v>0</v>
      </c>
      <c r="X98" s="199">
        <f t="shared" si="87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140.0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8">C99/100</f>
        <v>0</v>
      </c>
      <c r="X99" s="199">
        <f t="shared" si="88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141.0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9">C100/100</f>
        <v>0</v>
      </c>
      <c r="X100" s="199">
        <f t="shared" si="89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142.0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0">C101/100</f>
        <v>0</v>
      </c>
      <c r="X101" s="199">
        <f t="shared" si="90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143.0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1">C102/100</f>
        <v>0</v>
      </c>
      <c r="X102" s="199">
        <f t="shared" si="91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144.0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2">C103/100</f>
        <v>0</v>
      </c>
      <c r="X103" s="199">
        <f t="shared" si="92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145.0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3">C104/100</f>
        <v>0</v>
      </c>
      <c r="X104" s="199">
        <f t="shared" si="93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146.0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4">C105/100</f>
        <v>0</v>
      </c>
      <c r="X105" s="199">
        <f t="shared" si="94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147.0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5">C106/100</f>
        <v>0</v>
      </c>
      <c r="X106" s="199">
        <f t="shared" si="95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148.0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6">C107/100</f>
        <v>0</v>
      </c>
      <c r="X107" s="199">
        <f t="shared" si="96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149.0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7">C108/100</f>
        <v>0</v>
      </c>
      <c r="X108" s="199">
        <f t="shared" si="97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150.0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8">C109/100</f>
        <v>0</v>
      </c>
      <c r="X109" s="199">
        <f t="shared" si="98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151.0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9">C110/100</f>
        <v>0</v>
      </c>
      <c r="X110" s="199">
        <f t="shared" si="99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152.0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0">C111/100</f>
        <v>0</v>
      </c>
      <c r="X111" s="199">
        <f t="shared" si="100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153.0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1">C112/100</f>
        <v>0</v>
      </c>
      <c r="X112" s="199">
        <f t="shared" si="101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154.0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2">C113/100</f>
        <v>0</v>
      </c>
      <c r="X113" s="199">
        <f t="shared" si="102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155.0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3">C114/100</f>
        <v>0</v>
      </c>
      <c r="X114" s="199">
        <f t="shared" si="103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156.0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4">C115/100</f>
        <v>0</v>
      </c>
      <c r="X115" s="199">
        <f t="shared" si="104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157.0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5">C116/100</f>
        <v>0</v>
      </c>
      <c r="X116" s="199">
        <f t="shared" si="105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158.0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6">C117/100</f>
        <v>0</v>
      </c>
      <c r="X117" s="199">
        <f t="shared" si="106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159.0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7">C118/100</f>
        <v>0</v>
      </c>
      <c r="X118" s="199">
        <f t="shared" si="107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160.0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8">C119/100</f>
        <v>0</v>
      </c>
      <c r="X119" s="199">
        <f t="shared" si="108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161.0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9">C120/100</f>
        <v>0</v>
      </c>
      <c r="X120" s="199">
        <f t="shared" si="109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162.0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0">C121/100</f>
        <v>0</v>
      </c>
      <c r="X121" s="199">
        <f t="shared" si="110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163.0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1">C122/100</f>
        <v>0</v>
      </c>
      <c r="X122" s="199">
        <f t="shared" si="111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164.0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2">C123/100</f>
        <v>0</v>
      </c>
      <c r="X123" s="199">
        <f t="shared" si="112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165.0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3">C124/100</f>
        <v>0</v>
      </c>
      <c r="X124" s="199">
        <f t="shared" si="113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166.0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4">C125/100</f>
        <v>0</v>
      </c>
      <c r="X125" s="199">
        <f t="shared" si="114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167.0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5">C126/100</f>
        <v>0</v>
      </c>
      <c r="X126" s="199">
        <f t="shared" si="115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168.0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6">C127/100</f>
        <v>0</v>
      </c>
      <c r="X127" s="199">
        <f t="shared" si="116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169.0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7">C128/100</f>
        <v>0</v>
      </c>
      <c r="X128" s="199">
        <f t="shared" si="117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170.0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8">C129/100</f>
        <v>0</v>
      </c>
      <c r="X129" s="199">
        <f t="shared" si="118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171.0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9">C130/100</f>
        <v>0</v>
      </c>
      <c r="X130" s="199">
        <f t="shared" si="119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172.0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0">C131/100</f>
        <v>0</v>
      </c>
      <c r="X131" s="199">
        <f t="shared" si="120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173.0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1">C132/100</f>
        <v>0</v>
      </c>
      <c r="X132" s="199">
        <f t="shared" si="121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174.0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2">C133/100</f>
        <v>0</v>
      </c>
      <c r="X133" s="199">
        <f t="shared" si="122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175.0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3">C134/100</f>
        <v>0</v>
      </c>
      <c r="X134" s="199">
        <f t="shared" si="123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176.0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4">C135/100</f>
        <v>0</v>
      </c>
      <c r="X135" s="199">
        <f t="shared" si="124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177.0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5">C136/100</f>
        <v>0</v>
      </c>
      <c r="X136" s="199">
        <f t="shared" si="125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178.0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6">C137/100</f>
        <v>0</v>
      </c>
      <c r="X137" s="199">
        <f t="shared" si="126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179.0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7">C138/100</f>
        <v>0</v>
      </c>
      <c r="X138" s="199">
        <f t="shared" si="127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180.0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8">C139/100</f>
        <v>0</v>
      </c>
      <c r="X139" s="199">
        <f t="shared" si="128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181.0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9">C140/100</f>
        <v>0</v>
      </c>
      <c r="X140" s="199">
        <f t="shared" si="129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182.0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0">C141/100</f>
        <v>0</v>
      </c>
      <c r="X141" s="199">
        <f t="shared" si="130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183.0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1">C142/100</f>
        <v>0</v>
      </c>
      <c r="X142" s="199">
        <f t="shared" si="131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184.0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2">C143/100</f>
        <v>0</v>
      </c>
      <c r="X143" s="199">
        <f t="shared" si="132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185.0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3">C144/100</f>
        <v>0</v>
      </c>
      <c r="X144" s="199">
        <f t="shared" si="133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186.0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4">C145/100</f>
        <v>0</v>
      </c>
      <c r="X145" s="199">
        <f t="shared" si="134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187.0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5">C146/100</f>
        <v>0</v>
      </c>
      <c r="X146" s="199">
        <f t="shared" si="135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188.0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6">C147/100</f>
        <v>0</v>
      </c>
      <c r="X147" s="199">
        <f t="shared" si="136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189.0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7">C148/100</f>
        <v>0</v>
      </c>
      <c r="X148" s="199">
        <f t="shared" si="137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190.0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8">C149/100</f>
        <v>0</v>
      </c>
      <c r="X149" s="199">
        <f t="shared" si="138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191.0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9">C150/100</f>
        <v>0</v>
      </c>
      <c r="X150" s="199">
        <f t="shared" si="139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192.0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0">C151/100</f>
        <v>0</v>
      </c>
      <c r="X151" s="199">
        <f t="shared" si="140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193.0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1">C152/100</f>
        <v>0</v>
      </c>
      <c r="X152" s="199">
        <f t="shared" si="141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194.0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2">C153/100</f>
        <v>0</v>
      </c>
      <c r="X153" s="199">
        <f t="shared" si="142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195.0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3">C154/100</f>
        <v>0</v>
      </c>
      <c r="X154" s="199">
        <f t="shared" si="143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196.0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4">C155/100</f>
        <v>0</v>
      </c>
      <c r="X155" s="199">
        <f t="shared" si="144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197.0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5">C156/100</f>
        <v>0</v>
      </c>
      <c r="X156" s="199">
        <f t="shared" si="145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198.0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6">C157/100</f>
        <v>0</v>
      </c>
      <c r="X157" s="199">
        <f t="shared" si="146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199.0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7">C158/100</f>
        <v>0</v>
      </c>
      <c r="X158" s="199">
        <f t="shared" si="147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200.0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8">C159/100</f>
        <v>0</v>
      </c>
      <c r="X159" s="199">
        <f t="shared" si="148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201.0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9">C160/100</f>
        <v>0</v>
      </c>
      <c r="X160" s="199">
        <f t="shared" si="149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202.0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0">C161/100</f>
        <v>0</v>
      </c>
      <c r="X161" s="199">
        <f t="shared" si="150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203.0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1">C162/100</f>
        <v>0</v>
      </c>
      <c r="X162" s="199">
        <f t="shared" si="151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204.0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2">C163/100</f>
        <v>0</v>
      </c>
      <c r="X163" s="199">
        <f t="shared" si="152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205.0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3">C164/100</f>
        <v>0</v>
      </c>
      <c r="X164" s="199">
        <f t="shared" si="153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206.0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4">C165/100</f>
        <v>0</v>
      </c>
      <c r="X165" s="199">
        <f t="shared" si="154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207.0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5">C166/100</f>
        <v>0</v>
      </c>
      <c r="X166" s="199">
        <f t="shared" si="155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208.0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6">C167/100</f>
        <v>0</v>
      </c>
      <c r="X167" s="199">
        <f t="shared" si="156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209.0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7">C168/100</f>
        <v>0</v>
      </c>
      <c r="X168" s="199">
        <f t="shared" si="157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210.0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8">C169/100</f>
        <v>0</v>
      </c>
      <c r="X169" s="199">
        <f t="shared" si="158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211.0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9">C170/100</f>
        <v>0</v>
      </c>
      <c r="X170" s="199">
        <f t="shared" si="159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212.0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0">C171/100</f>
        <v>0</v>
      </c>
      <c r="X171" s="199">
        <f t="shared" si="160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213.0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1">C172/100</f>
        <v>0</v>
      </c>
      <c r="X172" s="199">
        <f t="shared" si="161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214.0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2">C173/100</f>
        <v>0</v>
      </c>
      <c r="X173" s="199">
        <f t="shared" si="162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215.0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3">C174/100</f>
        <v>0</v>
      </c>
      <c r="X174" s="199">
        <f t="shared" si="163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216.0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4">C175/100</f>
        <v>0</v>
      </c>
      <c r="X175" s="199">
        <f t="shared" si="164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217.0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5">C176/100</f>
        <v>0</v>
      </c>
      <c r="X176" s="199">
        <f t="shared" si="165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customHeight="1">
      <c r="A177" s="162"/>
      <c r="B177" s="178"/>
      <c r="C177" s="178"/>
      <c r="D177" s="178"/>
      <c r="E177" s="178"/>
      <c r="F177" s="178"/>
      <c r="G177" s="178"/>
      <c r="H177" s="181"/>
      <c r="I177" s="162"/>
      <c r="J177" s="204">
        <f>+Q233</f>
        <v>127.6</v>
      </c>
      <c r="K177" s="139"/>
      <c r="L177" s="139"/>
      <c r="M177" s="139"/>
      <c r="N177" s="139"/>
      <c r="O177" s="139"/>
      <c r="P177" s="139"/>
      <c r="Q177" s="139"/>
      <c r="R177" s="205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6">C177/100</f>
        <v>0</v>
      </c>
      <c r="X177" s="199">
        <f t="shared" si="166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customHeight="1">
      <c r="A178" s="162"/>
      <c r="B178" s="206"/>
      <c r="C178" s="206"/>
      <c r="D178" s="206"/>
      <c r="E178" s="206"/>
      <c r="F178" s="206"/>
      <c r="G178" s="206"/>
      <c r="H178" s="207"/>
      <c r="I178" s="208">
        <f>SUM(I28:I176)</f>
        <v>32</v>
      </c>
      <c r="J178" s="209">
        <f>SUM(J28:J177)</f>
        <v>30448.34276</v>
      </c>
      <c r="K178" s="210"/>
      <c r="L178" s="210"/>
      <c r="M178" s="210"/>
      <c r="N178" s="210"/>
      <c r="O178" s="210"/>
      <c r="P178" s="210"/>
      <c r="Q178" s="210"/>
      <c r="R178" s="141"/>
      <c r="S178" s="210">
        <f>SUMIFS($T$28:$T$176,$S$28:$S$176,"&gt;=3")</f>
        <v>20</v>
      </c>
      <c r="T178" s="210">
        <f t="shared" ref="T178:U178" si="167">SUM(T28:T176)</f>
        <v>32</v>
      </c>
      <c r="U178" s="210">
        <f t="shared" si="167"/>
        <v>581.55</v>
      </c>
      <c r="V178" s="210"/>
      <c r="W178" s="210"/>
      <c r="X178" s="210"/>
      <c r="Y178" s="210"/>
      <c r="Z178" s="211">
        <f>SUM(Z28:Z177)</f>
        <v>1129.314124</v>
      </c>
      <c r="AA178" s="210"/>
      <c r="AB178" s="210"/>
      <c r="AC178" s="210"/>
      <c r="AD178" s="210"/>
      <c r="AE178" s="210"/>
      <c r="AF178" s="210"/>
      <c r="AG178" s="210"/>
      <c r="AH178" s="210"/>
      <c r="AI178" s="210"/>
      <c r="AJ178" s="210"/>
      <c r="AK178" s="210"/>
      <c r="AL178" s="210"/>
      <c r="AM178" s="210"/>
      <c r="AN178" s="210"/>
      <c r="AO178" s="210"/>
      <c r="AP178" s="210"/>
      <c r="AQ178" s="210"/>
      <c r="AR178" s="210"/>
      <c r="AS178" s="210"/>
      <c r="AT178" s="210"/>
    </row>
    <row r="179" ht="29.25" customHeight="1">
      <c r="A179" s="139"/>
      <c r="B179" s="139"/>
      <c r="C179" s="139"/>
      <c r="D179" s="139"/>
      <c r="E179" s="139"/>
      <c r="F179" s="139"/>
      <c r="G179" s="139"/>
      <c r="H179" s="140"/>
      <c r="I179" s="139"/>
      <c r="J179" s="139"/>
      <c r="K179" s="139"/>
      <c r="L179" s="139"/>
      <c r="M179" s="139"/>
      <c r="N179" s="139"/>
      <c r="O179" s="139"/>
      <c r="P179" s="139"/>
      <c r="Q179" s="139"/>
      <c r="R179" s="141"/>
      <c r="S179" s="203"/>
      <c r="T179" s="139">
        <f>+T178-S178</f>
        <v>12</v>
      </c>
      <c r="U179" s="139"/>
      <c r="V179" s="139"/>
      <c r="W179" s="139"/>
      <c r="X179" s="139"/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9.25" customHeight="1">
      <c r="A180" s="139"/>
      <c r="B180" s="139"/>
      <c r="C180" s="139"/>
      <c r="D180" s="139"/>
      <c r="E180" s="139"/>
      <c r="F180" s="139"/>
      <c r="G180" s="139"/>
      <c r="H180" s="140"/>
      <c r="I180" s="139"/>
      <c r="J180" s="139"/>
      <c r="K180" s="139"/>
      <c r="L180" s="139"/>
      <c r="M180" s="139"/>
      <c r="N180" s="139"/>
      <c r="O180" s="139"/>
      <c r="P180" s="139"/>
      <c r="Q180" s="139"/>
      <c r="R180" s="205"/>
      <c r="S180" s="139"/>
      <c r="T180" s="139" t="s">
        <v>48</v>
      </c>
      <c r="U180" s="139" t="s">
        <v>68</v>
      </c>
      <c r="V180" s="139"/>
      <c r="W180" s="139"/>
      <c r="X180" s="139"/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139" t="s">
        <v>31</v>
      </c>
      <c r="T181" s="212">
        <f>SUMIFS($J$28:$J$176,$S$28:$S$176,"&gt;=3")</f>
        <v>29347.51355</v>
      </c>
      <c r="U181" s="213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 t="s">
        <v>32</v>
      </c>
      <c r="B182" s="139"/>
      <c r="C182" s="139"/>
      <c r="D182" s="139" t="s">
        <v>33</v>
      </c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141"/>
      <c r="S182" s="139" t="s">
        <v>34</v>
      </c>
      <c r="T182" s="266">
        <f>J178-T181</f>
        <v>1100.829205</v>
      </c>
      <c r="U182" s="213">
        <f>+SUMIFS($U$28:$U$176,$S$28:$S$176,"&gt;=3")</f>
        <v>558.12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205"/>
      <c r="S183" s="139"/>
      <c r="T183" s="214">
        <f>+I178</f>
        <v>32</v>
      </c>
      <c r="U183" s="139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39.0" customHeight="1">
      <c r="A184" s="178"/>
      <c r="B184" s="162" t="s">
        <v>12</v>
      </c>
      <c r="C184" s="179" t="s">
        <v>69</v>
      </c>
      <c r="D184" s="52"/>
      <c r="E184" s="53"/>
      <c r="F184" s="180"/>
      <c r="G184" s="180"/>
      <c r="H184" s="181" t="s">
        <v>14</v>
      </c>
      <c r="I184" s="162" t="s">
        <v>15</v>
      </c>
      <c r="J184" s="162" t="s">
        <v>16</v>
      </c>
      <c r="K184" s="139"/>
      <c r="L184" s="139"/>
      <c r="M184" s="139"/>
      <c r="N184" s="139"/>
      <c r="O184" s="139"/>
      <c r="P184" s="139"/>
      <c r="Q184" s="139"/>
      <c r="R184" s="141"/>
      <c r="S184" s="139"/>
      <c r="T184" s="139"/>
      <c r="U184" s="139"/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customHeight="1">
      <c r="A185" s="155">
        <v>1.0</v>
      </c>
      <c r="B185" s="215" t="s">
        <v>94</v>
      </c>
      <c r="C185" s="215">
        <v>100.0</v>
      </c>
      <c r="D185" s="215">
        <v>163.0</v>
      </c>
      <c r="E185" s="215">
        <v>183.0</v>
      </c>
      <c r="F185" s="215">
        <f t="shared" ref="F185:F188" si="168">1-VALUE(IF(RIGHT(B185, 1)="%", RIGHT(B185, 3), 0))</f>
        <v>0.2</v>
      </c>
      <c r="G185" s="215">
        <f t="shared" ref="G185:G188" si="169">+Q185*C185/100*D185/100*E185/100</f>
        <v>0</v>
      </c>
      <c r="H185" s="216">
        <f t="shared" ref="H185:H188" si="170">IF(F185=0, G185, F185*G185)</f>
        <v>0</v>
      </c>
      <c r="I185" s="215"/>
      <c r="J185" s="217"/>
      <c r="K185" s="139"/>
      <c r="L185" s="178">
        <f t="shared" ref="L185:L188" si="171">D185*25.4/1000</f>
        <v>4.1402</v>
      </c>
      <c r="M185" s="162" t="str">
        <f t="shared" ref="M185:M188" si="172">+I185</f>
        <v/>
      </c>
      <c r="N185" s="162">
        <f t="shared" ref="N185:N188" si="173">M185*L185</f>
        <v>0</v>
      </c>
      <c r="O185" s="139"/>
      <c r="P185" s="139"/>
      <c r="Q185" s="139"/>
      <c r="R185" s="141"/>
      <c r="S185" s="139"/>
      <c r="T185" s="139"/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customHeight="1">
      <c r="A186" s="155">
        <v>2.0</v>
      </c>
      <c r="B186" s="215" t="s">
        <v>63</v>
      </c>
      <c r="C186" s="215">
        <v>93.0</v>
      </c>
      <c r="D186" s="215">
        <v>195.0</v>
      </c>
      <c r="E186" s="215">
        <v>182.0</v>
      </c>
      <c r="F186" s="215">
        <f t="shared" si="168"/>
        <v>0.2</v>
      </c>
      <c r="G186" s="215">
        <f t="shared" si="169"/>
        <v>0</v>
      </c>
      <c r="H186" s="216">
        <f t="shared" si="170"/>
        <v>0</v>
      </c>
      <c r="I186" s="215"/>
      <c r="J186" s="217">
        <f t="shared" ref="J186:J188" si="174">+I186*H186</f>
        <v>0</v>
      </c>
      <c r="K186" s="139"/>
      <c r="L186" s="178">
        <f t="shared" si="171"/>
        <v>4.953</v>
      </c>
      <c r="M186" s="162" t="str">
        <f t="shared" si="172"/>
        <v/>
      </c>
      <c r="N186" s="162">
        <f t="shared" si="173"/>
        <v>0</v>
      </c>
      <c r="O186" s="139"/>
      <c r="P186" s="139"/>
      <c r="Q186" s="139"/>
      <c r="R186" s="139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5">
        <v>3.0</v>
      </c>
      <c r="B187" s="218" t="s">
        <v>94</v>
      </c>
      <c r="C187" s="218">
        <v>90.0</v>
      </c>
      <c r="D187" s="218">
        <v>202.0</v>
      </c>
      <c r="E187" s="218">
        <v>189.0</v>
      </c>
      <c r="F187" s="218">
        <f t="shared" si="168"/>
        <v>0.2</v>
      </c>
      <c r="G187" s="218">
        <f t="shared" si="169"/>
        <v>0</v>
      </c>
      <c r="H187" s="219">
        <f t="shared" si="170"/>
        <v>0</v>
      </c>
      <c r="I187" s="218"/>
      <c r="J187" s="195">
        <f t="shared" si="174"/>
        <v>0</v>
      </c>
      <c r="K187" s="139"/>
      <c r="L187" s="178">
        <f t="shared" si="171"/>
        <v>5.1308</v>
      </c>
      <c r="M187" s="162" t="str">
        <f t="shared" si="172"/>
        <v/>
      </c>
      <c r="N187" s="162">
        <f t="shared" si="173"/>
        <v>0</v>
      </c>
      <c r="O187" s="139"/>
      <c r="P187" s="139"/>
      <c r="Q187" s="139"/>
      <c r="R187" s="139"/>
      <c r="S187" s="220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5">
        <v>4.0</v>
      </c>
      <c r="B188" s="218" t="s">
        <v>95</v>
      </c>
      <c r="C188" s="218">
        <v>95.0</v>
      </c>
      <c r="D188" s="218">
        <v>206.0</v>
      </c>
      <c r="E188" s="218">
        <v>202.0</v>
      </c>
      <c r="F188" s="218">
        <f t="shared" si="168"/>
        <v>0.5</v>
      </c>
      <c r="G188" s="218">
        <f t="shared" si="169"/>
        <v>0</v>
      </c>
      <c r="H188" s="219">
        <f t="shared" si="170"/>
        <v>0</v>
      </c>
      <c r="I188" s="218"/>
      <c r="J188" s="195">
        <f t="shared" si="174"/>
        <v>0</v>
      </c>
      <c r="K188" s="139"/>
      <c r="L188" s="178">
        <f t="shared" si="171"/>
        <v>5.2324</v>
      </c>
      <c r="M188" s="162" t="str">
        <f t="shared" si="172"/>
        <v/>
      </c>
      <c r="N188" s="162">
        <f t="shared" si="173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5">
        <v>5.0</v>
      </c>
      <c r="B189" s="218" t="s">
        <v>175</v>
      </c>
      <c r="C189" s="218">
        <v>80.0</v>
      </c>
      <c r="D189" s="218">
        <v>191.0</v>
      </c>
      <c r="E189" s="218">
        <v>185.0</v>
      </c>
      <c r="F189" s="218">
        <v>1.0</v>
      </c>
      <c r="G189" s="218">
        <v>0.0</v>
      </c>
      <c r="H189" s="219">
        <v>0.0</v>
      </c>
      <c r="I189" s="218"/>
      <c r="J189" s="195">
        <v>0.0</v>
      </c>
      <c r="K189" s="139"/>
      <c r="L189" s="178"/>
      <c r="M189" s="162"/>
      <c r="N189" s="162"/>
      <c r="O189" s="139"/>
      <c r="P189" s="139"/>
      <c r="Q189" s="139"/>
      <c r="R189" s="139"/>
      <c r="S189" s="139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5">
        <v>6.0</v>
      </c>
      <c r="B190" s="218" t="s">
        <v>87</v>
      </c>
      <c r="C190" s="218">
        <v>70.0</v>
      </c>
      <c r="D190" s="218">
        <v>216.0</v>
      </c>
      <c r="E190" s="218">
        <v>175.0</v>
      </c>
      <c r="F190" s="218">
        <f t="shared" ref="F190:F199" si="175">1-VALUE(IF(RIGHT(B190, 1)="%", RIGHT(B190, 3), 0))</f>
        <v>0.2</v>
      </c>
      <c r="G190" s="218">
        <f t="shared" ref="G190:G199" si="176">+Q190*C190/100*D190/100*E190/100</f>
        <v>0</v>
      </c>
      <c r="H190" s="219">
        <f t="shared" ref="H190:H199" si="177">IF(F190=0, G190, F190*G190)</f>
        <v>0</v>
      </c>
      <c r="I190" s="218"/>
      <c r="J190" s="195">
        <f t="shared" ref="J190:J199" si="178">+I190*H190</f>
        <v>0</v>
      </c>
      <c r="K190" s="139"/>
      <c r="L190" s="178">
        <f t="shared" ref="L190:L194" si="179">D190*25.4/1000</f>
        <v>5.4864</v>
      </c>
      <c r="M190" s="162" t="str">
        <f>+I190</f>
        <v/>
      </c>
      <c r="N190" s="162">
        <f>M190*L190</f>
        <v>0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55">
        <v>6.0</v>
      </c>
      <c r="B191" s="218"/>
      <c r="C191" s="218"/>
      <c r="D191" s="218"/>
      <c r="E191" s="218"/>
      <c r="F191" s="218">
        <f t="shared" si="175"/>
        <v>1</v>
      </c>
      <c r="G191" s="218">
        <f t="shared" si="176"/>
        <v>0</v>
      </c>
      <c r="H191" s="219">
        <f t="shared" si="177"/>
        <v>0</v>
      </c>
      <c r="I191" s="218"/>
      <c r="J191" s="195">
        <f t="shared" si="178"/>
        <v>0</v>
      </c>
      <c r="K191" s="139"/>
      <c r="L191" s="139">
        <f t="shared" si="179"/>
        <v>0</v>
      </c>
      <c r="M191" s="221"/>
      <c r="N191" s="221"/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5">
        <v>7.0</v>
      </c>
      <c r="B192" s="218"/>
      <c r="C192" s="218"/>
      <c r="D192" s="218"/>
      <c r="E192" s="218"/>
      <c r="F192" s="218">
        <f t="shared" si="175"/>
        <v>1</v>
      </c>
      <c r="G192" s="218">
        <f t="shared" si="176"/>
        <v>0</v>
      </c>
      <c r="H192" s="219">
        <f t="shared" si="177"/>
        <v>0</v>
      </c>
      <c r="I192" s="218"/>
      <c r="J192" s="195">
        <f t="shared" si="178"/>
        <v>0</v>
      </c>
      <c r="K192" s="139"/>
      <c r="L192" s="139">
        <f t="shared" si="179"/>
        <v>0</v>
      </c>
      <c r="M192" s="221"/>
      <c r="N192" s="221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5">
        <v>8.0</v>
      </c>
      <c r="B193" s="218"/>
      <c r="C193" s="218"/>
      <c r="D193" s="218"/>
      <c r="E193" s="218"/>
      <c r="F193" s="218">
        <f t="shared" si="175"/>
        <v>1</v>
      </c>
      <c r="G193" s="218">
        <f t="shared" si="176"/>
        <v>0</v>
      </c>
      <c r="H193" s="219">
        <f t="shared" si="177"/>
        <v>0</v>
      </c>
      <c r="I193" s="218"/>
      <c r="J193" s="195">
        <f t="shared" si="178"/>
        <v>0</v>
      </c>
      <c r="K193" s="139"/>
      <c r="L193" s="139">
        <f t="shared" si="179"/>
        <v>0</v>
      </c>
      <c r="M193" s="221"/>
      <c r="N193" s="221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5">
        <v>9.0</v>
      </c>
      <c r="B194" s="218"/>
      <c r="C194" s="218"/>
      <c r="D194" s="218"/>
      <c r="E194" s="218"/>
      <c r="F194" s="218">
        <f t="shared" si="175"/>
        <v>1</v>
      </c>
      <c r="G194" s="218">
        <f t="shared" si="176"/>
        <v>0</v>
      </c>
      <c r="H194" s="219">
        <f t="shared" si="177"/>
        <v>0</v>
      </c>
      <c r="I194" s="218"/>
      <c r="J194" s="195">
        <f t="shared" si="178"/>
        <v>0</v>
      </c>
      <c r="K194" s="139"/>
      <c r="L194" s="139">
        <f t="shared" si="179"/>
        <v>0</v>
      </c>
      <c r="M194" s="221"/>
      <c r="N194" s="221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5">
        <v>10.0</v>
      </c>
      <c r="B195" s="193"/>
      <c r="C195" s="193"/>
      <c r="D195" s="193"/>
      <c r="E195" s="193"/>
      <c r="F195" s="193">
        <f t="shared" si="175"/>
        <v>1</v>
      </c>
      <c r="G195" s="193">
        <f t="shared" si="176"/>
        <v>0</v>
      </c>
      <c r="H195" s="194">
        <f t="shared" si="177"/>
        <v>0</v>
      </c>
      <c r="I195" s="193"/>
      <c r="J195" s="195">
        <f t="shared" si="178"/>
        <v>0</v>
      </c>
      <c r="K195" s="139"/>
      <c r="L195" s="139"/>
      <c r="M195" s="221"/>
      <c r="N195" s="221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5">
        <v>11.0</v>
      </c>
      <c r="B196" s="193"/>
      <c r="C196" s="193"/>
      <c r="D196" s="193"/>
      <c r="E196" s="193"/>
      <c r="F196" s="193">
        <f t="shared" si="175"/>
        <v>1</v>
      </c>
      <c r="G196" s="193">
        <f t="shared" si="176"/>
        <v>0</v>
      </c>
      <c r="H196" s="194">
        <f t="shared" si="177"/>
        <v>0</v>
      </c>
      <c r="I196" s="193"/>
      <c r="J196" s="195">
        <f t="shared" si="178"/>
        <v>0</v>
      </c>
      <c r="K196" s="139"/>
      <c r="L196" s="139"/>
      <c r="M196" s="221"/>
      <c r="N196" s="221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5">
        <v>12.0</v>
      </c>
      <c r="B197" s="193"/>
      <c r="C197" s="193"/>
      <c r="D197" s="193"/>
      <c r="E197" s="193"/>
      <c r="F197" s="193">
        <f t="shared" si="175"/>
        <v>1</v>
      </c>
      <c r="G197" s="193">
        <f t="shared" si="176"/>
        <v>0</v>
      </c>
      <c r="H197" s="194">
        <f t="shared" si="177"/>
        <v>0</v>
      </c>
      <c r="I197" s="193"/>
      <c r="J197" s="195">
        <f t="shared" si="178"/>
        <v>0</v>
      </c>
      <c r="K197" s="139"/>
      <c r="L197" s="139"/>
      <c r="M197" s="221"/>
      <c r="N197" s="221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5">
        <v>13.0</v>
      </c>
      <c r="B198" s="193"/>
      <c r="C198" s="193"/>
      <c r="D198" s="193"/>
      <c r="E198" s="193"/>
      <c r="F198" s="193">
        <f t="shared" si="175"/>
        <v>1</v>
      </c>
      <c r="G198" s="193">
        <f t="shared" si="176"/>
        <v>0</v>
      </c>
      <c r="H198" s="194">
        <f t="shared" si="177"/>
        <v>0</v>
      </c>
      <c r="I198" s="193"/>
      <c r="J198" s="195">
        <f t="shared" si="178"/>
        <v>0</v>
      </c>
      <c r="K198" s="139"/>
      <c r="L198" s="139"/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55">
        <v>14.0</v>
      </c>
      <c r="B199" s="193"/>
      <c r="C199" s="193"/>
      <c r="D199" s="193"/>
      <c r="E199" s="193"/>
      <c r="F199" s="193">
        <f t="shared" si="175"/>
        <v>1</v>
      </c>
      <c r="G199" s="193">
        <f t="shared" si="176"/>
        <v>0</v>
      </c>
      <c r="H199" s="194">
        <f t="shared" si="177"/>
        <v>0</v>
      </c>
      <c r="I199" s="193"/>
      <c r="J199" s="195">
        <f t="shared" si="178"/>
        <v>0</v>
      </c>
      <c r="K199" s="139"/>
      <c r="L199" s="139"/>
      <c r="M199" s="221"/>
      <c r="N199" s="221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4.75" customHeight="1">
      <c r="A200" s="162"/>
      <c r="B200" s="197"/>
      <c r="C200" s="197"/>
      <c r="D200" s="197"/>
      <c r="E200" s="197"/>
      <c r="F200" s="197"/>
      <c r="G200" s="197"/>
      <c r="H200" s="222" t="s">
        <v>38</v>
      </c>
      <c r="I200" s="197"/>
      <c r="J200" s="223">
        <f>SUM(J185:J199)</f>
        <v>0</v>
      </c>
      <c r="K200" s="139"/>
      <c r="L200" s="139"/>
      <c r="M200" s="139"/>
      <c r="N200" s="139"/>
      <c r="O200" s="139"/>
      <c r="P200" s="139"/>
      <c r="Q200" s="139"/>
      <c r="R200" s="141"/>
      <c r="S200" s="224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18.75" customHeight="1">
      <c r="A201" s="176"/>
      <c r="B201" s="144"/>
      <c r="C201" s="144"/>
      <c r="D201" s="144"/>
      <c r="E201" s="144"/>
      <c r="F201" s="144"/>
      <c r="G201" s="144"/>
      <c r="H201" s="145"/>
      <c r="I201" s="144"/>
      <c r="J201" s="177"/>
      <c r="K201" s="139"/>
      <c r="L201" s="139"/>
      <c r="M201" s="139"/>
      <c r="N201" s="139"/>
      <c r="O201" s="139"/>
      <c r="P201" s="139"/>
      <c r="Q201" s="139"/>
      <c r="R201" s="141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39"/>
      <c r="B202" s="139"/>
      <c r="C202" s="139"/>
      <c r="D202" s="139"/>
      <c r="E202" s="139"/>
      <c r="F202" s="139"/>
      <c r="G202" s="139"/>
      <c r="H202" s="140"/>
      <c r="I202" s="139"/>
      <c r="J202" s="139"/>
      <c r="K202" s="139"/>
      <c r="L202" s="139"/>
      <c r="M202" s="139"/>
      <c r="N202" s="139"/>
      <c r="O202" s="139"/>
      <c r="P202" s="139"/>
      <c r="Q202" s="139"/>
      <c r="R202" s="141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224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 t="s">
        <v>39</v>
      </c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4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39"/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4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42.0" customHeight="1">
      <c r="A206" s="178"/>
      <c r="B206" s="162" t="s">
        <v>12</v>
      </c>
      <c r="C206" s="179" t="s">
        <v>75</v>
      </c>
      <c r="D206" s="52"/>
      <c r="E206" s="53"/>
      <c r="F206" s="225"/>
      <c r="G206" s="225"/>
      <c r="H206" s="181" t="s">
        <v>14</v>
      </c>
      <c r="I206" s="226" t="s">
        <v>15</v>
      </c>
      <c r="J206" s="162" t="s">
        <v>16</v>
      </c>
      <c r="K206" s="139"/>
      <c r="L206" s="139"/>
      <c r="M206" s="139"/>
      <c r="N206" s="139"/>
      <c r="O206" s="139"/>
      <c r="P206" s="139"/>
      <c r="Q206" s="139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4.75" customHeight="1">
      <c r="A207" s="162">
        <v>1.0</v>
      </c>
      <c r="B207" s="183" t="s">
        <v>57</v>
      </c>
      <c r="C207" s="200"/>
      <c r="D207" s="200"/>
      <c r="E207" s="200"/>
      <c r="F207" s="200"/>
      <c r="G207" s="200"/>
      <c r="H207" s="227">
        <v>38.0</v>
      </c>
      <c r="I207" s="200">
        <v>1.0</v>
      </c>
      <c r="J207" s="195">
        <f t="shared" ref="J207:J231" si="180">+I207*H207</f>
        <v>38</v>
      </c>
      <c r="K207" s="178"/>
      <c r="L207" s="178"/>
      <c r="M207" s="178"/>
      <c r="N207" s="178"/>
      <c r="O207" s="178"/>
      <c r="P207" s="178"/>
      <c r="Q207" s="228"/>
      <c r="R207" s="224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2.0</v>
      </c>
      <c r="B208" s="193" t="s">
        <v>57</v>
      </c>
      <c r="C208" s="200"/>
      <c r="D208" s="200"/>
      <c r="E208" s="200"/>
      <c r="F208" s="200"/>
      <c r="G208" s="200"/>
      <c r="H208" s="227">
        <v>30.0</v>
      </c>
      <c r="I208" s="200">
        <v>1.0</v>
      </c>
      <c r="J208" s="195">
        <f t="shared" si="180"/>
        <v>30</v>
      </c>
      <c r="K208" s="178"/>
      <c r="L208" s="178"/>
      <c r="M208" s="178"/>
      <c r="N208" s="178"/>
      <c r="O208" s="178"/>
      <c r="P208" s="178"/>
      <c r="Q208" s="228"/>
      <c r="R208" s="224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3.0</v>
      </c>
      <c r="B209" s="183" t="s">
        <v>55</v>
      </c>
      <c r="C209" s="200"/>
      <c r="D209" s="200"/>
      <c r="E209" s="200"/>
      <c r="F209" s="200"/>
      <c r="G209" s="200"/>
      <c r="H209" s="227">
        <v>30.0</v>
      </c>
      <c r="I209" s="200">
        <v>1.0</v>
      </c>
      <c r="J209" s="195">
        <f t="shared" si="180"/>
        <v>30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>
        <v>4.0</v>
      </c>
      <c r="B210" s="193" t="s">
        <v>55</v>
      </c>
      <c r="C210" s="200"/>
      <c r="D210" s="200"/>
      <c r="E210" s="200"/>
      <c r="F210" s="200"/>
      <c r="G210" s="200"/>
      <c r="H210" s="227">
        <v>27.0</v>
      </c>
      <c r="I210" s="200">
        <v>1.0</v>
      </c>
      <c r="J210" s="195">
        <f t="shared" si="180"/>
        <v>27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2">
        <v>5.0</v>
      </c>
      <c r="B211" s="183" t="s">
        <v>57</v>
      </c>
      <c r="C211" s="200"/>
      <c r="D211" s="200"/>
      <c r="E211" s="200"/>
      <c r="F211" s="200"/>
      <c r="G211" s="200"/>
      <c r="H211" s="227">
        <v>57.0</v>
      </c>
      <c r="I211" s="200">
        <v>1.0</v>
      </c>
      <c r="J211" s="195">
        <f t="shared" si="180"/>
        <v>57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2">
        <v>6.0</v>
      </c>
      <c r="B212" s="193" t="s">
        <v>55</v>
      </c>
      <c r="C212" s="200"/>
      <c r="D212" s="200"/>
      <c r="E212" s="200"/>
      <c r="F212" s="200"/>
      <c r="G212" s="200"/>
      <c r="H212" s="227">
        <v>39.0</v>
      </c>
      <c r="I212" s="200">
        <v>1.0</v>
      </c>
      <c r="J212" s="195">
        <f t="shared" si="180"/>
        <v>39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>
        <v>7.0</v>
      </c>
      <c r="B213" s="183" t="s">
        <v>59</v>
      </c>
      <c r="C213" s="200"/>
      <c r="D213" s="200"/>
      <c r="E213" s="200"/>
      <c r="F213" s="200"/>
      <c r="G213" s="200"/>
      <c r="H213" s="227">
        <v>35.0</v>
      </c>
      <c r="I213" s="200">
        <v>1.0</v>
      </c>
      <c r="J213" s="195">
        <f t="shared" si="180"/>
        <v>35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2">
        <v>8.0</v>
      </c>
      <c r="B214" s="193" t="s">
        <v>59</v>
      </c>
      <c r="C214" s="200"/>
      <c r="D214" s="200"/>
      <c r="E214" s="200"/>
      <c r="F214" s="200"/>
      <c r="G214" s="200"/>
      <c r="H214" s="227">
        <v>20.0</v>
      </c>
      <c r="I214" s="200">
        <v>1.0</v>
      </c>
      <c r="J214" s="195">
        <f t="shared" si="180"/>
        <v>20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2">
        <v>9.0</v>
      </c>
      <c r="B215" s="183" t="s">
        <v>80</v>
      </c>
      <c r="C215" s="200"/>
      <c r="D215" s="200"/>
      <c r="E215" s="200"/>
      <c r="F215" s="200"/>
      <c r="G215" s="200"/>
      <c r="H215" s="227">
        <v>25.0</v>
      </c>
      <c r="I215" s="200">
        <v>1.0</v>
      </c>
      <c r="J215" s="195">
        <f t="shared" si="180"/>
        <v>25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customHeight="1">
      <c r="A216" s="162">
        <v>10.0</v>
      </c>
      <c r="B216" s="193" t="s">
        <v>80</v>
      </c>
      <c r="C216" s="200"/>
      <c r="D216" s="200"/>
      <c r="E216" s="200"/>
      <c r="F216" s="200"/>
      <c r="G216" s="200"/>
      <c r="H216" s="227">
        <v>18.0</v>
      </c>
      <c r="I216" s="200">
        <v>1.0</v>
      </c>
      <c r="J216" s="195">
        <f t="shared" si="180"/>
        <v>18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21.0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80"/>
        <v>0</v>
      </c>
      <c r="K217" s="178"/>
      <c r="L217" s="178"/>
      <c r="M217" s="178"/>
      <c r="N217" s="178"/>
      <c r="O217" s="178"/>
      <c r="P217" s="178"/>
      <c r="Q217" s="228"/>
      <c r="R217" s="224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22.0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80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23.0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80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24.0</v>
      </c>
      <c r="B220" s="229"/>
      <c r="C220" s="200"/>
      <c r="D220" s="200"/>
      <c r="E220" s="200"/>
      <c r="F220" s="200"/>
      <c r="G220" s="200"/>
      <c r="H220" s="227"/>
      <c r="I220" s="200"/>
      <c r="J220" s="195">
        <f t="shared" si="180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25.0</v>
      </c>
      <c r="B221" s="229"/>
      <c r="C221" s="200"/>
      <c r="D221" s="200"/>
      <c r="E221" s="200"/>
      <c r="F221" s="200"/>
      <c r="G221" s="200"/>
      <c r="H221" s="227"/>
      <c r="I221" s="200"/>
      <c r="J221" s="195">
        <f t="shared" si="180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26.0</v>
      </c>
      <c r="B222" s="229"/>
      <c r="C222" s="200"/>
      <c r="D222" s="200"/>
      <c r="E222" s="200"/>
      <c r="F222" s="200"/>
      <c r="G222" s="200"/>
      <c r="H222" s="227"/>
      <c r="I222" s="200"/>
      <c r="J222" s="195">
        <f t="shared" si="180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27.0</v>
      </c>
      <c r="B223" s="229"/>
      <c r="C223" s="200"/>
      <c r="D223" s="200"/>
      <c r="E223" s="200"/>
      <c r="F223" s="200"/>
      <c r="G223" s="200"/>
      <c r="H223" s="200"/>
      <c r="I223" s="200"/>
      <c r="J223" s="195">
        <f t="shared" si="180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28.0</v>
      </c>
      <c r="B224" s="229"/>
      <c r="C224" s="200"/>
      <c r="D224" s="200"/>
      <c r="E224" s="200"/>
      <c r="F224" s="200"/>
      <c r="G224" s="200"/>
      <c r="H224" s="200"/>
      <c r="I224" s="200"/>
      <c r="J224" s="195">
        <f t="shared" si="180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2">
        <v>29.0</v>
      </c>
      <c r="B225" s="230"/>
      <c r="C225" s="200"/>
      <c r="D225" s="200"/>
      <c r="E225" s="200"/>
      <c r="F225" s="200"/>
      <c r="G225" s="200"/>
      <c r="H225" s="200"/>
      <c r="I225" s="200"/>
      <c r="J225" s="195">
        <f t="shared" si="180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2">
        <v>30.0</v>
      </c>
      <c r="B226" s="230"/>
      <c r="C226" s="200"/>
      <c r="D226" s="200"/>
      <c r="E226" s="200"/>
      <c r="F226" s="200"/>
      <c r="G226" s="200"/>
      <c r="H226" s="227"/>
      <c r="I226" s="200"/>
      <c r="J226" s="195">
        <f t="shared" si="180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2">
        <v>31.0</v>
      </c>
      <c r="B227" s="218"/>
      <c r="C227" s="200"/>
      <c r="D227" s="200"/>
      <c r="E227" s="200"/>
      <c r="F227" s="200"/>
      <c r="G227" s="200"/>
      <c r="H227" s="227"/>
      <c r="I227" s="200"/>
      <c r="J227" s="195">
        <f t="shared" si="180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2">
        <v>32.0</v>
      </c>
      <c r="B228" s="218"/>
      <c r="C228" s="162"/>
      <c r="D228" s="162"/>
      <c r="E228" s="162"/>
      <c r="F228" s="162"/>
      <c r="G228" s="162"/>
      <c r="H228" s="162"/>
      <c r="I228" s="162"/>
      <c r="J228" s="195">
        <f t="shared" si="180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2">
        <v>33.0</v>
      </c>
      <c r="B229" s="230"/>
      <c r="C229" s="162"/>
      <c r="D229" s="162"/>
      <c r="E229" s="162"/>
      <c r="F229" s="162"/>
      <c r="G229" s="162"/>
      <c r="H229" s="162"/>
      <c r="I229" s="162"/>
      <c r="J229" s="195">
        <f t="shared" si="180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2">
        <v>34.0</v>
      </c>
      <c r="B230" s="231"/>
      <c r="C230" s="162"/>
      <c r="D230" s="162"/>
      <c r="E230" s="162"/>
      <c r="F230" s="162"/>
      <c r="G230" s="162"/>
      <c r="H230" s="162"/>
      <c r="I230" s="162"/>
      <c r="J230" s="195">
        <f t="shared" si="180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2">
        <v>35.0</v>
      </c>
      <c r="B231" s="232"/>
      <c r="C231" s="162"/>
      <c r="D231" s="162"/>
      <c r="E231" s="162"/>
      <c r="F231" s="162"/>
      <c r="G231" s="162"/>
      <c r="H231" s="162"/>
      <c r="I231" s="162"/>
      <c r="J231" s="195">
        <f t="shared" si="180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39"/>
      <c r="B232" s="139"/>
      <c r="C232" s="139"/>
      <c r="D232" s="139"/>
      <c r="E232" s="139"/>
      <c r="F232" s="139"/>
      <c r="G232" s="139"/>
      <c r="H232" s="140" t="s">
        <v>38</v>
      </c>
      <c r="I232" s="139"/>
      <c r="J232" s="233">
        <f>SUM(J207:J231)</f>
        <v>319</v>
      </c>
      <c r="K232" s="234"/>
      <c r="L232" s="234"/>
      <c r="M232" s="234"/>
      <c r="N232" s="234"/>
      <c r="O232" s="234"/>
      <c r="P232" s="234"/>
      <c r="Q232" s="234"/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44"/>
      <c r="B233" s="144"/>
      <c r="C233" s="144"/>
      <c r="D233" s="144"/>
      <c r="E233" s="144"/>
      <c r="F233" s="144"/>
      <c r="G233" s="144"/>
      <c r="H233" s="145"/>
      <c r="I233" s="175"/>
      <c r="J233" s="206">
        <f>+J232*60%</f>
        <v>191.4</v>
      </c>
      <c r="K233" s="206"/>
      <c r="L233" s="206"/>
      <c r="M233" s="206"/>
      <c r="N233" s="206"/>
      <c r="O233" s="206"/>
      <c r="P233" s="206"/>
      <c r="Q233" s="206">
        <f>+J232*40%</f>
        <v>127.6</v>
      </c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9.5" customHeight="1">
      <c r="A236" s="235" t="s">
        <v>41</v>
      </c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57.0" customHeight="1">
      <c r="A237" s="236"/>
      <c r="B237" s="237" t="s">
        <v>42</v>
      </c>
      <c r="C237" s="237" t="s">
        <v>43</v>
      </c>
      <c r="D237" s="237" t="s">
        <v>44</v>
      </c>
      <c r="E237" s="237" t="s">
        <v>45</v>
      </c>
      <c r="F237" s="237"/>
      <c r="G237" s="237"/>
      <c r="H237" s="238" t="s">
        <v>46</v>
      </c>
      <c r="I237" s="239" t="s">
        <v>47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8.75" customHeight="1">
      <c r="A238" s="240" t="s">
        <v>48</v>
      </c>
      <c r="B238" s="241">
        <f>+E21</f>
        <v>32416.9951</v>
      </c>
      <c r="C238" s="242">
        <f>+J178</f>
        <v>30448.34276</v>
      </c>
      <c r="D238" s="242">
        <f>+J200</f>
        <v>0</v>
      </c>
      <c r="E238" s="243">
        <f>J233</f>
        <v>191.4</v>
      </c>
      <c r="F238" s="243"/>
      <c r="G238" s="243"/>
      <c r="H238" s="244">
        <f>+I21</f>
        <v>970.3027349</v>
      </c>
      <c r="I238" s="245">
        <f>+B238-C238-D238-E238-H238</f>
        <v>806.9496061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9.5" customHeight="1">
      <c r="A239" s="246" t="s">
        <v>49</v>
      </c>
      <c r="B239" s="247"/>
      <c r="C239" s="248">
        <f>+C238/B238</f>
        <v>0.9392709801</v>
      </c>
      <c r="D239" s="248">
        <f>+D238/B238</f>
        <v>0</v>
      </c>
      <c r="E239" s="248">
        <f>+E238/B238</f>
        <v>0.00590431036</v>
      </c>
      <c r="F239" s="248"/>
      <c r="G239" s="248"/>
      <c r="H239" s="249">
        <f>+H238/B238</f>
        <v>0.02993191478</v>
      </c>
      <c r="I239" s="250">
        <f>+I238/B238</f>
        <v>0.02489279477</v>
      </c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9.5" customHeight="1">
      <c r="A240" s="165"/>
      <c r="B240" s="221"/>
      <c r="C240" s="251"/>
      <c r="D240" s="251"/>
      <c r="E240" s="251"/>
      <c r="F240" s="251"/>
      <c r="G240" s="251"/>
      <c r="H240" s="252"/>
      <c r="I240" s="253"/>
      <c r="J240" s="139"/>
      <c r="K240" s="139"/>
      <c r="L240" s="139"/>
      <c r="M240" s="139"/>
      <c r="N240" s="139"/>
      <c r="O240" s="139"/>
      <c r="P240" s="139"/>
      <c r="Q240" s="139"/>
      <c r="R240" s="141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4"/>
      <c r="B241" s="255"/>
      <c r="C241" s="255"/>
      <c r="D241" s="255" t="s">
        <v>50</v>
      </c>
      <c r="E241" s="255" t="s">
        <v>48</v>
      </c>
      <c r="F241" s="255"/>
      <c r="G241" s="255"/>
      <c r="H241" s="256">
        <f>+D238+E238+H238+I238</f>
        <v>1968.652341</v>
      </c>
      <c r="I241" s="257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8"/>
      <c r="B242" s="139"/>
      <c r="C242" s="139"/>
      <c r="D242" s="139"/>
      <c r="E242" s="139" t="s">
        <v>49</v>
      </c>
      <c r="F242" s="139"/>
      <c r="G242" s="139"/>
      <c r="H242" s="252">
        <f>+H241/B238</f>
        <v>0.06072901991</v>
      </c>
      <c r="I242" s="259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8"/>
      <c r="B243" s="139"/>
      <c r="C243" s="139" t="s">
        <v>51</v>
      </c>
      <c r="D243" s="139"/>
      <c r="E243" s="139"/>
      <c r="F243" s="139"/>
      <c r="G243" s="139"/>
      <c r="H243" s="140"/>
      <c r="I243" s="259"/>
      <c r="J243" s="139"/>
      <c r="K243" s="139"/>
      <c r="L243" s="139"/>
      <c r="M243" s="139"/>
      <c r="N243" s="139"/>
      <c r="O243" s="139"/>
      <c r="P243" s="139"/>
      <c r="Q243" s="139"/>
      <c r="R243" s="141"/>
      <c r="S243" s="140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258"/>
      <c r="B244" s="139"/>
      <c r="C244" s="139"/>
      <c r="D244" s="139" t="s">
        <v>52</v>
      </c>
      <c r="E244" s="139"/>
      <c r="F244" s="139"/>
      <c r="G244" s="139"/>
      <c r="H244" s="140">
        <f>+H243*(H241-H238)</f>
        <v>0</v>
      </c>
      <c r="I244" s="259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9.5" customHeight="1">
      <c r="A245" s="260"/>
      <c r="B245" s="261"/>
      <c r="C245" s="261"/>
      <c r="D245" s="261"/>
      <c r="E245" s="261"/>
      <c r="F245" s="261"/>
      <c r="G245" s="261"/>
      <c r="H245" s="262"/>
      <c r="I245" s="263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84:E184"/>
    <mergeCell ref="C206:E206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44554.0</v>
      </c>
      <c r="J4" s="139" t="str">
        <f>+B8&amp;"/"&amp;B9&amp;"/"&amp;B10&amp;"/"&amp;B11&amp;"/"&amp;B12&amp;"/"&amp;B13&amp;"/"&amp;B14&amp;"/"&amp;B15&amp;"/"&amp;B16</f>
        <v>HRD2930/HRD2940/HRD2940/HRD2940/HRD2930/D2470CC///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176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+I238</f>
        <v>0.03473742068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57</v>
      </c>
      <c r="C8" s="155">
        <v>29.5</v>
      </c>
      <c r="D8" s="156">
        <v>0.0155</v>
      </c>
      <c r="E8" s="157">
        <f>253.14*14.6</f>
        <v>3695.844</v>
      </c>
      <c r="F8" s="157"/>
      <c r="G8" s="157"/>
      <c r="H8" s="158">
        <v>14.6</v>
      </c>
      <c r="I8" s="159">
        <f t="shared" ref="I8:I20" si="1">+D8*E8</f>
        <v>57.285582</v>
      </c>
      <c r="J8" s="160">
        <f t="shared" ref="J8:J20" si="2">E8-I8</f>
        <v>3638.558418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252.8*70.7</f>
        <v>17872.96</v>
      </c>
      <c r="F9" s="157"/>
      <c r="G9" s="157"/>
      <c r="H9" s="158">
        <v>70.7</v>
      </c>
      <c r="I9" s="159">
        <f t="shared" si="1"/>
        <v>260.945216</v>
      </c>
      <c r="J9" s="160">
        <f t="shared" si="2"/>
        <v>17612.01478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252.8*29.4</f>
        <v>7432.32</v>
      </c>
      <c r="F10" s="157"/>
      <c r="G10" s="157"/>
      <c r="H10" s="158">
        <v>29.4</v>
      </c>
      <c r="I10" s="159">
        <f t="shared" si="1"/>
        <v>108.511872</v>
      </c>
      <c r="J10" s="160">
        <f t="shared" si="2"/>
        <v>7323.808128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55</v>
      </c>
      <c r="C11" s="155">
        <v>29.5</v>
      </c>
      <c r="D11" s="156">
        <v>0.0146</v>
      </c>
      <c r="E11" s="164">
        <f>252.8*30.2</f>
        <v>7634.56</v>
      </c>
      <c r="F11" s="164"/>
      <c r="G11" s="164"/>
      <c r="H11" s="158">
        <v>30.2</v>
      </c>
      <c r="I11" s="159">
        <f t="shared" si="1"/>
        <v>111.464576</v>
      </c>
      <c r="J11" s="160">
        <f t="shared" si="2"/>
        <v>7523.095424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55" t="s">
        <v>57</v>
      </c>
      <c r="C12" s="155">
        <v>29.5</v>
      </c>
      <c r="D12" s="163">
        <v>0.0155</v>
      </c>
      <c r="E12" s="164">
        <f>253.14*21.6</f>
        <v>5467.824</v>
      </c>
      <c r="F12" s="164"/>
      <c r="G12" s="164"/>
      <c r="H12" s="158">
        <v>21.6</v>
      </c>
      <c r="I12" s="159">
        <f t="shared" si="1"/>
        <v>84.751272</v>
      </c>
      <c r="J12" s="160">
        <f t="shared" si="2"/>
        <v>5383.072728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119</v>
      </c>
      <c r="C13" s="162">
        <v>24.5</v>
      </c>
      <c r="D13" s="163">
        <v>0.0545</v>
      </c>
      <c r="E13" s="164">
        <f>238.048*21.6</f>
        <v>5141.8368</v>
      </c>
      <c r="F13" s="164"/>
      <c r="G13" s="164"/>
      <c r="H13" s="158">
        <v>21.6</v>
      </c>
      <c r="I13" s="159">
        <f t="shared" si="1"/>
        <v>280.2301056</v>
      </c>
      <c r="J13" s="160">
        <f t="shared" si="2"/>
        <v>4861.606694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11.0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12.0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13.0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14.0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15.0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16.0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17.0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65"/>
      <c r="B21" s="166"/>
      <c r="C21" s="167"/>
      <c r="D21" s="168"/>
      <c r="E21" s="169">
        <f>SUM(E8:E20)</f>
        <v>47245.3448</v>
      </c>
      <c r="F21" s="170"/>
      <c r="G21" s="170"/>
      <c r="H21" s="171"/>
      <c r="I21" s="172">
        <f t="shared" ref="I21:J21" si="3">SUM(I8:I20)</f>
        <v>903.1886236</v>
      </c>
      <c r="J21" s="173">
        <f t="shared" si="3"/>
        <v>46342.15618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74"/>
      <c r="B22" s="144"/>
      <c r="C22" s="144"/>
      <c r="D22" s="175"/>
      <c r="E22" s="176"/>
      <c r="F22" s="151"/>
      <c r="G22" s="151"/>
      <c r="H22" s="147"/>
      <c r="I22" s="177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 t="s">
        <v>11</v>
      </c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18.75" customHeight="1">
      <c r="A26" s="139"/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40.5" customHeight="1">
      <c r="A27" s="178"/>
      <c r="B27" s="162" t="s">
        <v>12</v>
      </c>
      <c r="C27" s="179" t="s">
        <v>60</v>
      </c>
      <c r="D27" s="52"/>
      <c r="E27" s="53"/>
      <c r="F27" s="180"/>
      <c r="G27" s="180"/>
      <c r="H27" s="181" t="s">
        <v>14</v>
      </c>
      <c r="I27" s="162" t="s">
        <v>15</v>
      </c>
      <c r="J27" s="162" t="s">
        <v>16</v>
      </c>
      <c r="K27" s="139"/>
      <c r="L27" s="162" t="s">
        <v>17</v>
      </c>
      <c r="M27" s="162" t="s">
        <v>15</v>
      </c>
      <c r="N27" s="178" t="s">
        <v>18</v>
      </c>
      <c r="O27" s="139"/>
      <c r="P27" s="139"/>
      <c r="Q27" s="178" t="s">
        <v>61</v>
      </c>
      <c r="R27" s="182"/>
      <c r="S27" s="162" t="s">
        <v>17</v>
      </c>
      <c r="T27" s="162" t="s">
        <v>15</v>
      </c>
      <c r="U27" s="178" t="s">
        <v>18</v>
      </c>
      <c r="V27" s="139"/>
      <c r="W27" s="178" t="s">
        <v>19</v>
      </c>
      <c r="X27" s="178" t="s">
        <v>20</v>
      </c>
      <c r="Y27" s="178" t="s">
        <v>21</v>
      </c>
      <c r="Z27" s="178" t="s">
        <v>177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1.0</v>
      </c>
      <c r="B28" s="183" t="s">
        <v>94</v>
      </c>
      <c r="C28" s="184">
        <v>84.0</v>
      </c>
      <c r="D28" s="184">
        <v>218.0</v>
      </c>
      <c r="E28" s="184">
        <v>173.0</v>
      </c>
      <c r="F28" s="184">
        <f t="shared" ref="F28:F178" si="5">VALUE(IF(RIGHT(B28, 1)="%", RIGHT(B28, 3), 0))</f>
        <v>0.8</v>
      </c>
      <c r="G28" s="184">
        <f t="shared" ref="G28:G178" si="6">+R28*C28/100*D28/100*E28/100</f>
        <v>93.455292</v>
      </c>
      <c r="H28" s="185">
        <f t="shared" ref="H28:H178" si="7">IF(F28=0, G28, F28*G28)</f>
        <v>74.7642336</v>
      </c>
      <c r="I28" s="184">
        <v>1.0</v>
      </c>
      <c r="J28" s="186">
        <f t="shared" ref="J28:J178" si="8">+I28*H28</f>
        <v>74.7642336</v>
      </c>
      <c r="K28" s="187"/>
      <c r="L28" s="188">
        <f>D28*25.4/1000</f>
        <v>5.5372</v>
      </c>
      <c r="M28" s="189">
        <f>+I28</f>
        <v>1</v>
      </c>
      <c r="N28" s="189">
        <f>M28*L28</f>
        <v>5.5372</v>
      </c>
      <c r="O28" s="187"/>
      <c r="P28" s="187"/>
      <c r="Q28" s="188">
        <v>96.0</v>
      </c>
      <c r="R28" s="190">
        <v>29.5</v>
      </c>
      <c r="S28" s="178">
        <f t="shared" ref="S28:S179" si="9">E28/100</f>
        <v>1.73</v>
      </c>
      <c r="T28" s="162">
        <f t="shared" ref="T28:T179" si="10">I28</f>
        <v>1</v>
      </c>
      <c r="U28" s="162">
        <f t="shared" ref="U28:U179" si="11">T28*S28</f>
        <v>1.73</v>
      </c>
      <c r="V28" s="191">
        <f t="shared" ref="V28:V61" si="12">R28*C28/100*D28/100*E28/100</f>
        <v>93.455292</v>
      </c>
      <c r="W28" s="178">
        <f t="shared" ref="W28:X28" si="4">C28/100</f>
        <v>0.84</v>
      </c>
      <c r="X28" s="178">
        <f t="shared" si="4"/>
        <v>2.18</v>
      </c>
      <c r="Y28" s="178">
        <f t="shared" ref="Y28:Y179" si="14">U28</f>
        <v>1.73</v>
      </c>
      <c r="Z28" s="192">
        <f t="shared" ref="Z28:Z179" si="15">W28*X28*Y28</f>
        <v>3.167976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2.0</v>
      </c>
      <c r="B29" s="193" t="s">
        <v>57</v>
      </c>
      <c r="C29" s="193">
        <v>95.0</v>
      </c>
      <c r="D29" s="193">
        <v>218.0</v>
      </c>
      <c r="E29" s="193">
        <v>190.0</v>
      </c>
      <c r="F29" s="193">
        <f t="shared" si="5"/>
        <v>0</v>
      </c>
      <c r="G29" s="193">
        <f t="shared" si="6"/>
        <v>116.07955</v>
      </c>
      <c r="H29" s="194">
        <f t="shared" si="7"/>
        <v>116.07955</v>
      </c>
      <c r="I29" s="193">
        <v>1.0</v>
      </c>
      <c r="J29" s="195">
        <f t="shared" si="8"/>
        <v>116.07955</v>
      </c>
      <c r="K29" s="139"/>
      <c r="L29" s="178"/>
      <c r="M29" s="162"/>
      <c r="N29" s="162"/>
      <c r="O29" s="139"/>
      <c r="P29" s="139"/>
      <c r="Q29" s="178">
        <v>117.0</v>
      </c>
      <c r="R29" s="190">
        <v>29.5</v>
      </c>
      <c r="S29" s="178">
        <f t="shared" si="9"/>
        <v>1.9</v>
      </c>
      <c r="T29" s="162">
        <f t="shared" si="10"/>
        <v>1</v>
      </c>
      <c r="U29" s="162">
        <f t="shared" si="11"/>
        <v>1.9</v>
      </c>
      <c r="V29" s="191">
        <f t="shared" si="12"/>
        <v>116.07955</v>
      </c>
      <c r="W29" s="178">
        <f t="shared" ref="W29:X29" si="13">C29/100</f>
        <v>0.95</v>
      </c>
      <c r="X29" s="178">
        <f t="shared" si="13"/>
        <v>2.18</v>
      </c>
      <c r="Y29" s="178">
        <f t="shared" si="14"/>
        <v>1.9</v>
      </c>
      <c r="Z29" s="192">
        <f t="shared" si="15"/>
        <v>3.9349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3.0</v>
      </c>
      <c r="B30" s="193" t="s">
        <v>57</v>
      </c>
      <c r="C30" s="193">
        <v>96.0</v>
      </c>
      <c r="D30" s="193">
        <v>218.0</v>
      </c>
      <c r="E30" s="193">
        <v>2761.0</v>
      </c>
      <c r="F30" s="193">
        <f t="shared" si="5"/>
        <v>0</v>
      </c>
      <c r="G30" s="193">
        <f t="shared" si="6"/>
        <v>1704.575136</v>
      </c>
      <c r="H30" s="194">
        <f t="shared" si="7"/>
        <v>1704.575136</v>
      </c>
      <c r="I30" s="193">
        <v>1.0</v>
      </c>
      <c r="J30" s="195">
        <f t="shared" si="8"/>
        <v>1704.575136</v>
      </c>
      <c r="K30" s="139"/>
      <c r="L30" s="178">
        <f t="shared" ref="L30:L52" si="17">D30*25.4/1000</f>
        <v>5.5372</v>
      </c>
      <c r="M30" s="162">
        <f t="shared" ref="M30:M61" si="18">+I30</f>
        <v>1</v>
      </c>
      <c r="N30" s="162">
        <f t="shared" ref="N30:N52" si="19">M30*L30</f>
        <v>5.5372</v>
      </c>
      <c r="O30" s="139"/>
      <c r="P30" s="139"/>
      <c r="Q30" s="178">
        <v>1670.0</v>
      </c>
      <c r="R30" s="190">
        <v>29.5</v>
      </c>
      <c r="S30" s="178">
        <f t="shared" si="9"/>
        <v>27.61</v>
      </c>
      <c r="T30" s="162">
        <f t="shared" si="10"/>
        <v>1</v>
      </c>
      <c r="U30" s="162">
        <f t="shared" si="11"/>
        <v>27.61</v>
      </c>
      <c r="V30" s="191">
        <f t="shared" si="12"/>
        <v>1704.575136</v>
      </c>
      <c r="W30" s="178">
        <f t="shared" ref="W30:X30" si="16">C30/100</f>
        <v>0.96</v>
      </c>
      <c r="X30" s="178">
        <f t="shared" si="16"/>
        <v>2.18</v>
      </c>
      <c r="Y30" s="178">
        <f t="shared" si="14"/>
        <v>27.61</v>
      </c>
      <c r="Z30" s="192">
        <f t="shared" si="15"/>
        <v>57.782208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4.0</v>
      </c>
      <c r="B31" s="193" t="s">
        <v>57</v>
      </c>
      <c r="C31" s="193">
        <v>96.0</v>
      </c>
      <c r="D31" s="193">
        <v>218.0</v>
      </c>
      <c r="E31" s="193">
        <v>2875.0</v>
      </c>
      <c r="F31" s="193">
        <f t="shared" si="5"/>
        <v>0</v>
      </c>
      <c r="G31" s="193">
        <f t="shared" si="6"/>
        <v>1774.956</v>
      </c>
      <c r="H31" s="194">
        <f t="shared" si="7"/>
        <v>1774.956</v>
      </c>
      <c r="I31" s="193">
        <v>1.0</v>
      </c>
      <c r="J31" s="195">
        <f t="shared" si="8"/>
        <v>1774.956</v>
      </c>
      <c r="K31" s="139"/>
      <c r="L31" s="178">
        <f t="shared" si="17"/>
        <v>5.5372</v>
      </c>
      <c r="M31" s="162">
        <f t="shared" si="18"/>
        <v>1</v>
      </c>
      <c r="N31" s="162">
        <f t="shared" si="19"/>
        <v>5.5372</v>
      </c>
      <c r="O31" s="139"/>
      <c r="P31" s="139"/>
      <c r="Q31" s="178">
        <v>1780.0</v>
      </c>
      <c r="R31" s="190">
        <v>29.5</v>
      </c>
      <c r="S31" s="178">
        <f t="shared" si="9"/>
        <v>28.75</v>
      </c>
      <c r="T31" s="162">
        <f t="shared" si="10"/>
        <v>1</v>
      </c>
      <c r="U31" s="162">
        <f t="shared" si="11"/>
        <v>28.75</v>
      </c>
      <c r="V31" s="191">
        <f t="shared" si="12"/>
        <v>1774.956</v>
      </c>
      <c r="W31" s="178">
        <f t="shared" ref="W31:X31" si="20">C31/100</f>
        <v>0.96</v>
      </c>
      <c r="X31" s="178">
        <f t="shared" si="20"/>
        <v>2.18</v>
      </c>
      <c r="Y31" s="178">
        <f t="shared" si="14"/>
        <v>28.75</v>
      </c>
      <c r="Z31" s="192">
        <f t="shared" si="15"/>
        <v>60.168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5.0</v>
      </c>
      <c r="B32" s="183" t="s">
        <v>63</v>
      </c>
      <c r="C32" s="184">
        <v>91.0</v>
      </c>
      <c r="D32" s="184">
        <v>202.0</v>
      </c>
      <c r="E32" s="184">
        <v>176.0</v>
      </c>
      <c r="F32" s="184">
        <f t="shared" si="5"/>
        <v>0.8</v>
      </c>
      <c r="G32" s="184">
        <f t="shared" si="6"/>
        <v>95.439344</v>
      </c>
      <c r="H32" s="185">
        <f t="shared" si="7"/>
        <v>76.3514752</v>
      </c>
      <c r="I32" s="184">
        <v>1.0</v>
      </c>
      <c r="J32" s="186">
        <f t="shared" si="8"/>
        <v>76.3514752</v>
      </c>
      <c r="K32" s="187"/>
      <c r="L32" s="188">
        <f t="shared" si="17"/>
        <v>5.1308</v>
      </c>
      <c r="M32" s="189">
        <f t="shared" si="18"/>
        <v>1</v>
      </c>
      <c r="N32" s="189">
        <f t="shared" si="19"/>
        <v>5.1308</v>
      </c>
      <c r="O32" s="187"/>
      <c r="P32" s="187"/>
      <c r="Q32" s="188">
        <v>101.0</v>
      </c>
      <c r="R32" s="190">
        <v>29.5</v>
      </c>
      <c r="S32" s="178">
        <f t="shared" si="9"/>
        <v>1.76</v>
      </c>
      <c r="T32" s="162">
        <f t="shared" si="10"/>
        <v>1</v>
      </c>
      <c r="U32" s="162">
        <f t="shared" si="11"/>
        <v>1.76</v>
      </c>
      <c r="V32" s="191">
        <f t="shared" si="12"/>
        <v>95.439344</v>
      </c>
      <c r="W32" s="178">
        <f t="shared" ref="W32:X32" si="21">C32/100</f>
        <v>0.91</v>
      </c>
      <c r="X32" s="178">
        <f t="shared" si="21"/>
        <v>2.02</v>
      </c>
      <c r="Y32" s="178">
        <f t="shared" si="14"/>
        <v>1.76</v>
      </c>
      <c r="Z32" s="192">
        <f t="shared" si="15"/>
        <v>3.235232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6.0</v>
      </c>
      <c r="B33" s="193" t="s">
        <v>55</v>
      </c>
      <c r="C33" s="193">
        <v>102.0</v>
      </c>
      <c r="D33" s="193">
        <v>202.0</v>
      </c>
      <c r="E33" s="193">
        <v>193.0</v>
      </c>
      <c r="F33" s="193">
        <f t="shared" si="5"/>
        <v>0</v>
      </c>
      <c r="G33" s="193">
        <f t="shared" si="6"/>
        <v>117.308874</v>
      </c>
      <c r="H33" s="194">
        <f t="shared" si="7"/>
        <v>117.308874</v>
      </c>
      <c r="I33" s="193">
        <v>1.0</v>
      </c>
      <c r="J33" s="195">
        <f t="shared" si="8"/>
        <v>117.308874</v>
      </c>
      <c r="K33" s="139"/>
      <c r="L33" s="178">
        <f t="shared" si="17"/>
        <v>5.1308</v>
      </c>
      <c r="M33" s="162">
        <f t="shared" si="18"/>
        <v>1</v>
      </c>
      <c r="N33" s="162">
        <f t="shared" si="19"/>
        <v>5.1308</v>
      </c>
      <c r="O33" s="139"/>
      <c r="P33" s="139"/>
      <c r="Q33" s="178">
        <v>122.0</v>
      </c>
      <c r="R33" s="190">
        <v>29.5</v>
      </c>
      <c r="S33" s="178">
        <f t="shared" si="9"/>
        <v>1.93</v>
      </c>
      <c r="T33" s="162">
        <f t="shared" si="10"/>
        <v>1</v>
      </c>
      <c r="U33" s="162">
        <f t="shared" si="11"/>
        <v>1.93</v>
      </c>
      <c r="V33" s="191">
        <f t="shared" si="12"/>
        <v>117.308874</v>
      </c>
      <c r="W33" s="178">
        <f t="shared" ref="W33:X33" si="22">C33/100</f>
        <v>1.02</v>
      </c>
      <c r="X33" s="178">
        <f t="shared" si="22"/>
        <v>2.02</v>
      </c>
      <c r="Y33" s="178">
        <f t="shared" si="14"/>
        <v>1.93</v>
      </c>
      <c r="Z33" s="192">
        <f t="shared" si="15"/>
        <v>3.976572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7.0</v>
      </c>
      <c r="B34" s="193" t="s">
        <v>55</v>
      </c>
      <c r="C34" s="193">
        <v>103.0</v>
      </c>
      <c r="D34" s="193">
        <v>202.0</v>
      </c>
      <c r="E34" s="193">
        <v>2885.0</v>
      </c>
      <c r="F34" s="193">
        <f t="shared" si="5"/>
        <v>0</v>
      </c>
      <c r="G34" s="193">
        <f t="shared" si="6"/>
        <v>1770.746645</v>
      </c>
      <c r="H34" s="194">
        <f t="shared" si="7"/>
        <v>1770.746645</v>
      </c>
      <c r="I34" s="193">
        <v>1.0</v>
      </c>
      <c r="J34" s="195">
        <f t="shared" si="8"/>
        <v>1770.746645</v>
      </c>
      <c r="K34" s="139"/>
      <c r="L34" s="178">
        <f t="shared" si="17"/>
        <v>5.1308</v>
      </c>
      <c r="M34" s="162">
        <f t="shared" si="18"/>
        <v>1</v>
      </c>
      <c r="N34" s="162">
        <f t="shared" si="19"/>
        <v>5.1308</v>
      </c>
      <c r="O34" s="139"/>
      <c r="P34" s="139"/>
      <c r="Q34" s="178">
        <v>1770.0</v>
      </c>
      <c r="R34" s="190">
        <v>29.5</v>
      </c>
      <c r="S34" s="178">
        <f t="shared" si="9"/>
        <v>28.85</v>
      </c>
      <c r="T34" s="162">
        <f t="shared" si="10"/>
        <v>1</v>
      </c>
      <c r="U34" s="162">
        <f t="shared" si="11"/>
        <v>28.85</v>
      </c>
      <c r="V34" s="191">
        <f t="shared" si="12"/>
        <v>1770.746645</v>
      </c>
      <c r="W34" s="178">
        <f t="shared" ref="W34:X34" si="23">C34/100</f>
        <v>1.03</v>
      </c>
      <c r="X34" s="178">
        <f t="shared" si="23"/>
        <v>2.02</v>
      </c>
      <c r="Y34" s="178">
        <f t="shared" si="14"/>
        <v>28.85</v>
      </c>
      <c r="Z34" s="192">
        <f t="shared" si="15"/>
        <v>60.02531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8.0</v>
      </c>
      <c r="B35" s="193" t="s">
        <v>55</v>
      </c>
      <c r="C35" s="193">
        <v>103.0</v>
      </c>
      <c r="D35" s="193">
        <v>202.0</v>
      </c>
      <c r="E35" s="193">
        <v>2885.0</v>
      </c>
      <c r="F35" s="193">
        <f t="shared" si="5"/>
        <v>0</v>
      </c>
      <c r="G35" s="193">
        <f t="shared" si="6"/>
        <v>1770.746645</v>
      </c>
      <c r="H35" s="194">
        <f t="shared" si="7"/>
        <v>1770.746645</v>
      </c>
      <c r="I35" s="193">
        <v>1.0</v>
      </c>
      <c r="J35" s="195">
        <f t="shared" si="8"/>
        <v>1770.746645</v>
      </c>
      <c r="K35" s="139"/>
      <c r="L35" s="178">
        <f t="shared" si="17"/>
        <v>5.1308</v>
      </c>
      <c r="M35" s="162">
        <f t="shared" si="18"/>
        <v>1</v>
      </c>
      <c r="N35" s="162">
        <f t="shared" si="19"/>
        <v>5.1308</v>
      </c>
      <c r="O35" s="139"/>
      <c r="P35" s="139"/>
      <c r="Q35" s="178">
        <v>1775.0</v>
      </c>
      <c r="R35" s="190">
        <v>29.5</v>
      </c>
      <c r="S35" s="178">
        <f t="shared" si="9"/>
        <v>28.85</v>
      </c>
      <c r="T35" s="162">
        <f t="shared" si="10"/>
        <v>1</v>
      </c>
      <c r="U35" s="162">
        <f t="shared" si="11"/>
        <v>28.85</v>
      </c>
      <c r="V35" s="191">
        <f t="shared" si="12"/>
        <v>1770.746645</v>
      </c>
      <c r="W35" s="178">
        <f t="shared" ref="W35:X35" si="24">C35/100</f>
        <v>1.03</v>
      </c>
      <c r="X35" s="178">
        <f t="shared" si="24"/>
        <v>2.02</v>
      </c>
      <c r="Y35" s="178">
        <f t="shared" si="14"/>
        <v>28.85</v>
      </c>
      <c r="Z35" s="192">
        <f t="shared" si="15"/>
        <v>60.02531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9.0</v>
      </c>
      <c r="B36" s="193" t="s">
        <v>55</v>
      </c>
      <c r="C36" s="193">
        <v>102.0</v>
      </c>
      <c r="D36" s="193">
        <v>202.0</v>
      </c>
      <c r="E36" s="193">
        <v>2881.0</v>
      </c>
      <c r="F36" s="193">
        <f t="shared" si="5"/>
        <v>0</v>
      </c>
      <c r="G36" s="193">
        <f t="shared" si="6"/>
        <v>1751.123658</v>
      </c>
      <c r="H36" s="194">
        <f t="shared" si="7"/>
        <v>1751.123658</v>
      </c>
      <c r="I36" s="193">
        <v>1.0</v>
      </c>
      <c r="J36" s="195">
        <f t="shared" si="8"/>
        <v>1751.123658</v>
      </c>
      <c r="K36" s="139"/>
      <c r="L36" s="178">
        <f t="shared" si="17"/>
        <v>5.1308</v>
      </c>
      <c r="M36" s="162">
        <f t="shared" si="18"/>
        <v>1</v>
      </c>
      <c r="N36" s="162">
        <f t="shared" si="19"/>
        <v>5.1308</v>
      </c>
      <c r="O36" s="139"/>
      <c r="P36" s="139"/>
      <c r="Q36" s="178">
        <v>1775.0</v>
      </c>
      <c r="R36" s="190">
        <v>29.5</v>
      </c>
      <c r="S36" s="178">
        <f t="shared" si="9"/>
        <v>28.81</v>
      </c>
      <c r="T36" s="162">
        <f t="shared" si="10"/>
        <v>1</v>
      </c>
      <c r="U36" s="162">
        <f t="shared" si="11"/>
        <v>28.81</v>
      </c>
      <c r="V36" s="191">
        <f t="shared" si="12"/>
        <v>1751.123658</v>
      </c>
      <c r="W36" s="178">
        <f t="shared" ref="W36:X36" si="25">C36/100</f>
        <v>1.02</v>
      </c>
      <c r="X36" s="178">
        <f t="shared" si="25"/>
        <v>2.02</v>
      </c>
      <c r="Y36" s="178">
        <f t="shared" si="14"/>
        <v>28.81</v>
      </c>
      <c r="Z36" s="192">
        <f t="shared" si="15"/>
        <v>59.360124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10.0</v>
      </c>
      <c r="B37" s="193" t="s">
        <v>55</v>
      </c>
      <c r="C37" s="193">
        <v>102.0</v>
      </c>
      <c r="D37" s="193">
        <v>202.0</v>
      </c>
      <c r="E37" s="193">
        <v>2880.0</v>
      </c>
      <c r="F37" s="193">
        <f t="shared" si="5"/>
        <v>0</v>
      </c>
      <c r="G37" s="193">
        <f t="shared" si="6"/>
        <v>1750.51584</v>
      </c>
      <c r="H37" s="194">
        <f t="shared" si="7"/>
        <v>1750.51584</v>
      </c>
      <c r="I37" s="193">
        <v>1.0</v>
      </c>
      <c r="J37" s="195">
        <f t="shared" si="8"/>
        <v>1750.51584</v>
      </c>
      <c r="K37" s="139"/>
      <c r="L37" s="178">
        <f t="shared" si="17"/>
        <v>5.1308</v>
      </c>
      <c r="M37" s="162">
        <f t="shared" si="18"/>
        <v>1</v>
      </c>
      <c r="N37" s="162">
        <f t="shared" si="19"/>
        <v>5.1308</v>
      </c>
      <c r="O37" s="139"/>
      <c r="P37" s="139"/>
      <c r="Q37" s="178">
        <v>1770.0</v>
      </c>
      <c r="R37" s="190">
        <v>29.5</v>
      </c>
      <c r="S37" s="178">
        <f t="shared" si="9"/>
        <v>28.8</v>
      </c>
      <c r="T37" s="162">
        <f t="shared" si="10"/>
        <v>1</v>
      </c>
      <c r="U37" s="162">
        <f t="shared" si="11"/>
        <v>28.8</v>
      </c>
      <c r="V37" s="191">
        <f t="shared" si="12"/>
        <v>1750.51584</v>
      </c>
      <c r="W37" s="178">
        <f t="shared" ref="W37:X37" si="26">C37/100</f>
        <v>1.02</v>
      </c>
      <c r="X37" s="178">
        <f t="shared" si="26"/>
        <v>2.02</v>
      </c>
      <c r="Y37" s="178">
        <f t="shared" si="14"/>
        <v>28.8</v>
      </c>
      <c r="Z37" s="192">
        <f t="shared" si="15"/>
        <v>59.33952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11.0</v>
      </c>
      <c r="B38" s="196" t="s">
        <v>55</v>
      </c>
      <c r="C38" s="193">
        <v>99.0</v>
      </c>
      <c r="D38" s="193">
        <v>202.0</v>
      </c>
      <c r="E38" s="193">
        <v>2878.0</v>
      </c>
      <c r="F38" s="193">
        <f t="shared" si="5"/>
        <v>0</v>
      </c>
      <c r="G38" s="193">
        <f t="shared" si="6"/>
        <v>1697.850198</v>
      </c>
      <c r="H38" s="194">
        <f t="shared" si="7"/>
        <v>1697.850198</v>
      </c>
      <c r="I38" s="193">
        <v>1.0</v>
      </c>
      <c r="J38" s="195">
        <f t="shared" si="8"/>
        <v>1697.850198</v>
      </c>
      <c r="K38" s="139"/>
      <c r="L38" s="178">
        <f t="shared" si="17"/>
        <v>5.1308</v>
      </c>
      <c r="M38" s="162">
        <f t="shared" si="18"/>
        <v>1</v>
      </c>
      <c r="N38" s="162">
        <f t="shared" si="19"/>
        <v>5.1308</v>
      </c>
      <c r="O38" s="139"/>
      <c r="P38" s="139"/>
      <c r="Q38" s="178">
        <v>1720.0</v>
      </c>
      <c r="R38" s="190">
        <v>29.5</v>
      </c>
      <c r="S38" s="178">
        <f t="shared" si="9"/>
        <v>28.78</v>
      </c>
      <c r="T38" s="162">
        <f t="shared" si="10"/>
        <v>1</v>
      </c>
      <c r="U38" s="162">
        <f t="shared" si="11"/>
        <v>28.78</v>
      </c>
      <c r="V38" s="191">
        <f t="shared" si="12"/>
        <v>1697.850198</v>
      </c>
      <c r="W38" s="178">
        <f t="shared" ref="W38:X38" si="27">C38/100</f>
        <v>0.99</v>
      </c>
      <c r="X38" s="178">
        <f t="shared" si="27"/>
        <v>2.02</v>
      </c>
      <c r="Y38" s="178">
        <f t="shared" si="14"/>
        <v>28.78</v>
      </c>
      <c r="Z38" s="192">
        <f t="shared" si="15"/>
        <v>57.554244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12.0</v>
      </c>
      <c r="B39" s="193" t="s">
        <v>55</v>
      </c>
      <c r="C39" s="193">
        <v>101.0</v>
      </c>
      <c r="D39" s="193">
        <v>202.0</v>
      </c>
      <c r="E39" s="193">
        <v>2879.0</v>
      </c>
      <c r="F39" s="193">
        <f t="shared" si="5"/>
        <v>0</v>
      </c>
      <c r="G39" s="193">
        <f t="shared" si="6"/>
        <v>1732.752061</v>
      </c>
      <c r="H39" s="194">
        <f t="shared" si="7"/>
        <v>1732.752061</v>
      </c>
      <c r="I39" s="193">
        <v>1.0</v>
      </c>
      <c r="J39" s="195">
        <f t="shared" si="8"/>
        <v>1732.752061</v>
      </c>
      <c r="K39" s="139"/>
      <c r="L39" s="178">
        <f t="shared" si="17"/>
        <v>5.1308</v>
      </c>
      <c r="M39" s="162">
        <f t="shared" si="18"/>
        <v>1</v>
      </c>
      <c r="N39" s="162">
        <f t="shared" si="19"/>
        <v>5.1308</v>
      </c>
      <c r="O39" s="139"/>
      <c r="P39" s="139"/>
      <c r="Q39" s="178">
        <v>1730.0</v>
      </c>
      <c r="R39" s="190">
        <v>29.5</v>
      </c>
      <c r="S39" s="178">
        <f t="shared" si="9"/>
        <v>28.79</v>
      </c>
      <c r="T39" s="162">
        <f t="shared" si="10"/>
        <v>1</v>
      </c>
      <c r="U39" s="162">
        <f t="shared" si="11"/>
        <v>28.79</v>
      </c>
      <c r="V39" s="191">
        <f t="shared" si="12"/>
        <v>1732.752061</v>
      </c>
      <c r="W39" s="178">
        <f t="shared" ref="W39:X39" si="28">C39/100</f>
        <v>1.01</v>
      </c>
      <c r="X39" s="178">
        <f t="shared" si="28"/>
        <v>2.02</v>
      </c>
      <c r="Y39" s="178">
        <f t="shared" si="14"/>
        <v>28.79</v>
      </c>
      <c r="Z39" s="192">
        <f t="shared" si="15"/>
        <v>58.737358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13.0</v>
      </c>
      <c r="B40" s="193" t="s">
        <v>55</v>
      </c>
      <c r="C40" s="193">
        <v>99.0</v>
      </c>
      <c r="D40" s="193">
        <v>202.0</v>
      </c>
      <c r="E40" s="193">
        <v>2872.0</v>
      </c>
      <c r="F40" s="193">
        <f t="shared" si="5"/>
        <v>0</v>
      </c>
      <c r="G40" s="193">
        <f t="shared" si="6"/>
        <v>1694.310552</v>
      </c>
      <c r="H40" s="194">
        <f t="shared" si="7"/>
        <v>1694.310552</v>
      </c>
      <c r="I40" s="193">
        <v>1.0</v>
      </c>
      <c r="J40" s="195">
        <f t="shared" si="8"/>
        <v>1694.310552</v>
      </c>
      <c r="K40" s="139"/>
      <c r="L40" s="178">
        <f t="shared" si="17"/>
        <v>5.1308</v>
      </c>
      <c r="M40" s="162">
        <f t="shared" si="18"/>
        <v>1</v>
      </c>
      <c r="N40" s="162">
        <f t="shared" si="19"/>
        <v>5.1308</v>
      </c>
      <c r="O40" s="139"/>
      <c r="P40" s="139"/>
      <c r="Q40" s="178">
        <v>1725.0</v>
      </c>
      <c r="R40" s="190">
        <v>29.5</v>
      </c>
      <c r="S40" s="178">
        <f t="shared" si="9"/>
        <v>28.72</v>
      </c>
      <c r="T40" s="162">
        <f t="shared" si="10"/>
        <v>1</v>
      </c>
      <c r="U40" s="162">
        <f t="shared" si="11"/>
        <v>28.72</v>
      </c>
      <c r="V40" s="191">
        <f t="shared" si="12"/>
        <v>1694.310552</v>
      </c>
      <c r="W40" s="178">
        <f t="shared" ref="W40:X40" si="29">C40/100</f>
        <v>0.99</v>
      </c>
      <c r="X40" s="178">
        <f t="shared" si="29"/>
        <v>2.02</v>
      </c>
      <c r="Y40" s="178">
        <f t="shared" si="14"/>
        <v>28.72</v>
      </c>
      <c r="Z40" s="192">
        <f t="shared" si="15"/>
        <v>57.434256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14.0</v>
      </c>
      <c r="B41" s="193" t="s">
        <v>55</v>
      </c>
      <c r="C41" s="193">
        <v>99.0</v>
      </c>
      <c r="D41" s="193">
        <v>202.0</v>
      </c>
      <c r="E41" s="193">
        <v>2880.0</v>
      </c>
      <c r="F41" s="193">
        <f t="shared" si="5"/>
        <v>0</v>
      </c>
      <c r="G41" s="193">
        <f t="shared" si="6"/>
        <v>1699.03008</v>
      </c>
      <c r="H41" s="194">
        <f t="shared" si="7"/>
        <v>1699.03008</v>
      </c>
      <c r="I41" s="193">
        <v>1.0</v>
      </c>
      <c r="J41" s="195">
        <f t="shared" si="8"/>
        <v>1699.03008</v>
      </c>
      <c r="K41" s="139"/>
      <c r="L41" s="178">
        <f t="shared" si="17"/>
        <v>5.1308</v>
      </c>
      <c r="M41" s="162">
        <f t="shared" si="18"/>
        <v>1</v>
      </c>
      <c r="N41" s="162">
        <f t="shared" si="19"/>
        <v>5.1308</v>
      </c>
      <c r="O41" s="139"/>
      <c r="P41" s="139"/>
      <c r="Q41" s="178">
        <v>1725.0</v>
      </c>
      <c r="R41" s="190">
        <v>29.5</v>
      </c>
      <c r="S41" s="178">
        <f t="shared" si="9"/>
        <v>28.8</v>
      </c>
      <c r="T41" s="162">
        <f t="shared" si="10"/>
        <v>1</v>
      </c>
      <c r="U41" s="162">
        <f t="shared" si="11"/>
        <v>28.8</v>
      </c>
      <c r="V41" s="191">
        <f t="shared" si="12"/>
        <v>1699.03008</v>
      </c>
      <c r="W41" s="178">
        <f t="shared" ref="W41:X41" si="30">C41/100</f>
        <v>0.99</v>
      </c>
      <c r="X41" s="178">
        <f t="shared" si="30"/>
        <v>2.02</v>
      </c>
      <c r="Y41" s="178">
        <f t="shared" si="14"/>
        <v>28.8</v>
      </c>
      <c r="Z41" s="192">
        <f t="shared" si="15"/>
        <v>57.59424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15.0</v>
      </c>
      <c r="B42" s="193" t="s">
        <v>55</v>
      </c>
      <c r="C42" s="193">
        <v>99.0</v>
      </c>
      <c r="D42" s="193">
        <v>202.0</v>
      </c>
      <c r="E42" s="193">
        <v>2876.0</v>
      </c>
      <c r="F42" s="193">
        <f t="shared" si="5"/>
        <v>0</v>
      </c>
      <c r="G42" s="193">
        <f t="shared" si="6"/>
        <v>1696.670316</v>
      </c>
      <c r="H42" s="194">
        <f t="shared" si="7"/>
        <v>1696.670316</v>
      </c>
      <c r="I42" s="193">
        <v>1.0</v>
      </c>
      <c r="J42" s="195">
        <f t="shared" si="8"/>
        <v>1696.670316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1730.0</v>
      </c>
      <c r="R42" s="190">
        <v>29.5</v>
      </c>
      <c r="S42" s="178">
        <f t="shared" si="9"/>
        <v>28.76</v>
      </c>
      <c r="T42" s="162">
        <f t="shared" si="10"/>
        <v>1</v>
      </c>
      <c r="U42" s="162">
        <f t="shared" si="11"/>
        <v>28.76</v>
      </c>
      <c r="V42" s="191">
        <f t="shared" si="12"/>
        <v>1696.670316</v>
      </c>
      <c r="W42" s="178">
        <f t="shared" ref="W42:X42" si="31">C42/100</f>
        <v>0.99</v>
      </c>
      <c r="X42" s="178">
        <f t="shared" si="31"/>
        <v>2.02</v>
      </c>
      <c r="Y42" s="178">
        <f t="shared" si="14"/>
        <v>28.76</v>
      </c>
      <c r="Z42" s="192">
        <f t="shared" si="15"/>
        <v>57.514248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16.0</v>
      </c>
      <c r="B43" s="193" t="s">
        <v>55</v>
      </c>
      <c r="C43" s="193">
        <v>99.0</v>
      </c>
      <c r="D43" s="193">
        <v>202.0</v>
      </c>
      <c r="E43" s="193">
        <v>2875.0</v>
      </c>
      <c r="F43" s="193">
        <f t="shared" si="5"/>
        <v>0</v>
      </c>
      <c r="G43" s="193">
        <f t="shared" si="6"/>
        <v>1696.080375</v>
      </c>
      <c r="H43" s="194">
        <f t="shared" si="7"/>
        <v>1696.080375</v>
      </c>
      <c r="I43" s="193">
        <v>1.0</v>
      </c>
      <c r="J43" s="195">
        <f t="shared" si="8"/>
        <v>1696.080375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1725.0</v>
      </c>
      <c r="R43" s="190">
        <v>29.5</v>
      </c>
      <c r="S43" s="178">
        <f t="shared" si="9"/>
        <v>28.75</v>
      </c>
      <c r="T43" s="162">
        <f t="shared" si="10"/>
        <v>1</v>
      </c>
      <c r="U43" s="162">
        <f t="shared" si="11"/>
        <v>28.75</v>
      </c>
      <c r="V43" s="191">
        <f t="shared" si="12"/>
        <v>1696.080375</v>
      </c>
      <c r="W43" s="178">
        <f t="shared" ref="W43:X43" si="32">C43/100</f>
        <v>0.99</v>
      </c>
      <c r="X43" s="178">
        <f t="shared" si="32"/>
        <v>2.02</v>
      </c>
      <c r="Y43" s="178">
        <f t="shared" si="14"/>
        <v>28.75</v>
      </c>
      <c r="Z43" s="192">
        <f t="shared" si="15"/>
        <v>57.49425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17.0</v>
      </c>
      <c r="B44" s="193" t="s">
        <v>55</v>
      </c>
      <c r="C44" s="193">
        <v>97.0</v>
      </c>
      <c r="D44" s="193">
        <v>202.0</v>
      </c>
      <c r="E44" s="193">
        <v>2875.0</v>
      </c>
      <c r="F44" s="193">
        <f t="shared" si="5"/>
        <v>0</v>
      </c>
      <c r="G44" s="193">
        <f t="shared" si="6"/>
        <v>1661.816125</v>
      </c>
      <c r="H44" s="194">
        <f t="shared" si="7"/>
        <v>1661.816125</v>
      </c>
      <c r="I44" s="193">
        <v>1.0</v>
      </c>
      <c r="J44" s="195">
        <f t="shared" si="8"/>
        <v>1661.816125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1725.0</v>
      </c>
      <c r="R44" s="190">
        <v>29.5</v>
      </c>
      <c r="S44" s="178">
        <f t="shared" si="9"/>
        <v>28.75</v>
      </c>
      <c r="T44" s="162">
        <f t="shared" si="10"/>
        <v>1</v>
      </c>
      <c r="U44" s="162">
        <f t="shared" si="11"/>
        <v>28.75</v>
      </c>
      <c r="V44" s="191">
        <f t="shared" si="12"/>
        <v>1661.816125</v>
      </c>
      <c r="W44" s="178">
        <f t="shared" ref="W44:X44" si="33">C44/100</f>
        <v>0.97</v>
      </c>
      <c r="X44" s="178">
        <f t="shared" si="33"/>
        <v>2.02</v>
      </c>
      <c r="Y44" s="178">
        <f t="shared" si="14"/>
        <v>28.75</v>
      </c>
      <c r="Z44" s="192">
        <f t="shared" si="15"/>
        <v>56.33275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18.0</v>
      </c>
      <c r="B45" s="193" t="s">
        <v>55</v>
      </c>
      <c r="C45" s="193">
        <v>98.0</v>
      </c>
      <c r="D45" s="193">
        <v>202.0</v>
      </c>
      <c r="E45" s="193">
        <v>2875.0</v>
      </c>
      <c r="F45" s="193">
        <f t="shared" si="5"/>
        <v>0</v>
      </c>
      <c r="G45" s="193">
        <f t="shared" si="6"/>
        <v>1678.94825</v>
      </c>
      <c r="H45" s="194">
        <f t="shared" si="7"/>
        <v>1678.94825</v>
      </c>
      <c r="I45" s="193">
        <v>1.0</v>
      </c>
      <c r="J45" s="195">
        <f t="shared" si="8"/>
        <v>1678.94825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1725.0</v>
      </c>
      <c r="R45" s="190">
        <v>29.5</v>
      </c>
      <c r="S45" s="178">
        <f t="shared" si="9"/>
        <v>28.75</v>
      </c>
      <c r="T45" s="162">
        <f t="shared" si="10"/>
        <v>1</v>
      </c>
      <c r="U45" s="162">
        <f t="shared" si="11"/>
        <v>28.75</v>
      </c>
      <c r="V45" s="191">
        <f t="shared" si="12"/>
        <v>1678.94825</v>
      </c>
      <c r="W45" s="178">
        <f t="shared" ref="W45:X45" si="34">C45/100</f>
        <v>0.98</v>
      </c>
      <c r="X45" s="178">
        <f t="shared" si="34"/>
        <v>2.02</v>
      </c>
      <c r="Y45" s="178">
        <f t="shared" si="14"/>
        <v>28.75</v>
      </c>
      <c r="Z45" s="192">
        <f t="shared" si="15"/>
        <v>56.9135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19.0</v>
      </c>
      <c r="B46" s="193" t="s">
        <v>55</v>
      </c>
      <c r="C46" s="193">
        <v>95.0</v>
      </c>
      <c r="D46" s="193">
        <v>202.0</v>
      </c>
      <c r="E46" s="193">
        <v>2884.0</v>
      </c>
      <c r="F46" s="193">
        <f t="shared" si="5"/>
        <v>0</v>
      </c>
      <c r="G46" s="193">
        <f t="shared" si="6"/>
        <v>1632.64682</v>
      </c>
      <c r="H46" s="194">
        <f t="shared" si="7"/>
        <v>1632.64682</v>
      </c>
      <c r="I46" s="193">
        <v>1.0</v>
      </c>
      <c r="J46" s="195">
        <f t="shared" si="8"/>
        <v>1632.64682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1715.0</v>
      </c>
      <c r="R46" s="190">
        <v>29.5</v>
      </c>
      <c r="S46" s="178">
        <f t="shared" si="9"/>
        <v>28.84</v>
      </c>
      <c r="T46" s="162">
        <f t="shared" si="10"/>
        <v>1</v>
      </c>
      <c r="U46" s="162">
        <f t="shared" si="11"/>
        <v>28.84</v>
      </c>
      <c r="V46" s="191">
        <f t="shared" si="12"/>
        <v>1632.64682</v>
      </c>
      <c r="W46" s="178">
        <f t="shared" ref="W46:X46" si="35">C46/100</f>
        <v>0.95</v>
      </c>
      <c r="X46" s="178">
        <f t="shared" si="35"/>
        <v>2.02</v>
      </c>
      <c r="Y46" s="178">
        <f t="shared" si="14"/>
        <v>28.84</v>
      </c>
      <c r="Z46" s="192">
        <f t="shared" si="15"/>
        <v>55.34396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20.0</v>
      </c>
      <c r="B47" s="193" t="s">
        <v>55</v>
      </c>
      <c r="C47" s="193">
        <v>96.0</v>
      </c>
      <c r="D47" s="193">
        <v>202.0</v>
      </c>
      <c r="E47" s="193">
        <v>2875.0</v>
      </c>
      <c r="F47" s="193">
        <f t="shared" si="5"/>
        <v>0</v>
      </c>
      <c r="G47" s="193">
        <f t="shared" si="6"/>
        <v>1644.684</v>
      </c>
      <c r="H47" s="194">
        <f t="shared" si="7"/>
        <v>1644.684</v>
      </c>
      <c r="I47" s="193">
        <v>1.0</v>
      </c>
      <c r="J47" s="195">
        <f t="shared" si="8"/>
        <v>1644.684</v>
      </c>
      <c r="K47" s="139"/>
      <c r="L47" s="178">
        <f t="shared" si="17"/>
        <v>5.1308</v>
      </c>
      <c r="M47" s="162">
        <f t="shared" si="18"/>
        <v>1</v>
      </c>
      <c r="N47" s="162">
        <f t="shared" si="19"/>
        <v>5.1308</v>
      </c>
      <c r="O47" s="139"/>
      <c r="P47" s="139"/>
      <c r="Q47" s="178">
        <v>1720.0</v>
      </c>
      <c r="R47" s="190">
        <v>29.5</v>
      </c>
      <c r="S47" s="178">
        <f t="shared" si="9"/>
        <v>28.75</v>
      </c>
      <c r="T47" s="162">
        <f t="shared" si="10"/>
        <v>1</v>
      </c>
      <c r="U47" s="162">
        <f t="shared" si="11"/>
        <v>28.75</v>
      </c>
      <c r="V47" s="191">
        <f t="shared" si="12"/>
        <v>1644.684</v>
      </c>
      <c r="W47" s="178">
        <f t="shared" ref="W47:X47" si="36">C47/100</f>
        <v>0.96</v>
      </c>
      <c r="X47" s="178">
        <f t="shared" si="36"/>
        <v>2.02</v>
      </c>
      <c r="Y47" s="178">
        <f t="shared" si="14"/>
        <v>28.75</v>
      </c>
      <c r="Z47" s="192">
        <f t="shared" si="15"/>
        <v>55.752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21.0</v>
      </c>
      <c r="B48" s="183" t="s">
        <v>63</v>
      </c>
      <c r="C48" s="184">
        <v>94.0</v>
      </c>
      <c r="D48" s="184">
        <v>202.0</v>
      </c>
      <c r="E48" s="184">
        <v>175.0</v>
      </c>
      <c r="F48" s="184">
        <f t="shared" si="5"/>
        <v>0.8</v>
      </c>
      <c r="G48" s="184">
        <f t="shared" si="6"/>
        <v>98.02555</v>
      </c>
      <c r="H48" s="185">
        <f t="shared" si="7"/>
        <v>78.42044</v>
      </c>
      <c r="I48" s="184">
        <v>1.0</v>
      </c>
      <c r="J48" s="186">
        <f t="shared" si="8"/>
        <v>78.42044</v>
      </c>
      <c r="K48" s="187"/>
      <c r="L48" s="188">
        <f t="shared" si="17"/>
        <v>5.1308</v>
      </c>
      <c r="M48" s="189">
        <f t="shared" si="18"/>
        <v>1</v>
      </c>
      <c r="N48" s="189">
        <f t="shared" si="19"/>
        <v>5.1308</v>
      </c>
      <c r="O48" s="187"/>
      <c r="P48" s="187"/>
      <c r="Q48" s="188">
        <v>99.0</v>
      </c>
      <c r="R48" s="190">
        <v>29.5</v>
      </c>
      <c r="S48" s="178">
        <f t="shared" si="9"/>
        <v>1.75</v>
      </c>
      <c r="T48" s="162">
        <f t="shared" si="10"/>
        <v>1</v>
      </c>
      <c r="U48" s="162">
        <f t="shared" si="11"/>
        <v>1.75</v>
      </c>
      <c r="V48" s="191">
        <f t="shared" si="12"/>
        <v>98.02555</v>
      </c>
      <c r="W48" s="178">
        <f t="shared" ref="W48:X48" si="37">C48/100</f>
        <v>0.94</v>
      </c>
      <c r="X48" s="178">
        <f t="shared" si="37"/>
        <v>2.02</v>
      </c>
      <c r="Y48" s="178">
        <f t="shared" si="14"/>
        <v>1.75</v>
      </c>
      <c r="Z48" s="192">
        <f t="shared" si="15"/>
        <v>3.3229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22.0</v>
      </c>
      <c r="B49" s="193" t="s">
        <v>55</v>
      </c>
      <c r="C49" s="193">
        <v>96.0</v>
      </c>
      <c r="D49" s="193">
        <v>202.0</v>
      </c>
      <c r="E49" s="193">
        <v>2873.0</v>
      </c>
      <c r="F49" s="193">
        <f t="shared" si="5"/>
        <v>0</v>
      </c>
      <c r="G49" s="193">
        <f t="shared" si="6"/>
        <v>1643.539872</v>
      </c>
      <c r="H49" s="194">
        <f t="shared" si="7"/>
        <v>1643.539872</v>
      </c>
      <c r="I49" s="193">
        <v>1.0</v>
      </c>
      <c r="J49" s="195">
        <f t="shared" si="8"/>
        <v>1643.539872</v>
      </c>
      <c r="K49" s="139"/>
      <c r="L49" s="178">
        <f t="shared" si="17"/>
        <v>5.1308</v>
      </c>
      <c r="M49" s="162">
        <f t="shared" si="18"/>
        <v>1</v>
      </c>
      <c r="N49" s="162">
        <f t="shared" si="19"/>
        <v>5.1308</v>
      </c>
      <c r="O49" s="139"/>
      <c r="P49" s="139"/>
      <c r="Q49" s="178">
        <v>1715.0</v>
      </c>
      <c r="R49" s="190">
        <v>29.5</v>
      </c>
      <c r="S49" s="178">
        <f t="shared" si="9"/>
        <v>28.73</v>
      </c>
      <c r="T49" s="162">
        <f t="shared" si="10"/>
        <v>1</v>
      </c>
      <c r="U49" s="162">
        <f t="shared" si="11"/>
        <v>28.73</v>
      </c>
      <c r="V49" s="191">
        <f t="shared" si="12"/>
        <v>1643.539872</v>
      </c>
      <c r="W49" s="178">
        <f t="shared" ref="W49:X49" si="38">C49/100</f>
        <v>0.96</v>
      </c>
      <c r="X49" s="178">
        <f t="shared" si="38"/>
        <v>2.02</v>
      </c>
      <c r="Y49" s="178">
        <f t="shared" si="14"/>
        <v>28.73</v>
      </c>
      <c r="Z49" s="192">
        <f t="shared" si="15"/>
        <v>55.713216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23.0</v>
      </c>
      <c r="B50" s="193" t="s">
        <v>55</v>
      </c>
      <c r="C50" s="193">
        <v>99.0</v>
      </c>
      <c r="D50" s="193">
        <v>202.0</v>
      </c>
      <c r="E50" s="193">
        <v>2879.0</v>
      </c>
      <c r="F50" s="193">
        <f t="shared" si="5"/>
        <v>0</v>
      </c>
      <c r="G50" s="193">
        <f t="shared" si="6"/>
        <v>1698.440139</v>
      </c>
      <c r="H50" s="194">
        <f t="shared" si="7"/>
        <v>1698.440139</v>
      </c>
      <c r="I50" s="193">
        <v>1.0</v>
      </c>
      <c r="J50" s="195">
        <f t="shared" si="8"/>
        <v>1698.440139</v>
      </c>
      <c r="K50" s="139"/>
      <c r="L50" s="178">
        <f t="shared" si="17"/>
        <v>5.1308</v>
      </c>
      <c r="M50" s="162">
        <f t="shared" si="18"/>
        <v>1</v>
      </c>
      <c r="N50" s="162">
        <f t="shared" si="19"/>
        <v>5.1308</v>
      </c>
      <c r="O50" s="139"/>
      <c r="P50" s="139"/>
      <c r="Q50" s="178">
        <v>1725.0</v>
      </c>
      <c r="R50" s="190">
        <v>29.5</v>
      </c>
      <c r="S50" s="178">
        <f t="shared" si="9"/>
        <v>28.79</v>
      </c>
      <c r="T50" s="162">
        <f t="shared" si="10"/>
        <v>1</v>
      </c>
      <c r="U50" s="162">
        <f t="shared" si="11"/>
        <v>28.79</v>
      </c>
      <c r="V50" s="191">
        <f t="shared" si="12"/>
        <v>1698.440139</v>
      </c>
      <c r="W50" s="178">
        <f t="shared" ref="W50:X50" si="39">C50/100</f>
        <v>0.99</v>
      </c>
      <c r="X50" s="178">
        <f t="shared" si="39"/>
        <v>2.02</v>
      </c>
      <c r="Y50" s="178">
        <f t="shared" si="14"/>
        <v>28.79</v>
      </c>
      <c r="Z50" s="192">
        <f t="shared" si="15"/>
        <v>57.574242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24.0</v>
      </c>
      <c r="B51" s="193" t="s">
        <v>55</v>
      </c>
      <c r="C51" s="193">
        <v>99.0</v>
      </c>
      <c r="D51" s="193">
        <v>202.0</v>
      </c>
      <c r="E51" s="193">
        <v>2871.0</v>
      </c>
      <c r="F51" s="193">
        <f t="shared" si="5"/>
        <v>0</v>
      </c>
      <c r="G51" s="193">
        <f t="shared" si="6"/>
        <v>1693.720611</v>
      </c>
      <c r="H51" s="194">
        <f t="shared" si="7"/>
        <v>1693.720611</v>
      </c>
      <c r="I51" s="193">
        <v>1.0</v>
      </c>
      <c r="J51" s="195">
        <f t="shared" si="8"/>
        <v>1693.720611</v>
      </c>
      <c r="K51" s="139"/>
      <c r="L51" s="178">
        <f t="shared" si="17"/>
        <v>5.1308</v>
      </c>
      <c r="M51" s="162">
        <f t="shared" si="18"/>
        <v>1</v>
      </c>
      <c r="N51" s="162">
        <f t="shared" si="19"/>
        <v>5.1308</v>
      </c>
      <c r="O51" s="139"/>
      <c r="P51" s="139"/>
      <c r="Q51" s="178">
        <v>1710.0</v>
      </c>
      <c r="R51" s="190">
        <v>29.5</v>
      </c>
      <c r="S51" s="178">
        <f t="shared" si="9"/>
        <v>28.71</v>
      </c>
      <c r="T51" s="162">
        <f t="shared" si="10"/>
        <v>1</v>
      </c>
      <c r="U51" s="162">
        <f t="shared" si="11"/>
        <v>28.71</v>
      </c>
      <c r="V51" s="191">
        <f t="shared" si="12"/>
        <v>1693.720611</v>
      </c>
      <c r="W51" s="178">
        <f t="shared" ref="W51:X51" si="40">C51/100</f>
        <v>0.99</v>
      </c>
      <c r="X51" s="178">
        <f t="shared" si="40"/>
        <v>2.02</v>
      </c>
      <c r="Y51" s="178">
        <f t="shared" si="14"/>
        <v>28.71</v>
      </c>
      <c r="Z51" s="192">
        <f t="shared" si="15"/>
        <v>57.414258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25.0</v>
      </c>
      <c r="B52" s="193" t="s">
        <v>55</v>
      </c>
      <c r="C52" s="193">
        <v>100.0</v>
      </c>
      <c r="D52" s="193">
        <v>202.0</v>
      </c>
      <c r="E52" s="193">
        <v>2875.0</v>
      </c>
      <c r="F52" s="193">
        <f t="shared" si="5"/>
        <v>0</v>
      </c>
      <c r="G52" s="193">
        <f t="shared" si="6"/>
        <v>1713.2125</v>
      </c>
      <c r="H52" s="194">
        <f t="shared" si="7"/>
        <v>1713.2125</v>
      </c>
      <c r="I52" s="193">
        <v>1.0</v>
      </c>
      <c r="J52" s="195">
        <f t="shared" si="8"/>
        <v>1713.2125</v>
      </c>
      <c r="K52" s="139"/>
      <c r="L52" s="178">
        <f t="shared" si="17"/>
        <v>5.1308</v>
      </c>
      <c r="M52" s="162">
        <f t="shared" si="18"/>
        <v>1</v>
      </c>
      <c r="N52" s="162">
        <f t="shared" si="19"/>
        <v>5.1308</v>
      </c>
      <c r="O52" s="139"/>
      <c r="P52" s="139"/>
      <c r="Q52" s="178">
        <v>1715.0</v>
      </c>
      <c r="R52" s="190">
        <v>29.5</v>
      </c>
      <c r="S52" s="178">
        <f t="shared" si="9"/>
        <v>28.75</v>
      </c>
      <c r="T52" s="162">
        <f t="shared" si="10"/>
        <v>1</v>
      </c>
      <c r="U52" s="162">
        <f t="shared" si="11"/>
        <v>28.75</v>
      </c>
      <c r="V52" s="191">
        <f t="shared" si="12"/>
        <v>1713.2125</v>
      </c>
      <c r="W52" s="178">
        <f t="shared" ref="W52:X52" si="41">C52/100</f>
        <v>1</v>
      </c>
      <c r="X52" s="178">
        <f t="shared" si="41"/>
        <v>2.02</v>
      </c>
      <c r="Y52" s="178">
        <f t="shared" si="14"/>
        <v>28.75</v>
      </c>
      <c r="Z52" s="192">
        <f t="shared" si="15"/>
        <v>58.075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26.0</v>
      </c>
      <c r="B53" s="196" t="s">
        <v>57</v>
      </c>
      <c r="C53" s="193">
        <v>100.0</v>
      </c>
      <c r="D53" s="193">
        <v>202.0</v>
      </c>
      <c r="E53" s="193">
        <v>2874.0</v>
      </c>
      <c r="F53" s="193">
        <f t="shared" si="5"/>
        <v>0</v>
      </c>
      <c r="G53" s="193">
        <f t="shared" si="6"/>
        <v>1712.6166</v>
      </c>
      <c r="H53" s="194">
        <f t="shared" si="7"/>
        <v>1712.6166</v>
      </c>
      <c r="I53" s="193">
        <v>1.0</v>
      </c>
      <c r="J53" s="195">
        <f t="shared" si="8"/>
        <v>1712.6166</v>
      </c>
      <c r="K53" s="139"/>
      <c r="L53" s="197"/>
      <c r="M53" s="198">
        <f t="shared" si="18"/>
        <v>1</v>
      </c>
      <c r="N53" s="198"/>
      <c r="O53" s="139"/>
      <c r="P53" s="139"/>
      <c r="Q53" s="178">
        <v>1675.0</v>
      </c>
      <c r="R53" s="190">
        <v>29.5</v>
      </c>
      <c r="S53" s="178">
        <f t="shared" si="9"/>
        <v>28.74</v>
      </c>
      <c r="T53" s="162">
        <f t="shared" si="10"/>
        <v>1</v>
      </c>
      <c r="U53" s="162">
        <f t="shared" si="11"/>
        <v>28.74</v>
      </c>
      <c r="V53" s="191">
        <f t="shared" si="12"/>
        <v>1712.6166</v>
      </c>
      <c r="W53" s="178">
        <f t="shared" ref="W53:X53" si="42">C53/100</f>
        <v>1</v>
      </c>
      <c r="X53" s="178">
        <f t="shared" si="42"/>
        <v>2.02</v>
      </c>
      <c r="Y53" s="178">
        <f t="shared" si="14"/>
        <v>28.74</v>
      </c>
      <c r="Z53" s="192">
        <f t="shared" si="15"/>
        <v>58.0548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27.0</v>
      </c>
      <c r="B54" s="193" t="s">
        <v>57</v>
      </c>
      <c r="C54" s="193">
        <v>102.0</v>
      </c>
      <c r="D54" s="193">
        <v>202.0</v>
      </c>
      <c r="E54" s="193">
        <v>2876.0</v>
      </c>
      <c r="F54" s="193">
        <f t="shared" si="5"/>
        <v>0</v>
      </c>
      <c r="G54" s="193">
        <f t="shared" si="6"/>
        <v>1748.084568</v>
      </c>
      <c r="H54" s="194">
        <f t="shared" si="7"/>
        <v>1748.084568</v>
      </c>
      <c r="I54" s="193">
        <v>1.0</v>
      </c>
      <c r="J54" s="195">
        <f t="shared" si="8"/>
        <v>1748.084568</v>
      </c>
      <c r="K54" s="139"/>
      <c r="L54" s="197"/>
      <c r="M54" s="198">
        <f t="shared" si="18"/>
        <v>1</v>
      </c>
      <c r="N54" s="198"/>
      <c r="O54" s="139"/>
      <c r="P54" s="139"/>
      <c r="Q54" s="178">
        <v>1700.0</v>
      </c>
      <c r="R54" s="190">
        <v>29.5</v>
      </c>
      <c r="S54" s="178">
        <f t="shared" si="9"/>
        <v>28.76</v>
      </c>
      <c r="T54" s="162">
        <f t="shared" si="10"/>
        <v>1</v>
      </c>
      <c r="U54" s="162">
        <f t="shared" si="11"/>
        <v>28.76</v>
      </c>
      <c r="V54" s="191">
        <f t="shared" si="12"/>
        <v>1748.084568</v>
      </c>
      <c r="W54" s="178">
        <f t="shared" ref="W54:X54" si="43">C54/100</f>
        <v>1.02</v>
      </c>
      <c r="X54" s="178">
        <f t="shared" si="43"/>
        <v>2.02</v>
      </c>
      <c r="Y54" s="178">
        <f t="shared" si="14"/>
        <v>28.76</v>
      </c>
      <c r="Z54" s="192">
        <f t="shared" si="15"/>
        <v>59.257104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28.0</v>
      </c>
      <c r="B55" s="193" t="s">
        <v>57</v>
      </c>
      <c r="C55" s="193">
        <v>99.0</v>
      </c>
      <c r="D55" s="193">
        <v>202.0</v>
      </c>
      <c r="E55" s="193">
        <v>2877.0</v>
      </c>
      <c r="F55" s="193">
        <f t="shared" si="5"/>
        <v>0</v>
      </c>
      <c r="G55" s="193">
        <f t="shared" si="6"/>
        <v>1697.260257</v>
      </c>
      <c r="H55" s="194">
        <f t="shared" si="7"/>
        <v>1697.260257</v>
      </c>
      <c r="I55" s="193">
        <v>1.0</v>
      </c>
      <c r="J55" s="195">
        <f t="shared" si="8"/>
        <v>1697.260257</v>
      </c>
      <c r="K55" s="139"/>
      <c r="L55" s="197"/>
      <c r="M55" s="198">
        <f t="shared" si="18"/>
        <v>1</v>
      </c>
      <c r="N55" s="198"/>
      <c r="O55" s="139"/>
      <c r="P55" s="139"/>
      <c r="Q55" s="178">
        <v>1665.0</v>
      </c>
      <c r="R55" s="190">
        <v>29.5</v>
      </c>
      <c r="S55" s="178">
        <f t="shared" si="9"/>
        <v>28.77</v>
      </c>
      <c r="T55" s="162">
        <f t="shared" si="10"/>
        <v>1</v>
      </c>
      <c r="U55" s="162">
        <f t="shared" si="11"/>
        <v>28.77</v>
      </c>
      <c r="V55" s="191">
        <f t="shared" si="12"/>
        <v>1697.260257</v>
      </c>
      <c r="W55" s="178">
        <f t="shared" ref="W55:X55" si="44">C55/100</f>
        <v>0.99</v>
      </c>
      <c r="X55" s="178">
        <f t="shared" si="44"/>
        <v>2.02</v>
      </c>
      <c r="Y55" s="178">
        <f t="shared" si="14"/>
        <v>28.77</v>
      </c>
      <c r="Z55" s="192">
        <f t="shared" si="15"/>
        <v>57.534246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29.0</v>
      </c>
      <c r="B56" s="272" t="s">
        <v>121</v>
      </c>
      <c r="C56" s="272">
        <v>100.0</v>
      </c>
      <c r="D56" s="272">
        <v>202.0</v>
      </c>
      <c r="E56" s="272">
        <v>222.0</v>
      </c>
      <c r="F56" s="272">
        <f t="shared" si="5"/>
        <v>0.5</v>
      </c>
      <c r="G56" s="272">
        <f t="shared" si="6"/>
        <v>132.2898</v>
      </c>
      <c r="H56" s="273">
        <f t="shared" si="7"/>
        <v>66.1449</v>
      </c>
      <c r="I56" s="272">
        <v>1.0</v>
      </c>
      <c r="J56" s="274">
        <f t="shared" si="8"/>
        <v>66.1449</v>
      </c>
      <c r="K56" s="275"/>
      <c r="L56" s="291"/>
      <c r="M56" s="292">
        <f t="shared" si="18"/>
        <v>1</v>
      </c>
      <c r="N56" s="292"/>
      <c r="O56" s="275"/>
      <c r="P56" s="275"/>
      <c r="Q56" s="276">
        <v>133.0</v>
      </c>
      <c r="R56" s="190">
        <v>29.5</v>
      </c>
      <c r="S56" s="178">
        <f t="shared" si="9"/>
        <v>2.22</v>
      </c>
      <c r="T56" s="162">
        <f t="shared" si="10"/>
        <v>1</v>
      </c>
      <c r="U56" s="162">
        <f t="shared" si="11"/>
        <v>2.22</v>
      </c>
      <c r="V56" s="191">
        <f t="shared" si="12"/>
        <v>132.2898</v>
      </c>
      <c r="W56" s="178">
        <f t="shared" ref="W56:X56" si="45">C56/100</f>
        <v>1</v>
      </c>
      <c r="X56" s="178">
        <f t="shared" si="45"/>
        <v>2.02</v>
      </c>
      <c r="Y56" s="178">
        <f t="shared" si="14"/>
        <v>2.22</v>
      </c>
      <c r="Z56" s="192">
        <f t="shared" si="15"/>
        <v>4.4844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30.0</v>
      </c>
      <c r="B57" s="183" t="s">
        <v>122</v>
      </c>
      <c r="C57" s="184">
        <v>83.0</v>
      </c>
      <c r="D57" s="184">
        <v>199.0</v>
      </c>
      <c r="E57" s="184">
        <v>165.0</v>
      </c>
      <c r="F57" s="184">
        <f t="shared" si="5"/>
        <v>0.8</v>
      </c>
      <c r="G57" s="184">
        <f t="shared" si="6"/>
        <v>70.85793</v>
      </c>
      <c r="H57" s="185">
        <f t="shared" si="7"/>
        <v>56.686344</v>
      </c>
      <c r="I57" s="184">
        <v>1.0</v>
      </c>
      <c r="J57" s="186">
        <f t="shared" si="8"/>
        <v>56.686344</v>
      </c>
      <c r="K57" s="187"/>
      <c r="L57" s="188"/>
      <c r="M57" s="189">
        <f t="shared" si="18"/>
        <v>1</v>
      </c>
      <c r="N57" s="189"/>
      <c r="O57" s="187"/>
      <c r="P57" s="187"/>
      <c r="Q57" s="188">
        <v>79.0</v>
      </c>
      <c r="R57" s="190">
        <v>26.0</v>
      </c>
      <c r="S57" s="178">
        <f t="shared" si="9"/>
        <v>1.65</v>
      </c>
      <c r="T57" s="162">
        <f t="shared" si="10"/>
        <v>1</v>
      </c>
      <c r="U57" s="162">
        <f t="shared" si="11"/>
        <v>1.65</v>
      </c>
      <c r="V57" s="191">
        <f t="shared" si="12"/>
        <v>70.85793</v>
      </c>
      <c r="W57" s="178">
        <f t="shared" ref="W57:X57" si="46">C57/100</f>
        <v>0.83</v>
      </c>
      <c r="X57" s="178">
        <f t="shared" si="46"/>
        <v>1.99</v>
      </c>
      <c r="Y57" s="178">
        <f t="shared" si="14"/>
        <v>1.65</v>
      </c>
      <c r="Z57" s="192">
        <f t="shared" si="15"/>
        <v>2.725305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31.0</v>
      </c>
      <c r="B58" s="193" t="s">
        <v>119</v>
      </c>
      <c r="C58" s="193">
        <v>88.0</v>
      </c>
      <c r="D58" s="193">
        <v>199.0</v>
      </c>
      <c r="E58" s="193">
        <v>225.0</v>
      </c>
      <c r="F58" s="193">
        <f t="shared" si="5"/>
        <v>0</v>
      </c>
      <c r="G58" s="193">
        <f t="shared" si="6"/>
        <v>102.4452</v>
      </c>
      <c r="H58" s="194">
        <f t="shared" si="7"/>
        <v>102.4452</v>
      </c>
      <c r="I58" s="193">
        <v>1.0</v>
      </c>
      <c r="J58" s="195">
        <f t="shared" si="8"/>
        <v>102.4452</v>
      </c>
      <c r="K58" s="139"/>
      <c r="L58" s="197"/>
      <c r="M58" s="198">
        <f t="shared" si="18"/>
        <v>1</v>
      </c>
      <c r="N58" s="198"/>
      <c r="O58" s="139"/>
      <c r="P58" s="139"/>
      <c r="Q58" s="178">
        <v>126.0</v>
      </c>
      <c r="R58" s="190">
        <v>26.0</v>
      </c>
      <c r="S58" s="178">
        <f t="shared" si="9"/>
        <v>2.25</v>
      </c>
      <c r="T58" s="162">
        <f t="shared" si="10"/>
        <v>1</v>
      </c>
      <c r="U58" s="162">
        <f t="shared" si="11"/>
        <v>2.25</v>
      </c>
      <c r="V58" s="191">
        <f t="shared" si="12"/>
        <v>102.4452</v>
      </c>
      <c r="W58" s="178">
        <f t="shared" ref="W58:X58" si="47">C58/100</f>
        <v>0.88</v>
      </c>
      <c r="X58" s="178">
        <f t="shared" si="47"/>
        <v>1.99</v>
      </c>
      <c r="Y58" s="178">
        <f t="shared" si="14"/>
        <v>2.25</v>
      </c>
      <c r="Z58" s="192">
        <f t="shared" si="15"/>
        <v>3.9402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32.0</v>
      </c>
      <c r="B59" s="193" t="s">
        <v>119</v>
      </c>
      <c r="C59" s="193">
        <v>100.0</v>
      </c>
      <c r="D59" s="193">
        <v>199.0</v>
      </c>
      <c r="E59" s="193">
        <v>2873.0</v>
      </c>
      <c r="F59" s="193">
        <f t="shared" si="5"/>
        <v>0</v>
      </c>
      <c r="G59" s="193">
        <f t="shared" si="6"/>
        <v>1486.4902</v>
      </c>
      <c r="H59" s="194">
        <f t="shared" si="7"/>
        <v>1486.4902</v>
      </c>
      <c r="I59" s="193">
        <v>1.0</v>
      </c>
      <c r="J59" s="195">
        <f t="shared" si="8"/>
        <v>1486.4902</v>
      </c>
      <c r="K59" s="139"/>
      <c r="L59" s="197"/>
      <c r="M59" s="198">
        <f t="shared" si="18"/>
        <v>1</v>
      </c>
      <c r="N59" s="198"/>
      <c r="O59" s="139"/>
      <c r="P59" s="139"/>
      <c r="Q59" s="178">
        <v>1550.0</v>
      </c>
      <c r="R59" s="190">
        <v>26.0</v>
      </c>
      <c r="S59" s="178">
        <f t="shared" si="9"/>
        <v>28.73</v>
      </c>
      <c r="T59" s="162">
        <f t="shared" si="10"/>
        <v>1</v>
      </c>
      <c r="U59" s="162">
        <f t="shared" si="11"/>
        <v>28.73</v>
      </c>
      <c r="V59" s="191">
        <f t="shared" si="12"/>
        <v>1486.4902</v>
      </c>
      <c r="W59" s="178">
        <f t="shared" ref="W59:X59" si="48">C59/100</f>
        <v>1</v>
      </c>
      <c r="X59" s="178">
        <f t="shared" si="48"/>
        <v>1.99</v>
      </c>
      <c r="Y59" s="178">
        <f t="shared" si="14"/>
        <v>28.73</v>
      </c>
      <c r="Z59" s="192">
        <f t="shared" si="15"/>
        <v>57.1727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33.0</v>
      </c>
      <c r="B60" s="193" t="s">
        <v>119</v>
      </c>
      <c r="C60" s="193">
        <v>99.0</v>
      </c>
      <c r="D60" s="193">
        <v>199.0</v>
      </c>
      <c r="E60" s="193">
        <v>2873.0</v>
      </c>
      <c r="F60" s="193">
        <f t="shared" si="5"/>
        <v>0</v>
      </c>
      <c r="G60" s="193">
        <f t="shared" si="6"/>
        <v>1471.625298</v>
      </c>
      <c r="H60" s="194">
        <f t="shared" si="7"/>
        <v>1471.625298</v>
      </c>
      <c r="I60" s="193">
        <v>1.0</v>
      </c>
      <c r="J60" s="195">
        <f t="shared" si="8"/>
        <v>1471.625298</v>
      </c>
      <c r="K60" s="139"/>
      <c r="L60" s="197"/>
      <c r="M60" s="198">
        <f t="shared" si="18"/>
        <v>1</v>
      </c>
      <c r="N60" s="198"/>
      <c r="O60" s="139"/>
      <c r="P60" s="139"/>
      <c r="Q60" s="178">
        <v>1505.0</v>
      </c>
      <c r="R60" s="190">
        <v>26.0</v>
      </c>
      <c r="S60" s="178">
        <f t="shared" si="9"/>
        <v>28.73</v>
      </c>
      <c r="T60" s="162">
        <f t="shared" si="10"/>
        <v>1</v>
      </c>
      <c r="U60" s="162">
        <f t="shared" si="11"/>
        <v>28.73</v>
      </c>
      <c r="V60" s="191">
        <f t="shared" si="12"/>
        <v>1471.625298</v>
      </c>
      <c r="W60" s="178">
        <f t="shared" ref="W60:X60" si="49">C60/100</f>
        <v>0.99</v>
      </c>
      <c r="X60" s="178">
        <f t="shared" si="49"/>
        <v>1.99</v>
      </c>
      <c r="Y60" s="178">
        <f t="shared" si="14"/>
        <v>28.73</v>
      </c>
      <c r="Z60" s="192">
        <f t="shared" si="15"/>
        <v>56.600973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34.0</v>
      </c>
      <c r="B61" s="193" t="s">
        <v>119</v>
      </c>
      <c r="C61" s="193">
        <v>102.0</v>
      </c>
      <c r="D61" s="193">
        <v>199.0</v>
      </c>
      <c r="E61" s="193">
        <v>2877.0</v>
      </c>
      <c r="F61" s="193">
        <f t="shared" si="5"/>
        <v>0</v>
      </c>
      <c r="G61" s="193">
        <f t="shared" si="6"/>
        <v>1518.330996</v>
      </c>
      <c r="H61" s="194">
        <f t="shared" si="7"/>
        <v>1518.330996</v>
      </c>
      <c r="I61" s="193">
        <v>1.0</v>
      </c>
      <c r="J61" s="195">
        <f t="shared" si="8"/>
        <v>1518.330996</v>
      </c>
      <c r="K61" s="139"/>
      <c r="L61" s="197"/>
      <c r="M61" s="198">
        <f t="shared" si="18"/>
        <v>1</v>
      </c>
      <c r="N61" s="198"/>
      <c r="O61" s="139"/>
      <c r="P61" s="139"/>
      <c r="Q61" s="178">
        <v>1525.0</v>
      </c>
      <c r="R61" s="190">
        <v>26.0</v>
      </c>
      <c r="S61" s="178">
        <f t="shared" si="9"/>
        <v>28.77</v>
      </c>
      <c r="T61" s="162">
        <f t="shared" si="10"/>
        <v>1</v>
      </c>
      <c r="U61" s="162">
        <f t="shared" si="11"/>
        <v>28.77</v>
      </c>
      <c r="V61" s="191">
        <f t="shared" si="12"/>
        <v>1518.330996</v>
      </c>
      <c r="W61" s="178">
        <f t="shared" ref="W61:X61" si="50">C61/100</f>
        <v>1.02</v>
      </c>
      <c r="X61" s="178">
        <f t="shared" si="50"/>
        <v>1.99</v>
      </c>
      <c r="Y61" s="178">
        <f t="shared" si="14"/>
        <v>28.77</v>
      </c>
      <c r="Z61" s="192">
        <f t="shared" si="15"/>
        <v>58.397346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101.0</v>
      </c>
      <c r="B62" s="193"/>
      <c r="C62" s="193"/>
      <c r="D62" s="193"/>
      <c r="E62" s="193"/>
      <c r="F62" s="193">
        <f t="shared" si="5"/>
        <v>0</v>
      </c>
      <c r="G62" s="193">
        <f t="shared" si="6"/>
        <v>0</v>
      </c>
      <c r="H62" s="194">
        <f t="shared" si="7"/>
        <v>0</v>
      </c>
      <c r="I62" s="193"/>
      <c r="J62" s="195">
        <f t="shared" si="8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9"/>
        <v>0</v>
      </c>
      <c r="T62" s="200" t="str">
        <f t="shared" si="10"/>
        <v/>
      </c>
      <c r="U62" s="200">
        <f t="shared" si="11"/>
        <v>0</v>
      </c>
      <c r="V62" s="203"/>
      <c r="W62" s="199">
        <f t="shared" ref="W62:X62" si="51">C62/100</f>
        <v>0</v>
      </c>
      <c r="X62" s="199">
        <f t="shared" si="51"/>
        <v>0</v>
      </c>
      <c r="Y62" s="199">
        <f t="shared" si="14"/>
        <v>0</v>
      </c>
      <c r="Z62" s="202">
        <f t="shared" si="15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102.0</v>
      </c>
      <c r="B63" s="193"/>
      <c r="C63" s="193"/>
      <c r="D63" s="193"/>
      <c r="E63" s="193"/>
      <c r="F63" s="193">
        <f t="shared" si="5"/>
        <v>0</v>
      </c>
      <c r="G63" s="193">
        <f t="shared" si="6"/>
        <v>0</v>
      </c>
      <c r="H63" s="194">
        <f t="shared" si="7"/>
        <v>0</v>
      </c>
      <c r="I63" s="193"/>
      <c r="J63" s="195">
        <f t="shared" si="8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9"/>
        <v>0</v>
      </c>
      <c r="T63" s="200" t="str">
        <f t="shared" si="10"/>
        <v/>
      </c>
      <c r="U63" s="200">
        <f t="shared" si="11"/>
        <v>0</v>
      </c>
      <c r="V63" s="203"/>
      <c r="W63" s="199">
        <f t="shared" ref="W63:X63" si="52">C63/100</f>
        <v>0</v>
      </c>
      <c r="X63" s="199">
        <f t="shared" si="52"/>
        <v>0</v>
      </c>
      <c r="Y63" s="199">
        <f t="shared" si="14"/>
        <v>0</v>
      </c>
      <c r="Z63" s="202">
        <f t="shared" si="15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103.0</v>
      </c>
      <c r="B64" s="193"/>
      <c r="C64" s="193"/>
      <c r="D64" s="193"/>
      <c r="E64" s="193"/>
      <c r="F64" s="193">
        <f t="shared" si="5"/>
        <v>0</v>
      </c>
      <c r="G64" s="193">
        <f t="shared" si="6"/>
        <v>0</v>
      </c>
      <c r="H64" s="194">
        <f t="shared" si="7"/>
        <v>0</v>
      </c>
      <c r="I64" s="193"/>
      <c r="J64" s="195">
        <f t="shared" si="8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9"/>
        <v>0</v>
      </c>
      <c r="T64" s="200" t="str">
        <f t="shared" si="10"/>
        <v/>
      </c>
      <c r="U64" s="200">
        <f t="shared" si="11"/>
        <v>0</v>
      </c>
      <c r="V64" s="203"/>
      <c r="W64" s="199">
        <f t="shared" ref="W64:X64" si="53">C64/100</f>
        <v>0</v>
      </c>
      <c r="X64" s="199">
        <f t="shared" si="53"/>
        <v>0</v>
      </c>
      <c r="Y64" s="199">
        <f t="shared" si="14"/>
        <v>0</v>
      </c>
      <c r="Z64" s="202">
        <f t="shared" si="15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104.0</v>
      </c>
      <c r="B65" s="193"/>
      <c r="C65" s="193"/>
      <c r="D65" s="193"/>
      <c r="E65" s="193"/>
      <c r="F65" s="193">
        <f t="shared" si="5"/>
        <v>0</v>
      </c>
      <c r="G65" s="193">
        <f t="shared" si="6"/>
        <v>0</v>
      </c>
      <c r="H65" s="194">
        <f t="shared" si="7"/>
        <v>0</v>
      </c>
      <c r="I65" s="193"/>
      <c r="J65" s="195">
        <f t="shared" si="8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9"/>
        <v>0</v>
      </c>
      <c r="T65" s="200" t="str">
        <f t="shared" si="10"/>
        <v/>
      </c>
      <c r="U65" s="200">
        <f t="shared" si="11"/>
        <v>0</v>
      </c>
      <c r="V65" s="203"/>
      <c r="W65" s="199">
        <f t="shared" ref="W65:X65" si="54">C65/100</f>
        <v>0</v>
      </c>
      <c r="X65" s="199">
        <f t="shared" si="54"/>
        <v>0</v>
      </c>
      <c r="Y65" s="199">
        <f t="shared" si="14"/>
        <v>0</v>
      </c>
      <c r="Z65" s="202">
        <f t="shared" si="15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105.0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5">C66/100</f>
        <v>0</v>
      </c>
      <c r="X66" s="199">
        <f t="shared" si="55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106.0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6">C67/100</f>
        <v>0</v>
      </c>
      <c r="X67" s="199">
        <f t="shared" si="56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107.0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7">C68/100</f>
        <v>0</v>
      </c>
      <c r="X68" s="199">
        <f t="shared" si="57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108.0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8">C69/100</f>
        <v>0</v>
      </c>
      <c r="X69" s="199">
        <f t="shared" si="58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109.0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9">C70/100</f>
        <v>0</v>
      </c>
      <c r="X70" s="199">
        <f t="shared" si="59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110.0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60">C71/100</f>
        <v>0</v>
      </c>
      <c r="X71" s="199">
        <f t="shared" si="60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111.0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1">C72/100</f>
        <v>0</v>
      </c>
      <c r="X72" s="199">
        <f t="shared" si="61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112.0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2">C73/100</f>
        <v>0</v>
      </c>
      <c r="X73" s="199">
        <f t="shared" si="62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113.0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3">C74/100</f>
        <v>0</v>
      </c>
      <c r="X74" s="199">
        <f t="shared" si="63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114.0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4">C75/100</f>
        <v>0</v>
      </c>
      <c r="X75" s="199">
        <f t="shared" si="64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115.0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5">C76/100</f>
        <v>0</v>
      </c>
      <c r="X76" s="199">
        <f t="shared" si="65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116.0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6">C77/100</f>
        <v>0</v>
      </c>
      <c r="X77" s="199">
        <f t="shared" si="66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117.0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7">C78/100</f>
        <v>0</v>
      </c>
      <c r="X78" s="199">
        <f t="shared" si="67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118.0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8">C79/100</f>
        <v>0</v>
      </c>
      <c r="X79" s="199">
        <f t="shared" si="68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119.0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9">C80/100</f>
        <v>0</v>
      </c>
      <c r="X80" s="199">
        <f t="shared" si="69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120.0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0">C81/100</f>
        <v>0</v>
      </c>
      <c r="X81" s="199">
        <f t="shared" si="70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121.0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1">C82/100</f>
        <v>0</v>
      </c>
      <c r="X82" s="199">
        <f t="shared" si="71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122.0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2">C83/100</f>
        <v>0</v>
      </c>
      <c r="X83" s="199">
        <f t="shared" si="72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123.0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3">C84/100</f>
        <v>0</v>
      </c>
      <c r="X84" s="199">
        <f t="shared" si="73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124.0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4">C85/100</f>
        <v>0</v>
      </c>
      <c r="X85" s="199">
        <f t="shared" si="74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125.0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5">C86/100</f>
        <v>0</v>
      </c>
      <c r="X86" s="199">
        <f t="shared" si="75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126.0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6">C87/100</f>
        <v>0</v>
      </c>
      <c r="X87" s="199">
        <f t="shared" si="76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127.0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7">C88/100</f>
        <v>0</v>
      </c>
      <c r="X88" s="199">
        <f t="shared" si="77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128.0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8">C89/100</f>
        <v>0</v>
      </c>
      <c r="X89" s="199">
        <f t="shared" si="78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129.0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9">C90/100</f>
        <v>0</v>
      </c>
      <c r="X90" s="199">
        <f t="shared" si="79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130.0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0">C91/100</f>
        <v>0</v>
      </c>
      <c r="X91" s="199">
        <f t="shared" si="80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131.0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1">C92/100</f>
        <v>0</v>
      </c>
      <c r="X92" s="199">
        <f t="shared" si="81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132.0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2">C93/100</f>
        <v>0</v>
      </c>
      <c r="X93" s="199">
        <f t="shared" si="82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133.0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3">C94/100</f>
        <v>0</v>
      </c>
      <c r="X94" s="199">
        <f t="shared" si="83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134.0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4">C95/100</f>
        <v>0</v>
      </c>
      <c r="X95" s="199">
        <f t="shared" si="84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135.0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5">C96/100</f>
        <v>0</v>
      </c>
      <c r="X96" s="199">
        <f t="shared" si="85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136.0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6">C97/100</f>
        <v>0</v>
      </c>
      <c r="X97" s="199">
        <f t="shared" si="86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137.0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7">C98/100</f>
        <v>0</v>
      </c>
      <c r="X98" s="199">
        <f t="shared" si="87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138.0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8">C99/100</f>
        <v>0</v>
      </c>
      <c r="X99" s="199">
        <f t="shared" si="88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139.0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9">C100/100</f>
        <v>0</v>
      </c>
      <c r="X100" s="199">
        <f t="shared" si="89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140.0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0">C101/100</f>
        <v>0</v>
      </c>
      <c r="X101" s="199">
        <f t="shared" si="90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141.0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1">C102/100</f>
        <v>0</v>
      </c>
      <c r="X102" s="199">
        <f t="shared" si="91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142.0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2">C103/100</f>
        <v>0</v>
      </c>
      <c r="X103" s="199">
        <f t="shared" si="92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143.0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3">C104/100</f>
        <v>0</v>
      </c>
      <c r="X104" s="199">
        <f t="shared" si="93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144.0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4">C105/100</f>
        <v>0</v>
      </c>
      <c r="X105" s="199">
        <f t="shared" si="94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145.0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5">C106/100</f>
        <v>0</v>
      </c>
      <c r="X106" s="199">
        <f t="shared" si="95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146.0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6">C107/100</f>
        <v>0</v>
      </c>
      <c r="X107" s="199">
        <f t="shared" si="96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147.0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7">C108/100</f>
        <v>0</v>
      </c>
      <c r="X108" s="199">
        <f t="shared" si="97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148.0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8">C109/100</f>
        <v>0</v>
      </c>
      <c r="X109" s="199">
        <f t="shared" si="98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149.0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9">C110/100</f>
        <v>0</v>
      </c>
      <c r="X110" s="199">
        <f t="shared" si="99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150.0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0">C111/100</f>
        <v>0</v>
      </c>
      <c r="X111" s="199">
        <f t="shared" si="100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151.0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1">C112/100</f>
        <v>0</v>
      </c>
      <c r="X112" s="199">
        <f t="shared" si="101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152.0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2">C113/100</f>
        <v>0</v>
      </c>
      <c r="X113" s="199">
        <f t="shared" si="102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153.0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3">C114/100</f>
        <v>0</v>
      </c>
      <c r="X114" s="199">
        <f t="shared" si="103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154.0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4">C115/100</f>
        <v>0</v>
      </c>
      <c r="X115" s="199">
        <f t="shared" si="104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155.0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5">C116/100</f>
        <v>0</v>
      </c>
      <c r="X116" s="199">
        <f t="shared" si="105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156.0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6">C117/100</f>
        <v>0</v>
      </c>
      <c r="X117" s="199">
        <f t="shared" si="106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157.0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7">C118/100</f>
        <v>0</v>
      </c>
      <c r="X118" s="199">
        <f t="shared" si="107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158.0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8">C119/100</f>
        <v>0</v>
      </c>
      <c r="X119" s="199">
        <f t="shared" si="108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159.0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9">C120/100</f>
        <v>0</v>
      </c>
      <c r="X120" s="199">
        <f t="shared" si="109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160.0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0">C121/100</f>
        <v>0</v>
      </c>
      <c r="X121" s="199">
        <f t="shared" si="110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161.0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1">C122/100</f>
        <v>0</v>
      </c>
      <c r="X122" s="199">
        <f t="shared" si="111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162.0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2">C123/100</f>
        <v>0</v>
      </c>
      <c r="X123" s="199">
        <f t="shared" si="112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163.0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3">C124/100</f>
        <v>0</v>
      </c>
      <c r="X124" s="199">
        <f t="shared" si="113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164.0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4">C125/100</f>
        <v>0</v>
      </c>
      <c r="X125" s="199">
        <f t="shared" si="114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165.0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5">C126/100</f>
        <v>0</v>
      </c>
      <c r="X126" s="199">
        <f t="shared" si="115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166.0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6">C127/100</f>
        <v>0</v>
      </c>
      <c r="X127" s="199">
        <f t="shared" si="116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167.0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7">C128/100</f>
        <v>0</v>
      </c>
      <c r="X128" s="199">
        <f t="shared" si="117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168.0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8">C129/100</f>
        <v>0</v>
      </c>
      <c r="X129" s="199">
        <f t="shared" si="118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169.0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9">C130/100</f>
        <v>0</v>
      </c>
      <c r="X130" s="199">
        <f t="shared" si="119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170.0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0">C131/100</f>
        <v>0</v>
      </c>
      <c r="X131" s="199">
        <f t="shared" si="120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171.0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1">C132/100</f>
        <v>0</v>
      </c>
      <c r="X132" s="199">
        <f t="shared" si="121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172.0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2">C133/100</f>
        <v>0</v>
      </c>
      <c r="X133" s="199">
        <f t="shared" si="122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173.0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3">C134/100</f>
        <v>0</v>
      </c>
      <c r="X134" s="199">
        <f t="shared" si="123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174.0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4">C135/100</f>
        <v>0</v>
      </c>
      <c r="X135" s="199">
        <f t="shared" si="124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175.0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5">C136/100</f>
        <v>0</v>
      </c>
      <c r="X136" s="199">
        <f t="shared" si="125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176.0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6">C137/100</f>
        <v>0</v>
      </c>
      <c r="X137" s="199">
        <f t="shared" si="126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177.0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7">C138/100</f>
        <v>0</v>
      </c>
      <c r="X138" s="199">
        <f t="shared" si="127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178.0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8">C139/100</f>
        <v>0</v>
      </c>
      <c r="X139" s="199">
        <f t="shared" si="128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179.0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9">C140/100</f>
        <v>0</v>
      </c>
      <c r="X140" s="199">
        <f t="shared" si="129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180.0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0">C141/100</f>
        <v>0</v>
      </c>
      <c r="X141" s="199">
        <f t="shared" si="130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181.0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1">C142/100</f>
        <v>0</v>
      </c>
      <c r="X142" s="199">
        <f t="shared" si="131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182.0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2">C143/100</f>
        <v>0</v>
      </c>
      <c r="X143" s="199">
        <f t="shared" si="132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183.0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3">C144/100</f>
        <v>0</v>
      </c>
      <c r="X144" s="199">
        <f t="shared" si="133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184.0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4">C145/100</f>
        <v>0</v>
      </c>
      <c r="X145" s="199">
        <f t="shared" si="134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185.0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5">C146/100</f>
        <v>0</v>
      </c>
      <c r="X146" s="199">
        <f t="shared" si="135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186.0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6">C147/100</f>
        <v>0</v>
      </c>
      <c r="X147" s="199">
        <f t="shared" si="136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187.0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7">C148/100</f>
        <v>0</v>
      </c>
      <c r="X148" s="199">
        <f t="shared" si="137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188.0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8">C149/100</f>
        <v>0</v>
      </c>
      <c r="X149" s="199">
        <f t="shared" si="138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189.0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9">C150/100</f>
        <v>0</v>
      </c>
      <c r="X150" s="199">
        <f t="shared" si="139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190.0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0">C151/100</f>
        <v>0</v>
      </c>
      <c r="X151" s="199">
        <f t="shared" si="140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191.0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1">C152/100</f>
        <v>0</v>
      </c>
      <c r="X152" s="199">
        <f t="shared" si="141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192.0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2">C153/100</f>
        <v>0</v>
      </c>
      <c r="X153" s="199">
        <f t="shared" si="142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193.0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3">C154/100</f>
        <v>0</v>
      </c>
      <c r="X154" s="199">
        <f t="shared" si="143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194.0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4">C155/100</f>
        <v>0</v>
      </c>
      <c r="X155" s="199">
        <f t="shared" si="144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195.0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5">C156/100</f>
        <v>0</v>
      </c>
      <c r="X156" s="199">
        <f t="shared" si="145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196.0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6">C157/100</f>
        <v>0</v>
      </c>
      <c r="X157" s="199">
        <f t="shared" si="146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197.0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7">C158/100</f>
        <v>0</v>
      </c>
      <c r="X158" s="199">
        <f t="shared" si="147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198.0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8">C159/100</f>
        <v>0</v>
      </c>
      <c r="X159" s="199">
        <f t="shared" si="148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199.0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9">C160/100</f>
        <v>0</v>
      </c>
      <c r="X160" s="199">
        <f t="shared" si="149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200.0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0">C161/100</f>
        <v>0</v>
      </c>
      <c r="X161" s="199">
        <f t="shared" si="150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201.0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1">C162/100</f>
        <v>0</v>
      </c>
      <c r="X162" s="199">
        <f t="shared" si="151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202.0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2">C163/100</f>
        <v>0</v>
      </c>
      <c r="X163" s="199">
        <f t="shared" si="152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203.0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3">C164/100</f>
        <v>0</v>
      </c>
      <c r="X164" s="199">
        <f t="shared" si="153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204.0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4">C165/100</f>
        <v>0</v>
      </c>
      <c r="X165" s="199">
        <f t="shared" si="154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205.0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5">C166/100</f>
        <v>0</v>
      </c>
      <c r="X166" s="199">
        <f t="shared" si="155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206.0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6">C167/100</f>
        <v>0</v>
      </c>
      <c r="X167" s="199">
        <f t="shared" si="156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207.0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7">C168/100</f>
        <v>0</v>
      </c>
      <c r="X168" s="199">
        <f t="shared" si="157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208.0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8">C169/100</f>
        <v>0</v>
      </c>
      <c r="X169" s="199">
        <f t="shared" si="158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209.0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9">C170/100</f>
        <v>0</v>
      </c>
      <c r="X170" s="199">
        <f t="shared" si="159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210.0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0">C171/100</f>
        <v>0</v>
      </c>
      <c r="X171" s="199">
        <f t="shared" si="160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211.0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1">C172/100</f>
        <v>0</v>
      </c>
      <c r="X172" s="199">
        <f t="shared" si="161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212.0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2">C173/100</f>
        <v>0</v>
      </c>
      <c r="X173" s="199">
        <f t="shared" si="162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213.0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3">C174/100</f>
        <v>0</v>
      </c>
      <c r="X174" s="199">
        <f t="shared" si="163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214.0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4">C175/100</f>
        <v>0</v>
      </c>
      <c r="X175" s="199">
        <f t="shared" si="164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215.0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5">C176/100</f>
        <v>0</v>
      </c>
      <c r="X176" s="199">
        <f t="shared" si="165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216.0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6">C177/100</f>
        <v>0</v>
      </c>
      <c r="X177" s="199">
        <f t="shared" si="166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217.0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7">C178/100</f>
        <v>0</v>
      </c>
      <c r="X178" s="199">
        <f t="shared" si="167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62"/>
      <c r="B179" s="178"/>
      <c r="C179" s="178"/>
      <c r="D179" s="178"/>
      <c r="E179" s="178"/>
      <c r="F179" s="178"/>
      <c r="G179" s="178"/>
      <c r="H179" s="181"/>
      <c r="I179" s="162"/>
      <c r="J179" s="204">
        <f>+Q232</f>
        <v>108.8</v>
      </c>
      <c r="K179" s="139"/>
      <c r="L179" s="139"/>
      <c r="M179" s="139"/>
      <c r="N179" s="139"/>
      <c r="O179" s="139"/>
      <c r="P179" s="139"/>
      <c r="Q179" s="139"/>
      <c r="R179" s="205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8">C179/100</f>
        <v>0</v>
      </c>
      <c r="X179" s="199">
        <f t="shared" si="168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62"/>
      <c r="B180" s="206"/>
      <c r="C180" s="206"/>
      <c r="D180" s="206"/>
      <c r="E180" s="206"/>
      <c r="F180" s="206"/>
      <c r="G180" s="206"/>
      <c r="H180" s="207"/>
      <c r="I180" s="208">
        <f>SUM(I28:I178)</f>
        <v>34</v>
      </c>
      <c r="J180" s="209">
        <f>SUM(J28:J179)</f>
        <v>44537.77476</v>
      </c>
      <c r="K180" s="210"/>
      <c r="L180" s="210"/>
      <c r="M180" s="210"/>
      <c r="N180" s="210"/>
      <c r="O180" s="210"/>
      <c r="P180" s="210"/>
      <c r="Q180" s="210"/>
      <c r="R180" s="141"/>
      <c r="S180" s="210">
        <f>SUMIFS($T$28:$T$178,$S$28:$S$178,"&gt;=3")</f>
        <v>26</v>
      </c>
      <c r="T180" s="210">
        <f t="shared" ref="T180:U180" si="169">SUM(T28:T178)</f>
        <v>34</v>
      </c>
      <c r="U180" s="210">
        <f t="shared" si="169"/>
        <v>762.03</v>
      </c>
      <c r="V180" s="210"/>
      <c r="W180" s="210"/>
      <c r="X180" s="210"/>
      <c r="Y180" s="210"/>
      <c r="Z180" s="211">
        <f>SUM(Z28:Z179)</f>
        <v>1531.952648</v>
      </c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203"/>
      <c r="T181" s="139">
        <f>+T180-S180</f>
        <v>8</v>
      </c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205"/>
      <c r="S182" s="139"/>
      <c r="T182" s="139" t="s">
        <v>48</v>
      </c>
      <c r="U182" s="139" t="s">
        <v>68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141"/>
      <c r="S183" s="139" t="s">
        <v>31</v>
      </c>
      <c r="T183" s="212">
        <f>SUMIFS($J$28:$J$178,$S$28:$S$178,"&gt;=3")</f>
        <v>43740.77374</v>
      </c>
      <c r="U183" s="213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9.25" customHeight="1">
      <c r="A184" s="139" t="s">
        <v>32</v>
      </c>
      <c r="B184" s="139"/>
      <c r="C184" s="139"/>
      <c r="D184" s="139" t="s">
        <v>33</v>
      </c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139" t="s">
        <v>34</v>
      </c>
      <c r="T184" s="266">
        <f>J180-T183</f>
        <v>797.0010168</v>
      </c>
      <c r="U184" s="213">
        <f>+SUMIFS($U$28:$U$178,$S$28:$S$178,"&gt;=3")</f>
        <v>746.84</v>
      </c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205"/>
      <c r="S185" s="139"/>
      <c r="T185" s="214">
        <f>+I180</f>
        <v>34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39.0" customHeight="1">
      <c r="A186" s="178"/>
      <c r="B186" s="162" t="s">
        <v>12</v>
      </c>
      <c r="C186" s="179" t="s">
        <v>69</v>
      </c>
      <c r="D186" s="52"/>
      <c r="E186" s="53"/>
      <c r="F186" s="180"/>
      <c r="G186" s="180"/>
      <c r="H186" s="181" t="s">
        <v>14</v>
      </c>
      <c r="I186" s="162" t="s">
        <v>15</v>
      </c>
      <c r="J186" s="162" t="s">
        <v>16</v>
      </c>
      <c r="K186" s="139"/>
      <c r="L186" s="139"/>
      <c r="M186" s="139"/>
      <c r="N186" s="139"/>
      <c r="O186" s="139"/>
      <c r="P186" s="139"/>
      <c r="Q186" s="139"/>
      <c r="R186" s="141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5">
        <v>1.0</v>
      </c>
      <c r="B187" s="215" t="s">
        <v>94</v>
      </c>
      <c r="C187" s="215">
        <v>84.0</v>
      </c>
      <c r="D187" s="215">
        <v>218.0</v>
      </c>
      <c r="E187" s="215">
        <v>173.0</v>
      </c>
      <c r="F187" s="215">
        <f t="shared" ref="F187:F200" si="170">1-VALUE(IF(RIGHT(B187, 1)="%", RIGHT(B187, 3), 0))</f>
        <v>0.2</v>
      </c>
      <c r="G187" s="215">
        <f t="shared" ref="G187:G200" si="171">+Q187*C187/100*D187/100*E187/100</f>
        <v>0</v>
      </c>
      <c r="H187" s="216">
        <f t="shared" ref="H187:H200" si="172">IF(F187=0, G187, F187*G187)</f>
        <v>0</v>
      </c>
      <c r="I187" s="215"/>
      <c r="J187" s="217"/>
      <c r="K187" s="139"/>
      <c r="L187" s="178">
        <f t="shared" ref="L187:L195" si="173">D187*25.4/1000</f>
        <v>5.5372</v>
      </c>
      <c r="M187" s="162" t="str">
        <f t="shared" ref="M187:M191" si="174">+I187</f>
        <v/>
      </c>
      <c r="N187" s="162">
        <f t="shared" ref="N187:N191" si="175">M187*L187</f>
        <v>0</v>
      </c>
      <c r="O187" s="139"/>
      <c r="P187" s="139"/>
      <c r="Q187" s="139"/>
      <c r="R187" s="141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5">
        <v>2.0</v>
      </c>
      <c r="B188" s="215" t="s">
        <v>63</v>
      </c>
      <c r="C188" s="215">
        <v>91.0</v>
      </c>
      <c r="D188" s="215">
        <v>202.0</v>
      </c>
      <c r="E188" s="215">
        <v>176.0</v>
      </c>
      <c r="F188" s="215">
        <f t="shared" si="170"/>
        <v>0.2</v>
      </c>
      <c r="G188" s="215">
        <f t="shared" si="171"/>
        <v>0</v>
      </c>
      <c r="H188" s="216">
        <f t="shared" si="172"/>
        <v>0</v>
      </c>
      <c r="I188" s="215"/>
      <c r="J188" s="217">
        <f t="shared" ref="J188:J200" si="176">+I188*H188</f>
        <v>0</v>
      </c>
      <c r="K188" s="139"/>
      <c r="L188" s="178">
        <f t="shared" si="173"/>
        <v>5.1308</v>
      </c>
      <c r="M188" s="162" t="str">
        <f t="shared" si="174"/>
        <v/>
      </c>
      <c r="N188" s="162">
        <f t="shared" si="175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5">
        <v>3.0</v>
      </c>
      <c r="B189" s="218" t="s">
        <v>63</v>
      </c>
      <c r="C189" s="218">
        <v>94.0</v>
      </c>
      <c r="D189" s="218">
        <v>202.0</v>
      </c>
      <c r="E189" s="218">
        <v>175.0</v>
      </c>
      <c r="F189" s="218">
        <f t="shared" si="170"/>
        <v>0.2</v>
      </c>
      <c r="G189" s="218">
        <f t="shared" si="171"/>
        <v>0</v>
      </c>
      <c r="H189" s="219">
        <f t="shared" si="172"/>
        <v>0</v>
      </c>
      <c r="I189" s="218"/>
      <c r="J189" s="195">
        <f t="shared" si="176"/>
        <v>0</v>
      </c>
      <c r="K189" s="139"/>
      <c r="L189" s="178">
        <f t="shared" si="173"/>
        <v>5.1308</v>
      </c>
      <c r="M189" s="162" t="str">
        <f t="shared" si="174"/>
        <v/>
      </c>
      <c r="N189" s="162">
        <f t="shared" si="175"/>
        <v>0</v>
      </c>
      <c r="O189" s="139"/>
      <c r="P189" s="139"/>
      <c r="Q189" s="139"/>
      <c r="R189" s="139"/>
      <c r="S189" s="220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5">
        <v>4.0</v>
      </c>
      <c r="B190" s="218" t="s">
        <v>121</v>
      </c>
      <c r="C190" s="218">
        <v>100.0</v>
      </c>
      <c r="D190" s="218">
        <v>202.0</v>
      </c>
      <c r="E190" s="218">
        <v>222.0</v>
      </c>
      <c r="F190" s="218">
        <f t="shared" si="170"/>
        <v>0.5</v>
      </c>
      <c r="G190" s="218">
        <f t="shared" si="171"/>
        <v>0</v>
      </c>
      <c r="H190" s="219">
        <f t="shared" si="172"/>
        <v>0</v>
      </c>
      <c r="I190" s="218"/>
      <c r="J190" s="195">
        <f t="shared" si="176"/>
        <v>0</v>
      </c>
      <c r="K190" s="139"/>
      <c r="L190" s="178">
        <f t="shared" si="173"/>
        <v>5.1308</v>
      </c>
      <c r="M190" s="162" t="str">
        <f t="shared" si="174"/>
        <v/>
      </c>
      <c r="N190" s="162">
        <f t="shared" si="175"/>
        <v>0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5">
        <v>5.0</v>
      </c>
      <c r="B191" s="218" t="s">
        <v>122</v>
      </c>
      <c r="C191" s="218">
        <v>83.0</v>
      </c>
      <c r="D191" s="218">
        <v>199.0</v>
      </c>
      <c r="E191" s="218">
        <v>165.0</v>
      </c>
      <c r="F191" s="218">
        <f t="shared" si="170"/>
        <v>0.2</v>
      </c>
      <c r="G191" s="218">
        <f t="shared" si="171"/>
        <v>0</v>
      </c>
      <c r="H191" s="219">
        <f t="shared" si="172"/>
        <v>0</v>
      </c>
      <c r="I191" s="218"/>
      <c r="J191" s="195">
        <f t="shared" si="176"/>
        <v>0</v>
      </c>
      <c r="K191" s="139"/>
      <c r="L191" s="178">
        <f t="shared" si="173"/>
        <v>5.0546</v>
      </c>
      <c r="M191" s="162" t="str">
        <f t="shared" si="174"/>
        <v/>
      </c>
      <c r="N191" s="162">
        <f t="shared" si="175"/>
        <v>0</v>
      </c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5">
        <v>6.0</v>
      </c>
      <c r="B192" s="218"/>
      <c r="C192" s="218"/>
      <c r="D192" s="218"/>
      <c r="E192" s="218"/>
      <c r="F192" s="218">
        <f t="shared" si="170"/>
        <v>1</v>
      </c>
      <c r="G192" s="218">
        <f t="shared" si="171"/>
        <v>0</v>
      </c>
      <c r="H192" s="219">
        <f t="shared" si="172"/>
        <v>0</v>
      </c>
      <c r="I192" s="218"/>
      <c r="J192" s="195">
        <f t="shared" si="176"/>
        <v>0</v>
      </c>
      <c r="K192" s="139"/>
      <c r="L192" s="139">
        <f t="shared" si="173"/>
        <v>0</v>
      </c>
      <c r="M192" s="221"/>
      <c r="N192" s="221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5">
        <v>7.0</v>
      </c>
      <c r="B193" s="218"/>
      <c r="C193" s="218"/>
      <c r="D193" s="218"/>
      <c r="E193" s="218"/>
      <c r="F193" s="218">
        <f t="shared" si="170"/>
        <v>1</v>
      </c>
      <c r="G193" s="218">
        <f t="shared" si="171"/>
        <v>0</v>
      </c>
      <c r="H193" s="219">
        <f t="shared" si="172"/>
        <v>0</v>
      </c>
      <c r="I193" s="218"/>
      <c r="J193" s="195">
        <f t="shared" si="176"/>
        <v>0</v>
      </c>
      <c r="K193" s="139"/>
      <c r="L193" s="139">
        <f t="shared" si="173"/>
        <v>0</v>
      </c>
      <c r="M193" s="221"/>
      <c r="N193" s="221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5">
        <v>8.0</v>
      </c>
      <c r="B194" s="218"/>
      <c r="C194" s="218"/>
      <c r="D194" s="218"/>
      <c r="E194" s="218"/>
      <c r="F194" s="218">
        <f t="shared" si="170"/>
        <v>1</v>
      </c>
      <c r="G194" s="218">
        <f t="shared" si="171"/>
        <v>0</v>
      </c>
      <c r="H194" s="219">
        <f t="shared" si="172"/>
        <v>0</v>
      </c>
      <c r="I194" s="218"/>
      <c r="J194" s="195">
        <f t="shared" si="176"/>
        <v>0</v>
      </c>
      <c r="K194" s="139"/>
      <c r="L194" s="139">
        <f t="shared" si="173"/>
        <v>0</v>
      </c>
      <c r="M194" s="221"/>
      <c r="N194" s="221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5">
        <v>9.0</v>
      </c>
      <c r="B195" s="218"/>
      <c r="C195" s="218"/>
      <c r="D195" s="218"/>
      <c r="E195" s="218"/>
      <c r="F195" s="218">
        <f t="shared" si="170"/>
        <v>1</v>
      </c>
      <c r="G195" s="218">
        <f t="shared" si="171"/>
        <v>0</v>
      </c>
      <c r="H195" s="219">
        <f t="shared" si="172"/>
        <v>0</v>
      </c>
      <c r="I195" s="218"/>
      <c r="J195" s="195">
        <f t="shared" si="176"/>
        <v>0</v>
      </c>
      <c r="K195" s="139"/>
      <c r="L195" s="139">
        <f t="shared" si="173"/>
        <v>0</v>
      </c>
      <c r="M195" s="221"/>
      <c r="N195" s="221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5">
        <v>10.0</v>
      </c>
      <c r="B196" s="193"/>
      <c r="C196" s="193"/>
      <c r="D196" s="193"/>
      <c r="E196" s="193"/>
      <c r="F196" s="193">
        <f t="shared" si="170"/>
        <v>1</v>
      </c>
      <c r="G196" s="193">
        <f t="shared" si="171"/>
        <v>0</v>
      </c>
      <c r="H196" s="194">
        <f t="shared" si="172"/>
        <v>0</v>
      </c>
      <c r="I196" s="193"/>
      <c r="J196" s="195">
        <f t="shared" si="176"/>
        <v>0</v>
      </c>
      <c r="K196" s="139"/>
      <c r="L196" s="139"/>
      <c r="M196" s="221"/>
      <c r="N196" s="221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5">
        <v>11.0</v>
      </c>
      <c r="B197" s="193"/>
      <c r="C197" s="193"/>
      <c r="D197" s="193"/>
      <c r="E197" s="193"/>
      <c r="F197" s="193">
        <f t="shared" si="170"/>
        <v>1</v>
      </c>
      <c r="G197" s="193">
        <f t="shared" si="171"/>
        <v>0</v>
      </c>
      <c r="H197" s="194">
        <f t="shared" si="172"/>
        <v>0</v>
      </c>
      <c r="I197" s="193"/>
      <c r="J197" s="195">
        <f t="shared" si="176"/>
        <v>0</v>
      </c>
      <c r="K197" s="139"/>
      <c r="L197" s="139"/>
      <c r="M197" s="221"/>
      <c r="N197" s="221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5">
        <v>12.0</v>
      </c>
      <c r="B198" s="193"/>
      <c r="C198" s="193"/>
      <c r="D198" s="193"/>
      <c r="E198" s="193"/>
      <c r="F198" s="193">
        <f t="shared" si="170"/>
        <v>1</v>
      </c>
      <c r="G198" s="193">
        <f t="shared" si="171"/>
        <v>0</v>
      </c>
      <c r="H198" s="194">
        <f t="shared" si="172"/>
        <v>0</v>
      </c>
      <c r="I198" s="193"/>
      <c r="J198" s="195">
        <f t="shared" si="176"/>
        <v>0</v>
      </c>
      <c r="K198" s="139"/>
      <c r="L198" s="139"/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55">
        <v>13.0</v>
      </c>
      <c r="B199" s="193"/>
      <c r="C199" s="193"/>
      <c r="D199" s="193"/>
      <c r="E199" s="193"/>
      <c r="F199" s="193">
        <f t="shared" si="170"/>
        <v>1</v>
      </c>
      <c r="G199" s="193">
        <f t="shared" si="171"/>
        <v>0</v>
      </c>
      <c r="H199" s="194">
        <f t="shared" si="172"/>
        <v>0</v>
      </c>
      <c r="I199" s="193"/>
      <c r="J199" s="195">
        <f t="shared" si="176"/>
        <v>0</v>
      </c>
      <c r="K199" s="139"/>
      <c r="L199" s="139"/>
      <c r="M199" s="221"/>
      <c r="N199" s="221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55">
        <v>14.0</v>
      </c>
      <c r="B200" s="193"/>
      <c r="C200" s="193"/>
      <c r="D200" s="193"/>
      <c r="E200" s="193"/>
      <c r="F200" s="193">
        <f t="shared" si="170"/>
        <v>1</v>
      </c>
      <c r="G200" s="193">
        <f t="shared" si="171"/>
        <v>0</v>
      </c>
      <c r="H200" s="194">
        <f t="shared" si="172"/>
        <v>0</v>
      </c>
      <c r="I200" s="193"/>
      <c r="J200" s="195">
        <f t="shared" si="176"/>
        <v>0</v>
      </c>
      <c r="K200" s="139"/>
      <c r="L200" s="139"/>
      <c r="M200" s="221"/>
      <c r="N200" s="221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2"/>
      <c r="B201" s="197"/>
      <c r="C201" s="197"/>
      <c r="D201" s="197"/>
      <c r="E201" s="197"/>
      <c r="F201" s="197"/>
      <c r="G201" s="197"/>
      <c r="H201" s="222" t="s">
        <v>38</v>
      </c>
      <c r="I201" s="197"/>
      <c r="J201" s="223">
        <f>SUM(J187:J200)</f>
        <v>0</v>
      </c>
      <c r="K201" s="139"/>
      <c r="L201" s="139"/>
      <c r="M201" s="139"/>
      <c r="N201" s="139"/>
      <c r="O201" s="139"/>
      <c r="P201" s="139"/>
      <c r="Q201" s="139"/>
      <c r="R201" s="141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76"/>
      <c r="B202" s="144"/>
      <c r="C202" s="144"/>
      <c r="D202" s="144"/>
      <c r="E202" s="144"/>
      <c r="F202" s="144"/>
      <c r="G202" s="144"/>
      <c r="H202" s="145"/>
      <c r="I202" s="144"/>
      <c r="J202" s="177"/>
      <c r="K202" s="139"/>
      <c r="L202" s="139"/>
      <c r="M202" s="139"/>
      <c r="N202" s="139"/>
      <c r="O202" s="139"/>
      <c r="P202" s="139"/>
      <c r="Q202" s="139"/>
      <c r="R202" s="141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141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4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39" t="s">
        <v>39</v>
      </c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4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42.0" customHeight="1">
      <c r="A207" s="178"/>
      <c r="B207" s="162" t="s">
        <v>12</v>
      </c>
      <c r="C207" s="179" t="s">
        <v>75</v>
      </c>
      <c r="D207" s="52"/>
      <c r="E207" s="53"/>
      <c r="F207" s="225"/>
      <c r="G207" s="225"/>
      <c r="H207" s="181" t="s">
        <v>14</v>
      </c>
      <c r="I207" s="226" t="s">
        <v>15</v>
      </c>
      <c r="J207" s="162" t="s">
        <v>16</v>
      </c>
      <c r="K207" s="139"/>
      <c r="L207" s="139"/>
      <c r="M207" s="139"/>
      <c r="N207" s="139"/>
      <c r="O207" s="139"/>
      <c r="P207" s="139"/>
      <c r="Q207" s="139"/>
      <c r="R207" s="224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1.0</v>
      </c>
      <c r="B208" s="183" t="s">
        <v>57</v>
      </c>
      <c r="C208" s="200"/>
      <c r="D208" s="200"/>
      <c r="E208" s="200"/>
      <c r="F208" s="200"/>
      <c r="G208" s="200"/>
      <c r="H208" s="227">
        <v>49.0</v>
      </c>
      <c r="I208" s="200">
        <v>1.0</v>
      </c>
      <c r="J208" s="195">
        <f t="shared" ref="J208:J230" si="177">+I208*H208</f>
        <v>49</v>
      </c>
      <c r="K208" s="178"/>
      <c r="L208" s="178"/>
      <c r="M208" s="178"/>
      <c r="N208" s="178"/>
      <c r="O208" s="178"/>
      <c r="P208" s="178"/>
      <c r="Q208" s="228"/>
      <c r="R208" s="224"/>
      <c r="S208" s="224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2.0</v>
      </c>
      <c r="B209" s="193" t="s">
        <v>57</v>
      </c>
      <c r="C209" s="200"/>
      <c r="D209" s="200"/>
      <c r="E209" s="200"/>
      <c r="F209" s="200"/>
      <c r="G209" s="200"/>
      <c r="H209" s="227">
        <v>22.0</v>
      </c>
      <c r="I209" s="200">
        <v>1.0</v>
      </c>
      <c r="J209" s="195">
        <f t="shared" si="177"/>
        <v>22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>
        <v>3.0</v>
      </c>
      <c r="B210" s="183" t="s">
        <v>55</v>
      </c>
      <c r="C210" s="200"/>
      <c r="D210" s="200"/>
      <c r="E210" s="200"/>
      <c r="F210" s="200"/>
      <c r="G210" s="200"/>
      <c r="H210" s="227">
        <v>34.0</v>
      </c>
      <c r="I210" s="200">
        <v>1.0</v>
      </c>
      <c r="J210" s="195">
        <f t="shared" si="177"/>
        <v>34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2">
        <v>4.0</v>
      </c>
      <c r="B211" s="193" t="s">
        <v>55</v>
      </c>
      <c r="C211" s="200"/>
      <c r="D211" s="200"/>
      <c r="E211" s="200"/>
      <c r="F211" s="200"/>
      <c r="G211" s="200"/>
      <c r="H211" s="227">
        <v>33.0</v>
      </c>
      <c r="I211" s="200">
        <v>1.0</v>
      </c>
      <c r="J211" s="195">
        <f t="shared" si="177"/>
        <v>33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2">
        <v>5.0</v>
      </c>
      <c r="B212" s="183" t="s">
        <v>55</v>
      </c>
      <c r="C212" s="200"/>
      <c r="D212" s="200"/>
      <c r="E212" s="200"/>
      <c r="F212" s="200"/>
      <c r="G212" s="200"/>
      <c r="H212" s="227">
        <v>49.0</v>
      </c>
      <c r="I212" s="200">
        <v>1.0</v>
      </c>
      <c r="J212" s="195">
        <f t="shared" si="177"/>
        <v>49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>
        <v>6.0</v>
      </c>
      <c r="B213" s="193" t="s">
        <v>57</v>
      </c>
      <c r="C213" s="200"/>
      <c r="D213" s="200"/>
      <c r="E213" s="200"/>
      <c r="F213" s="200"/>
      <c r="G213" s="200"/>
      <c r="H213" s="227">
        <v>33.0</v>
      </c>
      <c r="I213" s="200">
        <v>1.0</v>
      </c>
      <c r="J213" s="195">
        <f t="shared" si="177"/>
        <v>33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2">
        <v>7.0</v>
      </c>
      <c r="B214" s="183" t="s">
        <v>119</v>
      </c>
      <c r="C214" s="200"/>
      <c r="D214" s="200"/>
      <c r="E214" s="200"/>
      <c r="F214" s="200"/>
      <c r="G214" s="200"/>
      <c r="H214" s="227">
        <v>31.0</v>
      </c>
      <c r="I214" s="200">
        <v>1.0</v>
      </c>
      <c r="J214" s="195">
        <f t="shared" si="177"/>
        <v>31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2">
        <v>8.0</v>
      </c>
      <c r="B215" s="193" t="s">
        <v>119</v>
      </c>
      <c r="C215" s="200"/>
      <c r="D215" s="200"/>
      <c r="E215" s="200"/>
      <c r="F215" s="200"/>
      <c r="G215" s="200"/>
      <c r="H215" s="227">
        <v>21.0</v>
      </c>
      <c r="I215" s="200">
        <v>1.0</v>
      </c>
      <c r="J215" s="195">
        <f t="shared" si="177"/>
        <v>21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hidden="1" customHeight="1">
      <c r="A216" s="162">
        <v>21.0</v>
      </c>
      <c r="B216" s="229"/>
      <c r="C216" s="200"/>
      <c r="D216" s="200"/>
      <c r="E216" s="200"/>
      <c r="F216" s="200"/>
      <c r="G216" s="200"/>
      <c r="H216" s="227"/>
      <c r="I216" s="200"/>
      <c r="J216" s="195">
        <f t="shared" si="177"/>
        <v>0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hidden="1" customHeight="1">
      <c r="A217" s="162">
        <v>22.0</v>
      </c>
      <c r="B217" s="229"/>
      <c r="C217" s="200"/>
      <c r="D217" s="200"/>
      <c r="E217" s="200"/>
      <c r="F217" s="200"/>
      <c r="G217" s="200"/>
      <c r="H217" s="227"/>
      <c r="I217" s="200"/>
      <c r="J217" s="195">
        <f t="shared" si="177"/>
        <v>0</v>
      </c>
      <c r="K217" s="178"/>
      <c r="L217" s="178"/>
      <c r="M217" s="178"/>
      <c r="N217" s="178"/>
      <c r="O217" s="178"/>
      <c r="P217" s="178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23.0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77"/>
        <v>0</v>
      </c>
      <c r="K218" s="178"/>
      <c r="L218" s="178"/>
      <c r="M218" s="178"/>
      <c r="N218" s="178"/>
      <c r="O218" s="178"/>
      <c r="P218" s="178"/>
      <c r="Q218" s="139"/>
      <c r="R218" s="139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24.0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77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25.0</v>
      </c>
      <c r="B220" s="229"/>
      <c r="C220" s="200"/>
      <c r="D220" s="200"/>
      <c r="E220" s="200"/>
      <c r="F220" s="200"/>
      <c r="G220" s="200"/>
      <c r="H220" s="227"/>
      <c r="I220" s="200"/>
      <c r="J220" s="195">
        <f t="shared" si="177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26.0</v>
      </c>
      <c r="B221" s="229"/>
      <c r="C221" s="200"/>
      <c r="D221" s="200"/>
      <c r="E221" s="200"/>
      <c r="F221" s="200"/>
      <c r="G221" s="200"/>
      <c r="H221" s="227"/>
      <c r="I221" s="200"/>
      <c r="J221" s="195">
        <f t="shared" si="177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27.0</v>
      </c>
      <c r="B222" s="229"/>
      <c r="C222" s="200"/>
      <c r="D222" s="200"/>
      <c r="E222" s="200"/>
      <c r="F222" s="200"/>
      <c r="G222" s="200"/>
      <c r="H222" s="200"/>
      <c r="I222" s="200"/>
      <c r="J222" s="195">
        <f t="shared" si="177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28.0</v>
      </c>
      <c r="B223" s="229"/>
      <c r="C223" s="200"/>
      <c r="D223" s="200"/>
      <c r="E223" s="200"/>
      <c r="F223" s="200"/>
      <c r="G223" s="200"/>
      <c r="H223" s="200"/>
      <c r="I223" s="200"/>
      <c r="J223" s="195">
        <f t="shared" si="177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29.0</v>
      </c>
      <c r="B224" s="230"/>
      <c r="C224" s="200"/>
      <c r="D224" s="200"/>
      <c r="E224" s="200"/>
      <c r="F224" s="200"/>
      <c r="G224" s="200"/>
      <c r="H224" s="200"/>
      <c r="I224" s="200"/>
      <c r="J224" s="195">
        <f t="shared" si="177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2">
        <v>30.0</v>
      </c>
      <c r="B225" s="230"/>
      <c r="C225" s="200"/>
      <c r="D225" s="200"/>
      <c r="E225" s="200"/>
      <c r="F225" s="200"/>
      <c r="G225" s="200"/>
      <c r="H225" s="227"/>
      <c r="I225" s="200"/>
      <c r="J225" s="195">
        <f t="shared" si="177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2">
        <v>31.0</v>
      </c>
      <c r="B226" s="218"/>
      <c r="C226" s="200"/>
      <c r="D226" s="200"/>
      <c r="E226" s="200"/>
      <c r="F226" s="200"/>
      <c r="G226" s="200"/>
      <c r="H226" s="227"/>
      <c r="I226" s="200"/>
      <c r="J226" s="195">
        <f t="shared" si="177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2">
        <v>32.0</v>
      </c>
      <c r="B227" s="218"/>
      <c r="C227" s="162"/>
      <c r="D227" s="162"/>
      <c r="E227" s="162"/>
      <c r="F227" s="162"/>
      <c r="G227" s="162"/>
      <c r="H227" s="162"/>
      <c r="I227" s="162"/>
      <c r="J227" s="195">
        <f t="shared" si="177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2">
        <v>33.0</v>
      </c>
      <c r="B228" s="230"/>
      <c r="C228" s="162"/>
      <c r="D228" s="162"/>
      <c r="E228" s="162"/>
      <c r="F228" s="162"/>
      <c r="G228" s="162"/>
      <c r="H228" s="162"/>
      <c r="I228" s="162"/>
      <c r="J228" s="195">
        <f t="shared" si="177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2">
        <v>34.0</v>
      </c>
      <c r="B229" s="231"/>
      <c r="C229" s="162"/>
      <c r="D229" s="162"/>
      <c r="E229" s="162"/>
      <c r="F229" s="162"/>
      <c r="G229" s="162"/>
      <c r="H229" s="162"/>
      <c r="I229" s="162"/>
      <c r="J229" s="195">
        <f t="shared" si="177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2">
        <v>35.0</v>
      </c>
      <c r="B230" s="232"/>
      <c r="C230" s="162"/>
      <c r="D230" s="162"/>
      <c r="E230" s="162"/>
      <c r="F230" s="162"/>
      <c r="G230" s="162"/>
      <c r="H230" s="162"/>
      <c r="I230" s="162"/>
      <c r="J230" s="195">
        <f t="shared" si="177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18.75" customHeight="1">
      <c r="A231" s="139"/>
      <c r="B231" s="139"/>
      <c r="C231" s="139"/>
      <c r="D231" s="139"/>
      <c r="E231" s="139"/>
      <c r="F231" s="139"/>
      <c r="G231" s="139"/>
      <c r="H231" s="140" t="s">
        <v>38</v>
      </c>
      <c r="I231" s="139"/>
      <c r="J231" s="233">
        <f>SUM(J208:J230)</f>
        <v>272</v>
      </c>
      <c r="K231" s="234"/>
      <c r="L231" s="234"/>
      <c r="M231" s="234"/>
      <c r="N231" s="234"/>
      <c r="O231" s="234"/>
      <c r="P231" s="234"/>
      <c r="Q231" s="234"/>
      <c r="R231" s="139"/>
      <c r="S231" s="224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18.75" customHeight="1">
      <c r="A232" s="144"/>
      <c r="B232" s="144"/>
      <c r="C232" s="144"/>
      <c r="D232" s="144"/>
      <c r="E232" s="144"/>
      <c r="F232" s="144"/>
      <c r="G232" s="144"/>
      <c r="H232" s="145"/>
      <c r="I232" s="175"/>
      <c r="J232" s="206">
        <f>+J231*60%</f>
        <v>163.2</v>
      </c>
      <c r="K232" s="206"/>
      <c r="L232" s="206"/>
      <c r="M232" s="206"/>
      <c r="N232" s="206"/>
      <c r="O232" s="206"/>
      <c r="P232" s="206"/>
      <c r="Q232" s="206">
        <f>+J231*40%</f>
        <v>108.8</v>
      </c>
      <c r="R232" s="139"/>
      <c r="S232" s="224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/>
      <c r="I233" s="139"/>
      <c r="J233" s="139"/>
      <c r="K233" s="139"/>
      <c r="L233" s="139"/>
      <c r="M233" s="139"/>
      <c r="N233" s="139"/>
      <c r="O233" s="139"/>
      <c r="P233" s="139"/>
      <c r="Q233" s="139"/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39"/>
      <c r="B234" s="139"/>
      <c r="C234" s="139"/>
      <c r="D234" s="139"/>
      <c r="E234" s="139"/>
      <c r="F234" s="139"/>
      <c r="G234" s="139"/>
      <c r="H234" s="140"/>
      <c r="I234" s="139"/>
      <c r="J234" s="139"/>
      <c r="K234" s="139"/>
      <c r="L234" s="139"/>
      <c r="M234" s="139"/>
      <c r="N234" s="139"/>
      <c r="O234" s="139"/>
      <c r="P234" s="139"/>
      <c r="Q234" s="139"/>
      <c r="R234" s="139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9.5" customHeight="1">
      <c r="A235" s="235" t="s">
        <v>41</v>
      </c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57.0" customHeight="1">
      <c r="A236" s="236"/>
      <c r="B236" s="237" t="s">
        <v>42</v>
      </c>
      <c r="C236" s="237" t="s">
        <v>43</v>
      </c>
      <c r="D236" s="237" t="s">
        <v>44</v>
      </c>
      <c r="E236" s="237" t="s">
        <v>45</v>
      </c>
      <c r="F236" s="237"/>
      <c r="G236" s="237"/>
      <c r="H236" s="238" t="s">
        <v>46</v>
      </c>
      <c r="I236" s="239" t="s">
        <v>47</v>
      </c>
      <c r="J236" s="139"/>
      <c r="K236" s="139"/>
      <c r="L236" s="139"/>
      <c r="M236" s="139"/>
      <c r="N236" s="139"/>
      <c r="O236" s="139"/>
      <c r="P236" s="139"/>
      <c r="Q236" s="139"/>
      <c r="R236" s="141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8.75" customHeight="1">
      <c r="A237" s="240" t="s">
        <v>48</v>
      </c>
      <c r="B237" s="241">
        <f>+E21</f>
        <v>47245.3448</v>
      </c>
      <c r="C237" s="242">
        <f>+J180</f>
        <v>44537.77476</v>
      </c>
      <c r="D237" s="242">
        <f>+J201</f>
        <v>0</v>
      </c>
      <c r="E237" s="243">
        <f>J232</f>
        <v>163.2</v>
      </c>
      <c r="F237" s="243"/>
      <c r="G237" s="243"/>
      <c r="H237" s="244">
        <f>+I21</f>
        <v>903.1886236</v>
      </c>
      <c r="I237" s="245">
        <f>+B237-C237-D237-E237-H237</f>
        <v>1641.181418</v>
      </c>
      <c r="J237" s="139"/>
      <c r="K237" s="139"/>
      <c r="L237" s="139"/>
      <c r="M237" s="139"/>
      <c r="N237" s="139"/>
      <c r="O237" s="139"/>
      <c r="P237" s="139"/>
      <c r="Q237" s="139"/>
      <c r="R237" s="141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19.5" customHeight="1">
      <c r="A238" s="246" t="s">
        <v>49</v>
      </c>
      <c r="B238" s="247"/>
      <c r="C238" s="248">
        <f>+C237/B237</f>
        <v>0.9426912841</v>
      </c>
      <c r="D238" s="248">
        <f>+D237/B237</f>
        <v>0</v>
      </c>
      <c r="E238" s="248">
        <f>+E237/B237</f>
        <v>0.003454308582</v>
      </c>
      <c r="F238" s="248"/>
      <c r="G238" s="248"/>
      <c r="H238" s="249">
        <f>+H237/B237</f>
        <v>0.0191169866</v>
      </c>
      <c r="I238" s="250">
        <f>+I237/B237</f>
        <v>0.03473742068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9.5" customHeight="1">
      <c r="A239" s="165"/>
      <c r="B239" s="221"/>
      <c r="C239" s="251"/>
      <c r="D239" s="251"/>
      <c r="E239" s="251"/>
      <c r="F239" s="251"/>
      <c r="G239" s="251"/>
      <c r="H239" s="252"/>
      <c r="I239" s="253"/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8.75" customHeight="1">
      <c r="A240" s="254"/>
      <c r="B240" s="255"/>
      <c r="C240" s="255"/>
      <c r="D240" s="255" t="s">
        <v>50</v>
      </c>
      <c r="E240" s="255" t="s">
        <v>48</v>
      </c>
      <c r="F240" s="255"/>
      <c r="G240" s="255"/>
      <c r="H240" s="256">
        <f>+D237+E237+H237+I237</f>
        <v>2707.570041</v>
      </c>
      <c r="I240" s="257"/>
      <c r="J240" s="139"/>
      <c r="K240" s="139"/>
      <c r="L240" s="139"/>
      <c r="M240" s="139"/>
      <c r="N240" s="139"/>
      <c r="O240" s="139"/>
      <c r="P240" s="139"/>
      <c r="Q240" s="139"/>
      <c r="R240" s="141"/>
      <c r="S240" s="140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8.75" customHeight="1">
      <c r="A241" s="258"/>
      <c r="B241" s="139"/>
      <c r="C241" s="139"/>
      <c r="D241" s="139"/>
      <c r="E241" s="139" t="s">
        <v>49</v>
      </c>
      <c r="F241" s="139"/>
      <c r="G241" s="139"/>
      <c r="H241" s="252">
        <f>+H240/B237</f>
        <v>0.05730871587</v>
      </c>
      <c r="I241" s="259"/>
      <c r="J241" s="139"/>
      <c r="K241" s="139"/>
      <c r="L241" s="139"/>
      <c r="M241" s="139"/>
      <c r="N241" s="139"/>
      <c r="O241" s="139"/>
      <c r="P241" s="139"/>
      <c r="Q241" s="139"/>
      <c r="R241" s="141"/>
      <c r="S241" s="140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8"/>
      <c r="B242" s="139"/>
      <c r="C242" s="139" t="s">
        <v>51</v>
      </c>
      <c r="D242" s="139"/>
      <c r="E242" s="139"/>
      <c r="F242" s="139"/>
      <c r="G242" s="139"/>
      <c r="H242" s="140"/>
      <c r="I242" s="259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8"/>
      <c r="B243" s="139"/>
      <c r="C243" s="139"/>
      <c r="D243" s="139" t="s">
        <v>52</v>
      </c>
      <c r="E243" s="139"/>
      <c r="F243" s="139"/>
      <c r="G243" s="139"/>
      <c r="H243" s="140">
        <f>+H242*(H240-H237)</f>
        <v>0</v>
      </c>
      <c r="I243" s="259"/>
      <c r="J243" s="139"/>
      <c r="K243" s="139"/>
      <c r="L243" s="139"/>
      <c r="M243" s="139"/>
      <c r="N243" s="139"/>
      <c r="O243" s="139"/>
      <c r="P243" s="139"/>
      <c r="Q243" s="139"/>
      <c r="R243" s="141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9.5" customHeight="1">
      <c r="A244" s="260"/>
      <c r="B244" s="261"/>
      <c r="C244" s="261"/>
      <c r="D244" s="261"/>
      <c r="E244" s="261"/>
      <c r="F244" s="261"/>
      <c r="G244" s="261"/>
      <c r="H244" s="262"/>
      <c r="I244" s="263"/>
      <c r="J244" s="139"/>
      <c r="K244" s="139"/>
      <c r="L244" s="139"/>
      <c r="M244" s="139"/>
      <c r="N244" s="139"/>
      <c r="O244" s="139"/>
      <c r="P244" s="139"/>
      <c r="Q244" s="139"/>
      <c r="R244" s="141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0" customHeight="1">
      <c r="A248" s="7"/>
      <c r="B248" s="7"/>
      <c r="C248" s="7"/>
      <c r="D248" s="7"/>
      <c r="E248" s="7"/>
      <c r="F248" s="7"/>
      <c r="G248" s="7"/>
      <c r="H248" s="264"/>
      <c r="I248" s="7"/>
      <c r="J248" s="7"/>
      <c r="K248" s="7"/>
      <c r="L248" s="7"/>
      <c r="M248" s="7"/>
      <c r="N248" s="7"/>
      <c r="O248" s="7"/>
      <c r="P248" s="7"/>
      <c r="Q248" s="7"/>
      <c r="R248" s="265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</row>
    <row r="249" ht="18.0" customHeight="1">
      <c r="A249" s="7"/>
      <c r="B249" s="7"/>
      <c r="C249" s="7"/>
      <c r="D249" s="7"/>
      <c r="E249" s="7"/>
      <c r="F249" s="7"/>
      <c r="G249" s="7"/>
      <c r="H249" s="264"/>
      <c r="I249" s="7"/>
      <c r="J249" s="7"/>
      <c r="K249" s="7"/>
      <c r="L249" s="7"/>
      <c r="M249" s="7"/>
      <c r="N249" s="7"/>
      <c r="O249" s="7"/>
      <c r="P249" s="7"/>
      <c r="Q249" s="7"/>
      <c r="R249" s="265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1:D21"/>
    <mergeCell ref="E22:H22"/>
    <mergeCell ref="C27:E27"/>
    <mergeCell ref="C186:E186"/>
    <mergeCell ref="C207:E207"/>
  </mergeCells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44555.0</v>
      </c>
      <c r="J4" s="139" t="str">
        <f>+B8&amp;"/"&amp;B9&amp;"/"&amp;B10&amp;"/"&amp;B11&amp;"/"&amp;B12&amp;"/"&amp;B13&amp;"/"&amp;B14&amp;"/"&amp;B15&amp;"/"&amp;B16</f>
        <v>HRD2930/HRD2940/HRD2940/HRD2940/D2240////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178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+I240</f>
        <v>0.02813068011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57</v>
      </c>
      <c r="C8" s="155">
        <v>29.5</v>
      </c>
      <c r="D8" s="156">
        <v>0.0155</v>
      </c>
      <c r="E8" s="157">
        <f>224.209*18.8</f>
        <v>4215.1292</v>
      </c>
      <c r="F8" s="157"/>
      <c r="G8" s="157"/>
      <c r="H8" s="158">
        <v>18.8</v>
      </c>
      <c r="I8" s="159">
        <f t="shared" ref="I8:I19" si="1">+D8*E8</f>
        <v>65.3345026</v>
      </c>
      <c r="J8" s="160">
        <f t="shared" ref="J8:J19" si="2">E8-I8</f>
        <v>4149.794697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55</v>
      </c>
      <c r="C9" s="155">
        <v>29.5</v>
      </c>
      <c r="D9" s="156">
        <v>0.0146</v>
      </c>
      <c r="E9" s="157">
        <f>245.58*28</f>
        <v>6876.24</v>
      </c>
      <c r="F9" s="157"/>
      <c r="G9" s="157"/>
      <c r="H9" s="158">
        <v>28.0</v>
      </c>
      <c r="I9" s="159">
        <f t="shared" si="1"/>
        <v>100.393104</v>
      </c>
      <c r="J9" s="160">
        <f t="shared" si="2"/>
        <v>6775.846896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 t="shared" ref="E10:E11" si="3">252.8*30</f>
        <v>7584</v>
      </c>
      <c r="F10" s="157"/>
      <c r="G10" s="157"/>
      <c r="H10" s="158">
        <v>30.0</v>
      </c>
      <c r="I10" s="159">
        <f t="shared" si="1"/>
        <v>110.7264</v>
      </c>
      <c r="J10" s="160">
        <f t="shared" si="2"/>
        <v>7473.2736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55</v>
      </c>
      <c r="C11" s="155">
        <v>29.5</v>
      </c>
      <c r="D11" s="156">
        <v>0.0146</v>
      </c>
      <c r="E11" s="157">
        <f t="shared" si="3"/>
        <v>7584</v>
      </c>
      <c r="F11" s="157"/>
      <c r="G11" s="157"/>
      <c r="H11" s="158">
        <v>30.0</v>
      </c>
      <c r="I11" s="159">
        <f t="shared" si="1"/>
        <v>110.7264</v>
      </c>
      <c r="J11" s="160">
        <f t="shared" si="2"/>
        <v>7473.2736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144</v>
      </c>
      <c r="C12" s="162">
        <v>22.5</v>
      </c>
      <c r="D12" s="163">
        <v>0.0805</v>
      </c>
      <c r="E12" s="164">
        <f>222.39*65.8</f>
        <v>14633.262</v>
      </c>
      <c r="F12" s="164"/>
      <c r="G12" s="164"/>
      <c r="H12" s="158">
        <v>65.8</v>
      </c>
      <c r="I12" s="159">
        <f t="shared" si="1"/>
        <v>1177.977591</v>
      </c>
      <c r="J12" s="160">
        <f t="shared" si="2"/>
        <v>13455.28441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hidden="1" customHeight="1">
      <c r="A13" s="154">
        <v>11.0</v>
      </c>
      <c r="B13" s="162"/>
      <c r="C13" s="162"/>
      <c r="D13" s="163"/>
      <c r="E13" s="164"/>
      <c r="F13" s="164"/>
      <c r="G13" s="164"/>
      <c r="H13" s="158"/>
      <c r="I13" s="159">
        <f t="shared" si="1"/>
        <v>0</v>
      </c>
      <c r="J13" s="160">
        <f t="shared" si="2"/>
        <v>0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hidden="1" customHeight="1">
      <c r="A14" s="154">
        <v>12.0</v>
      </c>
      <c r="B14" s="162"/>
      <c r="C14" s="162"/>
      <c r="D14" s="163"/>
      <c r="E14" s="164"/>
      <c r="F14" s="164"/>
      <c r="G14" s="164"/>
      <c r="H14" s="158"/>
      <c r="I14" s="159">
        <f t="shared" si="1"/>
        <v>0</v>
      </c>
      <c r="J14" s="160">
        <f t="shared" si="2"/>
        <v>0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13.0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14.0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15.0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16.0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17.0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65"/>
      <c r="B20" s="166"/>
      <c r="C20" s="167"/>
      <c r="D20" s="168"/>
      <c r="E20" s="169">
        <f>SUM(E8:E19)</f>
        <v>40892.6312</v>
      </c>
      <c r="F20" s="170"/>
      <c r="G20" s="170"/>
      <c r="H20" s="171"/>
      <c r="I20" s="172">
        <f t="shared" ref="I20:J20" si="4">SUM(I8:I19)</f>
        <v>1565.157998</v>
      </c>
      <c r="J20" s="173">
        <f t="shared" si="4"/>
        <v>39327.4732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74"/>
      <c r="B21" s="144"/>
      <c r="C21" s="144"/>
      <c r="D21" s="175"/>
      <c r="E21" s="176"/>
      <c r="F21" s="151"/>
      <c r="G21" s="151"/>
      <c r="H21" s="147"/>
      <c r="I21" s="177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/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18.75" customHeight="1">
      <c r="A24" s="139" t="s">
        <v>11</v>
      </c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40.5" customHeight="1">
      <c r="A26" s="178"/>
      <c r="B26" s="162" t="s">
        <v>12</v>
      </c>
      <c r="C26" s="179" t="s">
        <v>60</v>
      </c>
      <c r="D26" s="52"/>
      <c r="E26" s="53"/>
      <c r="F26" s="180"/>
      <c r="G26" s="180"/>
      <c r="H26" s="181" t="s">
        <v>14</v>
      </c>
      <c r="I26" s="162" t="s">
        <v>15</v>
      </c>
      <c r="J26" s="162" t="s">
        <v>16</v>
      </c>
      <c r="K26" s="139"/>
      <c r="L26" s="162" t="s">
        <v>17</v>
      </c>
      <c r="M26" s="162" t="s">
        <v>15</v>
      </c>
      <c r="N26" s="178" t="s">
        <v>18</v>
      </c>
      <c r="O26" s="139"/>
      <c r="P26" s="139"/>
      <c r="Q26" s="178" t="s">
        <v>61</v>
      </c>
      <c r="R26" s="182"/>
      <c r="S26" s="162" t="s">
        <v>17</v>
      </c>
      <c r="T26" s="162" t="s">
        <v>15</v>
      </c>
      <c r="U26" s="178" t="s">
        <v>18</v>
      </c>
      <c r="V26" s="139"/>
      <c r="W26" s="178" t="s">
        <v>19</v>
      </c>
      <c r="X26" s="178" t="s">
        <v>20</v>
      </c>
      <c r="Y26" s="178" t="s">
        <v>21</v>
      </c>
      <c r="Z26" s="178" t="s">
        <v>179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1.0</v>
      </c>
      <c r="B27" s="183" t="s">
        <v>94</v>
      </c>
      <c r="C27" s="184">
        <v>97.0</v>
      </c>
      <c r="D27" s="184">
        <v>163.0</v>
      </c>
      <c r="E27" s="184">
        <v>177.0</v>
      </c>
      <c r="F27" s="184">
        <f t="shared" ref="F27:F178" si="6">VALUE(IF(RIGHT(B27, 1)="%", RIGHT(B27, 3), 0))</f>
        <v>0.8</v>
      </c>
      <c r="G27" s="184">
        <f t="shared" ref="G27:G178" si="7">+R27*C27/100*D27/100*E27/100</f>
        <v>82.5571365</v>
      </c>
      <c r="H27" s="185">
        <f t="shared" ref="H27:H178" si="8">IF(F27=0, G27, F27*G27)</f>
        <v>66.0457092</v>
      </c>
      <c r="I27" s="184">
        <v>1.0</v>
      </c>
      <c r="J27" s="186">
        <f t="shared" ref="J27:J178" si="9">+I27*H27</f>
        <v>66.0457092</v>
      </c>
      <c r="K27" s="187"/>
      <c r="L27" s="188">
        <f>D27*25.4/1000</f>
        <v>4.1402</v>
      </c>
      <c r="M27" s="189">
        <f>+I27</f>
        <v>1</v>
      </c>
      <c r="N27" s="189">
        <f>M27*L27</f>
        <v>4.1402</v>
      </c>
      <c r="O27" s="187"/>
      <c r="P27" s="187"/>
      <c r="Q27" s="188">
        <v>83.0</v>
      </c>
      <c r="R27" s="190">
        <v>29.5</v>
      </c>
      <c r="S27" s="178">
        <f t="shared" ref="S27:S179" si="10">E27/100</f>
        <v>1.77</v>
      </c>
      <c r="T27" s="162">
        <f t="shared" ref="T27:T179" si="11">I27</f>
        <v>1</v>
      </c>
      <c r="U27" s="162">
        <f t="shared" ref="U27:U179" si="12">T27*S27</f>
        <v>1.77</v>
      </c>
      <c r="V27" s="191">
        <f t="shared" ref="V27:V61" si="13">R27*C27/100*D27/100*E27/100</f>
        <v>82.5571365</v>
      </c>
      <c r="W27" s="178">
        <f t="shared" ref="W27:X27" si="5">C27/100</f>
        <v>0.97</v>
      </c>
      <c r="X27" s="178">
        <f t="shared" si="5"/>
        <v>1.63</v>
      </c>
      <c r="Y27" s="178">
        <f t="shared" ref="Y27:Y179" si="15">U27</f>
        <v>1.77</v>
      </c>
      <c r="Z27" s="192">
        <f t="shared" ref="Z27:Z179" si="16">W27*X27*Y27</f>
        <v>2.798547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2.0</v>
      </c>
      <c r="B28" s="193" t="s">
        <v>57</v>
      </c>
      <c r="C28" s="193">
        <v>102.0</v>
      </c>
      <c r="D28" s="193">
        <v>163.0</v>
      </c>
      <c r="E28" s="193">
        <v>196.0</v>
      </c>
      <c r="F28" s="193">
        <f t="shared" si="6"/>
        <v>0</v>
      </c>
      <c r="G28" s="193">
        <f t="shared" si="7"/>
        <v>96.131532</v>
      </c>
      <c r="H28" s="194">
        <f t="shared" si="8"/>
        <v>96.131532</v>
      </c>
      <c r="I28" s="193">
        <v>1.0</v>
      </c>
      <c r="J28" s="195">
        <f t="shared" si="9"/>
        <v>96.131532</v>
      </c>
      <c r="K28" s="139"/>
      <c r="L28" s="178"/>
      <c r="M28" s="162"/>
      <c r="N28" s="162"/>
      <c r="O28" s="139"/>
      <c r="P28" s="139"/>
      <c r="Q28" s="178">
        <v>98.0</v>
      </c>
      <c r="R28" s="190">
        <v>29.5</v>
      </c>
      <c r="S28" s="178">
        <f t="shared" si="10"/>
        <v>1.96</v>
      </c>
      <c r="T28" s="162">
        <f t="shared" si="11"/>
        <v>1</v>
      </c>
      <c r="U28" s="162">
        <f t="shared" si="12"/>
        <v>1.96</v>
      </c>
      <c r="V28" s="191">
        <f t="shared" si="13"/>
        <v>96.131532</v>
      </c>
      <c r="W28" s="178">
        <f t="shared" ref="W28:X28" si="14">C28/100</f>
        <v>1.02</v>
      </c>
      <c r="X28" s="178">
        <f t="shared" si="14"/>
        <v>1.63</v>
      </c>
      <c r="Y28" s="178">
        <f t="shared" si="15"/>
        <v>1.96</v>
      </c>
      <c r="Z28" s="192">
        <f t="shared" si="16"/>
        <v>3.258696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3.0</v>
      </c>
      <c r="B29" s="193" t="s">
        <v>57</v>
      </c>
      <c r="C29" s="193">
        <v>102.0</v>
      </c>
      <c r="D29" s="193">
        <v>163.0</v>
      </c>
      <c r="E29" s="193">
        <v>2905.0</v>
      </c>
      <c r="F29" s="193">
        <f t="shared" si="6"/>
        <v>0</v>
      </c>
      <c r="G29" s="193">
        <f t="shared" si="7"/>
        <v>1424.806635</v>
      </c>
      <c r="H29" s="194">
        <f t="shared" si="8"/>
        <v>1424.806635</v>
      </c>
      <c r="I29" s="193">
        <v>1.0</v>
      </c>
      <c r="J29" s="195">
        <f t="shared" si="9"/>
        <v>1424.806635</v>
      </c>
      <c r="K29" s="139"/>
      <c r="L29" s="178">
        <f t="shared" ref="L29:L51" si="18">D29*25.4/1000</f>
        <v>4.1402</v>
      </c>
      <c r="M29" s="162">
        <f t="shared" ref="M29:M61" si="19">+I29</f>
        <v>1</v>
      </c>
      <c r="N29" s="162">
        <f t="shared" ref="N29:N51" si="20">M29*L29</f>
        <v>4.1402</v>
      </c>
      <c r="O29" s="139"/>
      <c r="P29" s="139"/>
      <c r="Q29" s="178">
        <v>1430.0</v>
      </c>
      <c r="R29" s="190">
        <v>29.5</v>
      </c>
      <c r="S29" s="178">
        <f t="shared" si="10"/>
        <v>29.05</v>
      </c>
      <c r="T29" s="162">
        <f t="shared" si="11"/>
        <v>1</v>
      </c>
      <c r="U29" s="162">
        <f t="shared" si="12"/>
        <v>29.05</v>
      </c>
      <c r="V29" s="191">
        <f t="shared" si="13"/>
        <v>1424.806635</v>
      </c>
      <c r="W29" s="178">
        <f t="shared" ref="W29:X29" si="17">C29/100</f>
        <v>1.02</v>
      </c>
      <c r="X29" s="178">
        <f t="shared" si="17"/>
        <v>1.63</v>
      </c>
      <c r="Y29" s="178">
        <f t="shared" si="15"/>
        <v>29.05</v>
      </c>
      <c r="Z29" s="192">
        <f t="shared" si="16"/>
        <v>48.29853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4.0</v>
      </c>
      <c r="B30" s="193" t="s">
        <v>57</v>
      </c>
      <c r="C30" s="193">
        <v>102.0</v>
      </c>
      <c r="D30" s="193">
        <v>163.0</v>
      </c>
      <c r="E30" s="193">
        <v>2870.0</v>
      </c>
      <c r="F30" s="193">
        <f t="shared" si="6"/>
        <v>0</v>
      </c>
      <c r="G30" s="193">
        <f t="shared" si="7"/>
        <v>1407.64029</v>
      </c>
      <c r="H30" s="194">
        <f t="shared" si="8"/>
        <v>1407.64029</v>
      </c>
      <c r="I30" s="193">
        <v>1.0</v>
      </c>
      <c r="J30" s="195">
        <f t="shared" si="9"/>
        <v>1407.64029</v>
      </c>
      <c r="K30" s="139"/>
      <c r="L30" s="178">
        <f t="shared" si="18"/>
        <v>4.1402</v>
      </c>
      <c r="M30" s="162">
        <f t="shared" si="19"/>
        <v>1</v>
      </c>
      <c r="N30" s="162">
        <f t="shared" si="20"/>
        <v>4.1402</v>
      </c>
      <c r="O30" s="139"/>
      <c r="P30" s="139"/>
      <c r="Q30" s="178">
        <v>1430.0</v>
      </c>
      <c r="R30" s="190">
        <v>29.5</v>
      </c>
      <c r="S30" s="178">
        <f t="shared" si="10"/>
        <v>28.7</v>
      </c>
      <c r="T30" s="162">
        <f t="shared" si="11"/>
        <v>1</v>
      </c>
      <c r="U30" s="162">
        <f t="shared" si="12"/>
        <v>28.7</v>
      </c>
      <c r="V30" s="191">
        <f t="shared" si="13"/>
        <v>1407.64029</v>
      </c>
      <c r="W30" s="178">
        <f t="shared" ref="W30:X30" si="21">C30/100</f>
        <v>1.02</v>
      </c>
      <c r="X30" s="178">
        <f t="shared" si="21"/>
        <v>1.63</v>
      </c>
      <c r="Y30" s="178">
        <f t="shared" si="15"/>
        <v>28.7</v>
      </c>
      <c r="Z30" s="192">
        <f t="shared" si="16"/>
        <v>47.71662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5.0</v>
      </c>
      <c r="B31" s="193" t="s">
        <v>57</v>
      </c>
      <c r="C31" s="193">
        <v>101.0</v>
      </c>
      <c r="D31" s="193">
        <v>163.0</v>
      </c>
      <c r="E31" s="193">
        <v>1800.0</v>
      </c>
      <c r="F31" s="193">
        <f t="shared" si="6"/>
        <v>0</v>
      </c>
      <c r="G31" s="193">
        <f t="shared" si="7"/>
        <v>874.1853</v>
      </c>
      <c r="H31" s="194">
        <f t="shared" si="8"/>
        <v>874.1853</v>
      </c>
      <c r="I31" s="193">
        <v>1.0</v>
      </c>
      <c r="J31" s="195">
        <f t="shared" si="9"/>
        <v>874.1853</v>
      </c>
      <c r="K31" s="139"/>
      <c r="L31" s="178">
        <f t="shared" si="18"/>
        <v>4.1402</v>
      </c>
      <c r="M31" s="162">
        <f t="shared" si="19"/>
        <v>1</v>
      </c>
      <c r="N31" s="162">
        <f t="shared" si="20"/>
        <v>4.1402</v>
      </c>
      <c r="O31" s="139"/>
      <c r="P31" s="139"/>
      <c r="Q31" s="178">
        <v>880.0</v>
      </c>
      <c r="R31" s="190">
        <v>29.5</v>
      </c>
      <c r="S31" s="178">
        <f t="shared" si="10"/>
        <v>18</v>
      </c>
      <c r="T31" s="162">
        <f t="shared" si="11"/>
        <v>1</v>
      </c>
      <c r="U31" s="162">
        <f t="shared" si="12"/>
        <v>18</v>
      </c>
      <c r="V31" s="191">
        <f t="shared" si="13"/>
        <v>874.1853</v>
      </c>
      <c r="W31" s="178">
        <f t="shared" ref="W31:X31" si="22">C31/100</f>
        <v>1.01</v>
      </c>
      <c r="X31" s="178">
        <f t="shared" si="22"/>
        <v>1.63</v>
      </c>
      <c r="Y31" s="178">
        <f t="shared" si="15"/>
        <v>18</v>
      </c>
      <c r="Z31" s="192">
        <f t="shared" si="16"/>
        <v>29.6334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6.0</v>
      </c>
      <c r="B32" s="183" t="s">
        <v>63</v>
      </c>
      <c r="C32" s="184">
        <v>98.0</v>
      </c>
      <c r="D32" s="184">
        <v>184.0</v>
      </c>
      <c r="E32" s="184">
        <v>181.0</v>
      </c>
      <c r="F32" s="184">
        <f t="shared" si="6"/>
        <v>0.8</v>
      </c>
      <c r="G32" s="184">
        <f t="shared" si="7"/>
        <v>97.91376</v>
      </c>
      <c r="H32" s="185">
        <f t="shared" si="8"/>
        <v>78.331008</v>
      </c>
      <c r="I32" s="184">
        <v>1.0</v>
      </c>
      <c r="J32" s="186">
        <f t="shared" si="9"/>
        <v>78.331008</v>
      </c>
      <c r="K32" s="187"/>
      <c r="L32" s="188">
        <f t="shared" si="18"/>
        <v>4.6736</v>
      </c>
      <c r="M32" s="189">
        <f t="shared" si="19"/>
        <v>1</v>
      </c>
      <c r="N32" s="189">
        <f t="shared" si="20"/>
        <v>4.6736</v>
      </c>
      <c r="O32" s="187"/>
      <c r="P32" s="187"/>
      <c r="Q32" s="188">
        <v>99.0</v>
      </c>
      <c r="R32" s="190">
        <v>30.0</v>
      </c>
      <c r="S32" s="178">
        <f t="shared" si="10"/>
        <v>1.81</v>
      </c>
      <c r="T32" s="162">
        <f t="shared" si="11"/>
        <v>1</v>
      </c>
      <c r="U32" s="162">
        <f t="shared" si="12"/>
        <v>1.81</v>
      </c>
      <c r="V32" s="191">
        <f t="shared" si="13"/>
        <v>97.91376</v>
      </c>
      <c r="W32" s="178">
        <f t="shared" ref="W32:X32" si="23">C32/100</f>
        <v>0.98</v>
      </c>
      <c r="X32" s="178">
        <f t="shared" si="23"/>
        <v>1.84</v>
      </c>
      <c r="Y32" s="178">
        <f t="shared" si="15"/>
        <v>1.81</v>
      </c>
      <c r="Z32" s="192">
        <f t="shared" si="16"/>
        <v>3.263792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7.0</v>
      </c>
      <c r="B33" s="193" t="s">
        <v>55</v>
      </c>
      <c r="C33" s="193">
        <v>103.0</v>
      </c>
      <c r="D33" s="193">
        <v>184.0</v>
      </c>
      <c r="E33" s="193">
        <v>205.0</v>
      </c>
      <c r="F33" s="193">
        <f t="shared" si="6"/>
        <v>0</v>
      </c>
      <c r="G33" s="193">
        <f t="shared" si="7"/>
        <v>116.5548</v>
      </c>
      <c r="H33" s="194">
        <f t="shared" si="8"/>
        <v>116.5548</v>
      </c>
      <c r="I33" s="193">
        <v>1.0</v>
      </c>
      <c r="J33" s="195">
        <f t="shared" si="9"/>
        <v>116.5548</v>
      </c>
      <c r="K33" s="139"/>
      <c r="L33" s="178">
        <f t="shared" si="18"/>
        <v>4.6736</v>
      </c>
      <c r="M33" s="162">
        <f t="shared" si="19"/>
        <v>1</v>
      </c>
      <c r="N33" s="162">
        <f t="shared" si="20"/>
        <v>4.6736</v>
      </c>
      <c r="O33" s="139"/>
      <c r="P33" s="139"/>
      <c r="Q33" s="178">
        <v>120.0</v>
      </c>
      <c r="R33" s="190">
        <v>30.0</v>
      </c>
      <c r="S33" s="178">
        <f t="shared" si="10"/>
        <v>2.05</v>
      </c>
      <c r="T33" s="162">
        <f t="shared" si="11"/>
        <v>1</v>
      </c>
      <c r="U33" s="162">
        <f t="shared" si="12"/>
        <v>2.05</v>
      </c>
      <c r="V33" s="191">
        <f t="shared" si="13"/>
        <v>116.5548</v>
      </c>
      <c r="W33" s="178">
        <f t="shared" ref="W33:X33" si="24">C33/100</f>
        <v>1.03</v>
      </c>
      <c r="X33" s="178">
        <f t="shared" si="24"/>
        <v>1.84</v>
      </c>
      <c r="Y33" s="178">
        <f t="shared" si="15"/>
        <v>2.05</v>
      </c>
      <c r="Z33" s="192">
        <f t="shared" si="16"/>
        <v>3.88516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8.0</v>
      </c>
      <c r="B34" s="193" t="s">
        <v>55</v>
      </c>
      <c r="C34" s="193">
        <v>104.0</v>
      </c>
      <c r="D34" s="193">
        <v>184.0</v>
      </c>
      <c r="E34" s="193">
        <v>2883.0</v>
      </c>
      <c r="F34" s="193">
        <f t="shared" si="6"/>
        <v>0</v>
      </c>
      <c r="G34" s="193">
        <f t="shared" si="7"/>
        <v>1655.07264</v>
      </c>
      <c r="H34" s="194">
        <f t="shared" si="8"/>
        <v>1655.07264</v>
      </c>
      <c r="I34" s="193">
        <v>1.0</v>
      </c>
      <c r="J34" s="195">
        <f t="shared" si="9"/>
        <v>1655.07264</v>
      </c>
      <c r="K34" s="139"/>
      <c r="L34" s="178">
        <f t="shared" si="18"/>
        <v>4.6736</v>
      </c>
      <c r="M34" s="162">
        <f t="shared" si="19"/>
        <v>1</v>
      </c>
      <c r="N34" s="162">
        <f t="shared" si="20"/>
        <v>4.6736</v>
      </c>
      <c r="O34" s="139"/>
      <c r="P34" s="139"/>
      <c r="Q34" s="178">
        <v>1655.0</v>
      </c>
      <c r="R34" s="190">
        <v>30.0</v>
      </c>
      <c r="S34" s="178">
        <f t="shared" si="10"/>
        <v>28.83</v>
      </c>
      <c r="T34" s="162">
        <f t="shared" si="11"/>
        <v>1</v>
      </c>
      <c r="U34" s="162">
        <f t="shared" si="12"/>
        <v>28.83</v>
      </c>
      <c r="V34" s="191">
        <f t="shared" si="13"/>
        <v>1655.07264</v>
      </c>
      <c r="W34" s="178">
        <f t="shared" ref="W34:X34" si="25">C34/100</f>
        <v>1.04</v>
      </c>
      <c r="X34" s="178">
        <f t="shared" si="25"/>
        <v>1.84</v>
      </c>
      <c r="Y34" s="178">
        <f t="shared" si="15"/>
        <v>28.83</v>
      </c>
      <c r="Z34" s="192">
        <f t="shared" si="16"/>
        <v>55.169088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9.0</v>
      </c>
      <c r="B35" s="193" t="s">
        <v>55</v>
      </c>
      <c r="C35" s="193">
        <v>103.0</v>
      </c>
      <c r="D35" s="193">
        <v>184.0</v>
      </c>
      <c r="E35" s="193">
        <v>2880.0</v>
      </c>
      <c r="F35" s="193">
        <f t="shared" si="6"/>
        <v>0</v>
      </c>
      <c r="G35" s="193">
        <f t="shared" si="7"/>
        <v>1637.4528</v>
      </c>
      <c r="H35" s="194">
        <f t="shared" si="8"/>
        <v>1637.4528</v>
      </c>
      <c r="I35" s="193">
        <v>1.0</v>
      </c>
      <c r="J35" s="195">
        <f t="shared" si="9"/>
        <v>1637.4528</v>
      </c>
      <c r="K35" s="139"/>
      <c r="L35" s="178">
        <f t="shared" si="18"/>
        <v>4.6736</v>
      </c>
      <c r="M35" s="162">
        <f t="shared" si="19"/>
        <v>1</v>
      </c>
      <c r="N35" s="162">
        <f t="shared" si="20"/>
        <v>4.6736</v>
      </c>
      <c r="O35" s="139"/>
      <c r="P35" s="139"/>
      <c r="Q35" s="178">
        <v>1680.0</v>
      </c>
      <c r="R35" s="190">
        <v>30.0</v>
      </c>
      <c r="S35" s="178">
        <f t="shared" si="10"/>
        <v>28.8</v>
      </c>
      <c r="T35" s="162">
        <f t="shared" si="11"/>
        <v>1</v>
      </c>
      <c r="U35" s="162">
        <f t="shared" si="12"/>
        <v>28.8</v>
      </c>
      <c r="V35" s="191">
        <f t="shared" si="13"/>
        <v>1637.4528</v>
      </c>
      <c r="W35" s="178">
        <f t="shared" ref="W35:X35" si="26">C35/100</f>
        <v>1.03</v>
      </c>
      <c r="X35" s="178">
        <f t="shared" si="26"/>
        <v>1.84</v>
      </c>
      <c r="Y35" s="178">
        <f t="shared" si="15"/>
        <v>28.8</v>
      </c>
      <c r="Z35" s="192">
        <f t="shared" si="16"/>
        <v>54.58176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10.0</v>
      </c>
      <c r="B36" s="193" t="s">
        <v>55</v>
      </c>
      <c r="C36" s="193">
        <v>104.0</v>
      </c>
      <c r="D36" s="193">
        <v>184.0</v>
      </c>
      <c r="E36" s="193">
        <v>2686.0</v>
      </c>
      <c r="F36" s="193">
        <f t="shared" si="6"/>
        <v>0</v>
      </c>
      <c r="G36" s="193">
        <f t="shared" si="7"/>
        <v>1541.97888</v>
      </c>
      <c r="H36" s="194">
        <f t="shared" si="8"/>
        <v>1541.97888</v>
      </c>
      <c r="I36" s="193">
        <v>1.0</v>
      </c>
      <c r="J36" s="195">
        <f t="shared" si="9"/>
        <v>1541.97888</v>
      </c>
      <c r="K36" s="139"/>
      <c r="L36" s="178">
        <f t="shared" si="18"/>
        <v>4.6736</v>
      </c>
      <c r="M36" s="162">
        <f t="shared" si="19"/>
        <v>1</v>
      </c>
      <c r="N36" s="162">
        <f t="shared" si="20"/>
        <v>4.6736</v>
      </c>
      <c r="O36" s="139"/>
      <c r="P36" s="139"/>
      <c r="Q36" s="178">
        <v>1525.0</v>
      </c>
      <c r="R36" s="190">
        <v>30.0</v>
      </c>
      <c r="S36" s="178">
        <f t="shared" si="10"/>
        <v>26.86</v>
      </c>
      <c r="T36" s="162">
        <f t="shared" si="11"/>
        <v>1</v>
      </c>
      <c r="U36" s="162">
        <f t="shared" si="12"/>
        <v>26.86</v>
      </c>
      <c r="V36" s="191">
        <f t="shared" si="13"/>
        <v>1541.97888</v>
      </c>
      <c r="W36" s="178">
        <f t="shared" ref="W36:X36" si="27">C36/100</f>
        <v>1.04</v>
      </c>
      <c r="X36" s="178">
        <f t="shared" si="27"/>
        <v>1.84</v>
      </c>
      <c r="Y36" s="178">
        <f t="shared" si="15"/>
        <v>26.86</v>
      </c>
      <c r="Z36" s="192">
        <f t="shared" si="16"/>
        <v>51.399296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11.0</v>
      </c>
      <c r="B37" s="193" t="s">
        <v>55</v>
      </c>
      <c r="C37" s="193">
        <v>104.0</v>
      </c>
      <c r="D37" s="193">
        <v>184.0</v>
      </c>
      <c r="E37" s="193">
        <v>2878.0</v>
      </c>
      <c r="F37" s="193">
        <f t="shared" si="6"/>
        <v>0</v>
      </c>
      <c r="G37" s="193">
        <f t="shared" si="7"/>
        <v>1652.20224</v>
      </c>
      <c r="H37" s="194">
        <f t="shared" si="8"/>
        <v>1652.20224</v>
      </c>
      <c r="I37" s="193">
        <v>1.0</v>
      </c>
      <c r="J37" s="195">
        <f t="shared" si="9"/>
        <v>1652.20224</v>
      </c>
      <c r="K37" s="139"/>
      <c r="L37" s="178">
        <f t="shared" si="18"/>
        <v>4.6736</v>
      </c>
      <c r="M37" s="162">
        <f t="shared" si="19"/>
        <v>1</v>
      </c>
      <c r="N37" s="162">
        <f t="shared" si="20"/>
        <v>4.6736</v>
      </c>
      <c r="O37" s="139"/>
      <c r="P37" s="139"/>
      <c r="Q37" s="178">
        <v>1660.0</v>
      </c>
      <c r="R37" s="190">
        <v>30.0</v>
      </c>
      <c r="S37" s="178">
        <f t="shared" si="10"/>
        <v>28.78</v>
      </c>
      <c r="T37" s="162">
        <f t="shared" si="11"/>
        <v>1</v>
      </c>
      <c r="U37" s="162">
        <f t="shared" si="12"/>
        <v>28.78</v>
      </c>
      <c r="V37" s="191">
        <f t="shared" si="13"/>
        <v>1652.20224</v>
      </c>
      <c r="W37" s="178">
        <f t="shared" ref="W37:X37" si="28">C37/100</f>
        <v>1.04</v>
      </c>
      <c r="X37" s="178">
        <f t="shared" si="28"/>
        <v>1.84</v>
      </c>
      <c r="Y37" s="178">
        <f t="shared" si="15"/>
        <v>28.78</v>
      </c>
      <c r="Z37" s="192">
        <f t="shared" si="16"/>
        <v>55.073408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12.0</v>
      </c>
      <c r="B38" s="183" t="s">
        <v>63</v>
      </c>
      <c r="C38" s="184">
        <v>97.0</v>
      </c>
      <c r="D38" s="184">
        <v>195.0</v>
      </c>
      <c r="E38" s="184">
        <v>174.0</v>
      </c>
      <c r="F38" s="184">
        <f t="shared" si="6"/>
        <v>0.8</v>
      </c>
      <c r="G38" s="184">
        <f t="shared" si="7"/>
        <v>98.7363</v>
      </c>
      <c r="H38" s="185">
        <f t="shared" si="8"/>
        <v>78.98904</v>
      </c>
      <c r="I38" s="184">
        <v>1.0</v>
      </c>
      <c r="J38" s="186">
        <f t="shared" si="9"/>
        <v>78.98904</v>
      </c>
      <c r="K38" s="187"/>
      <c r="L38" s="188">
        <f t="shared" si="18"/>
        <v>4.953</v>
      </c>
      <c r="M38" s="189">
        <f t="shared" si="19"/>
        <v>1</v>
      </c>
      <c r="N38" s="189">
        <f t="shared" si="20"/>
        <v>4.953</v>
      </c>
      <c r="O38" s="187"/>
      <c r="P38" s="187"/>
      <c r="Q38" s="188">
        <v>100.0</v>
      </c>
      <c r="R38" s="190">
        <v>30.0</v>
      </c>
      <c r="S38" s="178">
        <f t="shared" si="10"/>
        <v>1.74</v>
      </c>
      <c r="T38" s="162">
        <f t="shared" si="11"/>
        <v>1</v>
      </c>
      <c r="U38" s="162">
        <f t="shared" si="12"/>
        <v>1.74</v>
      </c>
      <c r="V38" s="191">
        <f t="shared" si="13"/>
        <v>98.7363</v>
      </c>
      <c r="W38" s="178">
        <f t="shared" ref="W38:X38" si="29">C38/100</f>
        <v>0.97</v>
      </c>
      <c r="X38" s="178">
        <f t="shared" si="29"/>
        <v>1.95</v>
      </c>
      <c r="Y38" s="178">
        <f t="shared" si="15"/>
        <v>1.74</v>
      </c>
      <c r="Z38" s="192">
        <f t="shared" si="16"/>
        <v>3.29121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13.0</v>
      </c>
      <c r="B39" s="193" t="s">
        <v>55</v>
      </c>
      <c r="C39" s="193">
        <v>103.0</v>
      </c>
      <c r="D39" s="193">
        <v>195.0</v>
      </c>
      <c r="E39" s="193">
        <v>195.0</v>
      </c>
      <c r="F39" s="193">
        <f t="shared" si="6"/>
        <v>0</v>
      </c>
      <c r="G39" s="193">
        <f t="shared" si="7"/>
        <v>117.49725</v>
      </c>
      <c r="H39" s="194">
        <f t="shared" si="8"/>
        <v>117.49725</v>
      </c>
      <c r="I39" s="193">
        <v>1.0</v>
      </c>
      <c r="J39" s="195">
        <f t="shared" si="9"/>
        <v>117.49725</v>
      </c>
      <c r="K39" s="139"/>
      <c r="L39" s="178">
        <f t="shared" si="18"/>
        <v>4.953</v>
      </c>
      <c r="M39" s="162">
        <f t="shared" si="19"/>
        <v>1</v>
      </c>
      <c r="N39" s="162">
        <f t="shared" si="20"/>
        <v>4.953</v>
      </c>
      <c r="O39" s="139"/>
      <c r="P39" s="139"/>
      <c r="Q39" s="178">
        <v>121.0</v>
      </c>
      <c r="R39" s="190">
        <v>30.0</v>
      </c>
      <c r="S39" s="178">
        <f t="shared" si="10"/>
        <v>1.95</v>
      </c>
      <c r="T39" s="162">
        <f t="shared" si="11"/>
        <v>1</v>
      </c>
      <c r="U39" s="162">
        <f t="shared" si="12"/>
        <v>1.95</v>
      </c>
      <c r="V39" s="191">
        <f t="shared" si="13"/>
        <v>117.49725</v>
      </c>
      <c r="W39" s="178">
        <f t="shared" ref="W39:X39" si="30">C39/100</f>
        <v>1.03</v>
      </c>
      <c r="X39" s="178">
        <f t="shared" si="30"/>
        <v>1.95</v>
      </c>
      <c r="Y39" s="178">
        <f t="shared" si="15"/>
        <v>1.95</v>
      </c>
      <c r="Z39" s="192">
        <f t="shared" si="16"/>
        <v>3.916575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14.0</v>
      </c>
      <c r="B40" s="193" t="s">
        <v>55</v>
      </c>
      <c r="C40" s="193">
        <v>104.0</v>
      </c>
      <c r="D40" s="193">
        <v>195.0</v>
      </c>
      <c r="E40" s="193">
        <v>2876.0</v>
      </c>
      <c r="F40" s="193">
        <f t="shared" si="6"/>
        <v>0</v>
      </c>
      <c r="G40" s="193">
        <f t="shared" si="7"/>
        <v>1749.7584</v>
      </c>
      <c r="H40" s="194">
        <f t="shared" si="8"/>
        <v>1749.7584</v>
      </c>
      <c r="I40" s="193">
        <v>1.0</v>
      </c>
      <c r="J40" s="195">
        <f t="shared" si="9"/>
        <v>1749.7584</v>
      </c>
      <c r="K40" s="139"/>
      <c r="L40" s="178">
        <f t="shared" si="18"/>
        <v>4.953</v>
      </c>
      <c r="M40" s="162">
        <f t="shared" si="19"/>
        <v>1</v>
      </c>
      <c r="N40" s="162">
        <f t="shared" si="20"/>
        <v>4.953</v>
      </c>
      <c r="O40" s="139"/>
      <c r="P40" s="139"/>
      <c r="Q40" s="178">
        <v>1755.0</v>
      </c>
      <c r="R40" s="190">
        <v>30.0</v>
      </c>
      <c r="S40" s="178">
        <f t="shared" si="10"/>
        <v>28.76</v>
      </c>
      <c r="T40" s="162">
        <f t="shared" si="11"/>
        <v>1</v>
      </c>
      <c r="U40" s="162">
        <f t="shared" si="12"/>
        <v>28.76</v>
      </c>
      <c r="V40" s="191">
        <f t="shared" si="13"/>
        <v>1749.7584</v>
      </c>
      <c r="W40" s="178">
        <f t="shared" ref="W40:X40" si="31">C40/100</f>
        <v>1.04</v>
      </c>
      <c r="X40" s="178">
        <f t="shared" si="31"/>
        <v>1.95</v>
      </c>
      <c r="Y40" s="178">
        <f t="shared" si="15"/>
        <v>28.76</v>
      </c>
      <c r="Z40" s="192">
        <f t="shared" si="16"/>
        <v>58.32528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15.0</v>
      </c>
      <c r="B41" s="193" t="s">
        <v>55</v>
      </c>
      <c r="C41" s="193">
        <v>104.0</v>
      </c>
      <c r="D41" s="193">
        <v>195.0</v>
      </c>
      <c r="E41" s="193">
        <v>2877.0</v>
      </c>
      <c r="F41" s="193">
        <f t="shared" si="6"/>
        <v>0</v>
      </c>
      <c r="G41" s="193">
        <f t="shared" si="7"/>
        <v>1750.3668</v>
      </c>
      <c r="H41" s="194">
        <f t="shared" si="8"/>
        <v>1750.3668</v>
      </c>
      <c r="I41" s="193">
        <v>1.0</v>
      </c>
      <c r="J41" s="195">
        <f t="shared" si="9"/>
        <v>1750.3668</v>
      </c>
      <c r="K41" s="139"/>
      <c r="L41" s="178">
        <f t="shared" si="18"/>
        <v>4.953</v>
      </c>
      <c r="M41" s="162">
        <f t="shared" si="19"/>
        <v>1</v>
      </c>
      <c r="N41" s="162">
        <f t="shared" si="20"/>
        <v>4.953</v>
      </c>
      <c r="O41" s="139"/>
      <c r="P41" s="139"/>
      <c r="Q41" s="178">
        <v>1760.0</v>
      </c>
      <c r="R41" s="190">
        <v>30.0</v>
      </c>
      <c r="S41" s="178">
        <f t="shared" si="10"/>
        <v>28.77</v>
      </c>
      <c r="T41" s="162">
        <f t="shared" si="11"/>
        <v>1</v>
      </c>
      <c r="U41" s="162">
        <f t="shared" si="12"/>
        <v>28.77</v>
      </c>
      <c r="V41" s="191">
        <f t="shared" si="13"/>
        <v>1750.3668</v>
      </c>
      <c r="W41" s="178">
        <f t="shared" ref="W41:X41" si="32">C41/100</f>
        <v>1.04</v>
      </c>
      <c r="X41" s="178">
        <f t="shared" si="32"/>
        <v>1.95</v>
      </c>
      <c r="Y41" s="178">
        <f t="shared" si="15"/>
        <v>28.77</v>
      </c>
      <c r="Z41" s="192">
        <f t="shared" si="16"/>
        <v>58.34556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16.0</v>
      </c>
      <c r="B42" s="193" t="s">
        <v>55</v>
      </c>
      <c r="C42" s="193">
        <v>102.0</v>
      </c>
      <c r="D42" s="193">
        <v>195.0</v>
      </c>
      <c r="E42" s="193">
        <v>2744.0</v>
      </c>
      <c r="F42" s="193">
        <f t="shared" si="6"/>
        <v>0</v>
      </c>
      <c r="G42" s="193">
        <f t="shared" si="7"/>
        <v>1637.3448</v>
      </c>
      <c r="H42" s="194">
        <f t="shared" si="8"/>
        <v>1637.3448</v>
      </c>
      <c r="I42" s="193">
        <v>1.0</v>
      </c>
      <c r="J42" s="195">
        <f t="shared" si="9"/>
        <v>1637.3448</v>
      </c>
      <c r="K42" s="139"/>
      <c r="L42" s="178">
        <f t="shared" si="18"/>
        <v>4.953</v>
      </c>
      <c r="M42" s="162">
        <f t="shared" si="19"/>
        <v>1</v>
      </c>
      <c r="N42" s="162">
        <f t="shared" si="20"/>
        <v>4.953</v>
      </c>
      <c r="O42" s="139"/>
      <c r="P42" s="139"/>
      <c r="Q42" s="178">
        <v>1640.0</v>
      </c>
      <c r="R42" s="190">
        <v>30.0</v>
      </c>
      <c r="S42" s="178">
        <f t="shared" si="10"/>
        <v>27.44</v>
      </c>
      <c r="T42" s="162">
        <f t="shared" si="11"/>
        <v>1</v>
      </c>
      <c r="U42" s="162">
        <f t="shared" si="12"/>
        <v>27.44</v>
      </c>
      <c r="V42" s="191">
        <f t="shared" si="13"/>
        <v>1637.3448</v>
      </c>
      <c r="W42" s="178">
        <f t="shared" ref="W42:X42" si="33">C42/100</f>
        <v>1.02</v>
      </c>
      <c r="X42" s="178">
        <f t="shared" si="33"/>
        <v>1.95</v>
      </c>
      <c r="Y42" s="178">
        <f t="shared" si="15"/>
        <v>27.44</v>
      </c>
      <c r="Z42" s="192">
        <f t="shared" si="16"/>
        <v>54.57816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17.0</v>
      </c>
      <c r="B43" s="193" t="s">
        <v>55</v>
      </c>
      <c r="C43" s="193">
        <v>103.0</v>
      </c>
      <c r="D43" s="193">
        <v>195.0</v>
      </c>
      <c r="E43" s="193">
        <v>2878.0</v>
      </c>
      <c r="F43" s="193">
        <f t="shared" si="6"/>
        <v>0</v>
      </c>
      <c r="G43" s="193">
        <f t="shared" si="7"/>
        <v>1734.1389</v>
      </c>
      <c r="H43" s="194">
        <f t="shared" si="8"/>
        <v>1734.1389</v>
      </c>
      <c r="I43" s="193">
        <v>1.0</v>
      </c>
      <c r="J43" s="195">
        <f t="shared" si="9"/>
        <v>1734.1389</v>
      </c>
      <c r="K43" s="139"/>
      <c r="L43" s="178">
        <f t="shared" si="18"/>
        <v>4.953</v>
      </c>
      <c r="M43" s="162">
        <f t="shared" si="19"/>
        <v>1</v>
      </c>
      <c r="N43" s="162">
        <f t="shared" si="20"/>
        <v>4.953</v>
      </c>
      <c r="O43" s="139"/>
      <c r="P43" s="139"/>
      <c r="Q43" s="178">
        <v>1745.0</v>
      </c>
      <c r="R43" s="190">
        <v>30.0</v>
      </c>
      <c r="S43" s="178">
        <f t="shared" si="10"/>
        <v>28.78</v>
      </c>
      <c r="T43" s="162">
        <f t="shared" si="11"/>
        <v>1</v>
      </c>
      <c r="U43" s="162">
        <f t="shared" si="12"/>
        <v>28.78</v>
      </c>
      <c r="V43" s="191">
        <f t="shared" si="13"/>
        <v>1734.1389</v>
      </c>
      <c r="W43" s="178">
        <f t="shared" ref="W43:X43" si="34">C43/100</f>
        <v>1.03</v>
      </c>
      <c r="X43" s="178">
        <f t="shared" si="34"/>
        <v>1.95</v>
      </c>
      <c r="Y43" s="178">
        <f t="shared" si="15"/>
        <v>28.78</v>
      </c>
      <c r="Z43" s="192">
        <f t="shared" si="16"/>
        <v>57.80463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18.0</v>
      </c>
      <c r="B44" s="183" t="s">
        <v>63</v>
      </c>
      <c r="C44" s="184">
        <v>92.0</v>
      </c>
      <c r="D44" s="184">
        <v>206.0</v>
      </c>
      <c r="E44" s="184">
        <v>190.0</v>
      </c>
      <c r="F44" s="184">
        <f t="shared" si="6"/>
        <v>0.8</v>
      </c>
      <c r="G44" s="184">
        <f t="shared" si="7"/>
        <v>106.22596</v>
      </c>
      <c r="H44" s="185">
        <f t="shared" si="8"/>
        <v>84.980768</v>
      </c>
      <c r="I44" s="184">
        <v>1.0</v>
      </c>
      <c r="J44" s="186">
        <f t="shared" si="9"/>
        <v>84.980768</v>
      </c>
      <c r="K44" s="187"/>
      <c r="L44" s="188">
        <f t="shared" si="18"/>
        <v>5.2324</v>
      </c>
      <c r="M44" s="189">
        <f t="shared" si="19"/>
        <v>1</v>
      </c>
      <c r="N44" s="189">
        <f t="shared" si="20"/>
        <v>5.2324</v>
      </c>
      <c r="O44" s="187"/>
      <c r="P44" s="187"/>
      <c r="Q44" s="188">
        <v>112.0</v>
      </c>
      <c r="R44" s="190">
        <v>29.5</v>
      </c>
      <c r="S44" s="178">
        <f t="shared" si="10"/>
        <v>1.9</v>
      </c>
      <c r="T44" s="162">
        <f t="shared" si="11"/>
        <v>1</v>
      </c>
      <c r="U44" s="162">
        <f t="shared" si="12"/>
        <v>1.9</v>
      </c>
      <c r="V44" s="191">
        <f t="shared" si="13"/>
        <v>106.22596</v>
      </c>
      <c r="W44" s="178">
        <f t="shared" ref="W44:X44" si="35">C44/100</f>
        <v>0.92</v>
      </c>
      <c r="X44" s="178">
        <f t="shared" si="35"/>
        <v>2.06</v>
      </c>
      <c r="Y44" s="178">
        <f t="shared" si="15"/>
        <v>1.9</v>
      </c>
      <c r="Z44" s="192">
        <f t="shared" si="16"/>
        <v>3.60088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19.0</v>
      </c>
      <c r="B45" s="193" t="s">
        <v>55</v>
      </c>
      <c r="C45" s="193">
        <v>99.0</v>
      </c>
      <c r="D45" s="193">
        <v>206.0</v>
      </c>
      <c r="E45" s="193">
        <v>201.0</v>
      </c>
      <c r="F45" s="193">
        <f t="shared" si="6"/>
        <v>0</v>
      </c>
      <c r="G45" s="193">
        <f t="shared" si="7"/>
        <v>120.926223</v>
      </c>
      <c r="H45" s="194">
        <f t="shared" si="8"/>
        <v>120.926223</v>
      </c>
      <c r="I45" s="193">
        <v>1.0</v>
      </c>
      <c r="J45" s="195">
        <f t="shared" si="9"/>
        <v>120.926223</v>
      </c>
      <c r="K45" s="139"/>
      <c r="L45" s="178">
        <f t="shared" si="18"/>
        <v>5.2324</v>
      </c>
      <c r="M45" s="162">
        <f t="shared" si="19"/>
        <v>1</v>
      </c>
      <c r="N45" s="162">
        <f t="shared" si="20"/>
        <v>5.2324</v>
      </c>
      <c r="O45" s="139"/>
      <c r="P45" s="139"/>
      <c r="Q45" s="178">
        <v>126.0</v>
      </c>
      <c r="R45" s="190">
        <v>29.5</v>
      </c>
      <c r="S45" s="178">
        <f t="shared" si="10"/>
        <v>2.01</v>
      </c>
      <c r="T45" s="162">
        <f t="shared" si="11"/>
        <v>1</v>
      </c>
      <c r="U45" s="162">
        <f t="shared" si="12"/>
        <v>2.01</v>
      </c>
      <c r="V45" s="191">
        <f t="shared" si="13"/>
        <v>120.926223</v>
      </c>
      <c r="W45" s="178">
        <f t="shared" ref="W45:X45" si="36">C45/100</f>
        <v>0.99</v>
      </c>
      <c r="X45" s="178">
        <f t="shared" si="36"/>
        <v>2.06</v>
      </c>
      <c r="Y45" s="178">
        <f t="shared" si="15"/>
        <v>2.01</v>
      </c>
      <c r="Z45" s="192">
        <f t="shared" si="16"/>
        <v>4.099194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20.0</v>
      </c>
      <c r="B46" s="193" t="s">
        <v>55</v>
      </c>
      <c r="C46" s="193">
        <v>99.0</v>
      </c>
      <c r="D46" s="193">
        <v>206.0</v>
      </c>
      <c r="E46" s="193">
        <v>2883.0</v>
      </c>
      <c r="F46" s="193">
        <f t="shared" si="6"/>
        <v>0</v>
      </c>
      <c r="G46" s="193">
        <f t="shared" si="7"/>
        <v>1734.479109</v>
      </c>
      <c r="H46" s="194">
        <f t="shared" si="8"/>
        <v>1734.479109</v>
      </c>
      <c r="I46" s="193">
        <v>1.0</v>
      </c>
      <c r="J46" s="195">
        <f t="shared" si="9"/>
        <v>1734.479109</v>
      </c>
      <c r="K46" s="139"/>
      <c r="L46" s="178">
        <f t="shared" si="18"/>
        <v>5.2324</v>
      </c>
      <c r="M46" s="162">
        <f t="shared" si="19"/>
        <v>1</v>
      </c>
      <c r="N46" s="162">
        <f t="shared" si="20"/>
        <v>5.2324</v>
      </c>
      <c r="O46" s="139"/>
      <c r="P46" s="139"/>
      <c r="Q46" s="178">
        <v>1750.0</v>
      </c>
      <c r="R46" s="190">
        <v>29.5</v>
      </c>
      <c r="S46" s="178">
        <f t="shared" si="10"/>
        <v>28.83</v>
      </c>
      <c r="T46" s="162">
        <f t="shared" si="11"/>
        <v>1</v>
      </c>
      <c r="U46" s="162">
        <f t="shared" si="12"/>
        <v>28.83</v>
      </c>
      <c r="V46" s="191">
        <f t="shared" si="13"/>
        <v>1734.479109</v>
      </c>
      <c r="W46" s="178">
        <f t="shared" ref="W46:X46" si="37">C46/100</f>
        <v>0.99</v>
      </c>
      <c r="X46" s="178">
        <f t="shared" si="37"/>
        <v>2.06</v>
      </c>
      <c r="Y46" s="178">
        <f t="shared" si="15"/>
        <v>28.83</v>
      </c>
      <c r="Z46" s="192">
        <f t="shared" si="16"/>
        <v>58.795902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21.0</v>
      </c>
      <c r="B47" s="193" t="s">
        <v>55</v>
      </c>
      <c r="C47" s="193">
        <v>99.0</v>
      </c>
      <c r="D47" s="193">
        <v>206.0</v>
      </c>
      <c r="E47" s="193">
        <v>2882.0</v>
      </c>
      <c r="F47" s="193">
        <f t="shared" si="6"/>
        <v>0</v>
      </c>
      <c r="G47" s="193">
        <f t="shared" si="7"/>
        <v>1733.877486</v>
      </c>
      <c r="H47" s="194">
        <f t="shared" si="8"/>
        <v>1733.877486</v>
      </c>
      <c r="I47" s="193">
        <v>1.0</v>
      </c>
      <c r="J47" s="195">
        <f t="shared" si="9"/>
        <v>1733.877486</v>
      </c>
      <c r="K47" s="139"/>
      <c r="L47" s="178">
        <f t="shared" si="18"/>
        <v>5.2324</v>
      </c>
      <c r="M47" s="162">
        <f t="shared" si="19"/>
        <v>1</v>
      </c>
      <c r="N47" s="162">
        <f t="shared" si="20"/>
        <v>5.2324</v>
      </c>
      <c r="O47" s="139"/>
      <c r="P47" s="139"/>
      <c r="Q47" s="178">
        <v>1765.0</v>
      </c>
      <c r="R47" s="190">
        <v>29.5</v>
      </c>
      <c r="S47" s="178">
        <f t="shared" si="10"/>
        <v>28.82</v>
      </c>
      <c r="T47" s="162">
        <f t="shared" si="11"/>
        <v>1</v>
      </c>
      <c r="U47" s="162">
        <f t="shared" si="12"/>
        <v>28.82</v>
      </c>
      <c r="V47" s="191">
        <f t="shared" si="13"/>
        <v>1733.877486</v>
      </c>
      <c r="W47" s="178">
        <f t="shared" ref="W47:X47" si="38">C47/100</f>
        <v>0.99</v>
      </c>
      <c r="X47" s="178">
        <f t="shared" si="38"/>
        <v>2.06</v>
      </c>
      <c r="Y47" s="178">
        <f t="shared" si="15"/>
        <v>28.82</v>
      </c>
      <c r="Z47" s="192">
        <f t="shared" si="16"/>
        <v>58.775508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22.0</v>
      </c>
      <c r="B48" s="193" t="s">
        <v>55</v>
      </c>
      <c r="C48" s="193">
        <v>99.0</v>
      </c>
      <c r="D48" s="193">
        <v>206.0</v>
      </c>
      <c r="E48" s="193">
        <v>2663.0</v>
      </c>
      <c r="F48" s="193">
        <f t="shared" si="6"/>
        <v>0</v>
      </c>
      <c r="G48" s="193">
        <f t="shared" si="7"/>
        <v>1602.122049</v>
      </c>
      <c r="H48" s="194">
        <f t="shared" si="8"/>
        <v>1602.122049</v>
      </c>
      <c r="I48" s="193">
        <v>1.0</v>
      </c>
      <c r="J48" s="195">
        <f t="shared" si="9"/>
        <v>1602.122049</v>
      </c>
      <c r="K48" s="139"/>
      <c r="L48" s="178">
        <f t="shared" si="18"/>
        <v>5.2324</v>
      </c>
      <c r="M48" s="162">
        <f t="shared" si="19"/>
        <v>1</v>
      </c>
      <c r="N48" s="162">
        <f t="shared" si="20"/>
        <v>5.2324</v>
      </c>
      <c r="O48" s="139"/>
      <c r="P48" s="139"/>
      <c r="Q48" s="178">
        <v>1610.0</v>
      </c>
      <c r="R48" s="190">
        <v>29.5</v>
      </c>
      <c r="S48" s="178">
        <f t="shared" si="10"/>
        <v>26.63</v>
      </c>
      <c r="T48" s="162">
        <f t="shared" si="11"/>
        <v>1</v>
      </c>
      <c r="U48" s="162">
        <f t="shared" si="12"/>
        <v>26.63</v>
      </c>
      <c r="V48" s="191">
        <f t="shared" si="13"/>
        <v>1602.122049</v>
      </c>
      <c r="W48" s="178">
        <f t="shared" ref="W48:X48" si="39">C48/100</f>
        <v>0.99</v>
      </c>
      <c r="X48" s="178">
        <f t="shared" si="39"/>
        <v>2.06</v>
      </c>
      <c r="Y48" s="178">
        <f t="shared" si="15"/>
        <v>26.63</v>
      </c>
      <c r="Z48" s="192">
        <f t="shared" si="16"/>
        <v>54.309222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23.0</v>
      </c>
      <c r="B49" s="193" t="s">
        <v>55</v>
      </c>
      <c r="C49" s="193">
        <v>99.0</v>
      </c>
      <c r="D49" s="193">
        <v>206.0</v>
      </c>
      <c r="E49" s="193">
        <v>2888.0</v>
      </c>
      <c r="F49" s="193">
        <f t="shared" si="6"/>
        <v>0</v>
      </c>
      <c r="G49" s="193">
        <f t="shared" si="7"/>
        <v>1737.487224</v>
      </c>
      <c r="H49" s="194">
        <f t="shared" si="8"/>
        <v>1737.487224</v>
      </c>
      <c r="I49" s="193">
        <v>1.0</v>
      </c>
      <c r="J49" s="195">
        <f t="shared" si="9"/>
        <v>1737.487224</v>
      </c>
      <c r="K49" s="139"/>
      <c r="L49" s="178">
        <f t="shared" si="18"/>
        <v>5.2324</v>
      </c>
      <c r="M49" s="162">
        <f t="shared" si="19"/>
        <v>1</v>
      </c>
      <c r="N49" s="162">
        <f t="shared" si="20"/>
        <v>5.2324</v>
      </c>
      <c r="O49" s="139"/>
      <c r="P49" s="139"/>
      <c r="Q49" s="178">
        <v>1750.0</v>
      </c>
      <c r="R49" s="190">
        <v>29.5</v>
      </c>
      <c r="S49" s="178">
        <f t="shared" si="10"/>
        <v>28.88</v>
      </c>
      <c r="T49" s="162">
        <f t="shared" si="11"/>
        <v>1</v>
      </c>
      <c r="U49" s="162">
        <f t="shared" si="12"/>
        <v>28.88</v>
      </c>
      <c r="V49" s="191">
        <f t="shared" si="13"/>
        <v>1737.487224</v>
      </c>
      <c r="W49" s="178">
        <f t="shared" ref="W49:X49" si="40">C49/100</f>
        <v>0.99</v>
      </c>
      <c r="X49" s="178">
        <f t="shared" si="40"/>
        <v>2.06</v>
      </c>
      <c r="Y49" s="178">
        <f t="shared" si="15"/>
        <v>28.88</v>
      </c>
      <c r="Z49" s="192">
        <f t="shared" si="16"/>
        <v>58.897872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24.0</v>
      </c>
      <c r="B50" s="183" t="s">
        <v>146</v>
      </c>
      <c r="C50" s="184">
        <v>90.0</v>
      </c>
      <c r="D50" s="184">
        <v>204.0</v>
      </c>
      <c r="E50" s="184">
        <v>169.0</v>
      </c>
      <c r="F50" s="184">
        <f t="shared" si="6"/>
        <v>0.8</v>
      </c>
      <c r="G50" s="184">
        <f t="shared" si="7"/>
        <v>68.26248</v>
      </c>
      <c r="H50" s="185">
        <f t="shared" si="8"/>
        <v>54.609984</v>
      </c>
      <c r="I50" s="184">
        <v>1.0</v>
      </c>
      <c r="J50" s="186">
        <f t="shared" si="9"/>
        <v>54.609984</v>
      </c>
      <c r="K50" s="187"/>
      <c r="L50" s="188">
        <f t="shared" si="18"/>
        <v>5.1816</v>
      </c>
      <c r="M50" s="189">
        <f t="shared" si="19"/>
        <v>1</v>
      </c>
      <c r="N50" s="189">
        <f t="shared" si="20"/>
        <v>5.1816</v>
      </c>
      <c r="O50" s="187"/>
      <c r="P50" s="187"/>
      <c r="Q50" s="188">
        <v>76.0</v>
      </c>
      <c r="R50" s="190">
        <v>22.0</v>
      </c>
      <c r="S50" s="178">
        <f t="shared" si="10"/>
        <v>1.69</v>
      </c>
      <c r="T50" s="162">
        <f t="shared" si="11"/>
        <v>1</v>
      </c>
      <c r="U50" s="162">
        <f t="shared" si="12"/>
        <v>1.69</v>
      </c>
      <c r="V50" s="191">
        <f t="shared" si="13"/>
        <v>68.26248</v>
      </c>
      <c r="W50" s="178">
        <f t="shared" ref="W50:X50" si="41">C50/100</f>
        <v>0.9</v>
      </c>
      <c r="X50" s="178">
        <f t="shared" si="41"/>
        <v>2.04</v>
      </c>
      <c r="Y50" s="178">
        <f t="shared" si="15"/>
        <v>1.69</v>
      </c>
      <c r="Z50" s="192">
        <f t="shared" si="16"/>
        <v>3.10284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25.0</v>
      </c>
      <c r="B51" s="193" t="s">
        <v>144</v>
      </c>
      <c r="C51" s="193">
        <v>100.0</v>
      </c>
      <c r="D51" s="193">
        <v>204.0</v>
      </c>
      <c r="E51" s="193">
        <v>207.0</v>
      </c>
      <c r="F51" s="193">
        <f t="shared" si="6"/>
        <v>0</v>
      </c>
      <c r="G51" s="193">
        <f t="shared" si="7"/>
        <v>92.9016</v>
      </c>
      <c r="H51" s="194">
        <f t="shared" si="8"/>
        <v>92.9016</v>
      </c>
      <c r="I51" s="193">
        <v>1.0</v>
      </c>
      <c r="J51" s="195">
        <f t="shared" si="9"/>
        <v>92.9016</v>
      </c>
      <c r="K51" s="139"/>
      <c r="L51" s="178">
        <f t="shared" si="18"/>
        <v>5.1816</v>
      </c>
      <c r="M51" s="162">
        <f t="shared" si="19"/>
        <v>1</v>
      </c>
      <c r="N51" s="162">
        <f t="shared" si="20"/>
        <v>5.1816</v>
      </c>
      <c r="O51" s="139"/>
      <c r="P51" s="139"/>
      <c r="Q51" s="178">
        <v>93.0</v>
      </c>
      <c r="R51" s="190">
        <v>22.0</v>
      </c>
      <c r="S51" s="178">
        <f t="shared" si="10"/>
        <v>2.07</v>
      </c>
      <c r="T51" s="162">
        <f t="shared" si="11"/>
        <v>1</v>
      </c>
      <c r="U51" s="162">
        <f t="shared" si="12"/>
        <v>2.07</v>
      </c>
      <c r="V51" s="191">
        <f t="shared" si="13"/>
        <v>92.9016</v>
      </c>
      <c r="W51" s="178">
        <f t="shared" ref="W51:X51" si="42">C51/100</f>
        <v>1</v>
      </c>
      <c r="X51" s="178">
        <f t="shared" si="42"/>
        <v>2.04</v>
      </c>
      <c r="Y51" s="178">
        <f t="shared" si="15"/>
        <v>2.07</v>
      </c>
      <c r="Z51" s="192">
        <f t="shared" si="16"/>
        <v>4.2228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26.0</v>
      </c>
      <c r="B52" s="193" t="s">
        <v>144</v>
      </c>
      <c r="C52" s="193">
        <v>104.0</v>
      </c>
      <c r="D52" s="193">
        <v>204.0</v>
      </c>
      <c r="E52" s="193">
        <v>2889.0</v>
      </c>
      <c r="F52" s="193">
        <f t="shared" si="6"/>
        <v>0</v>
      </c>
      <c r="G52" s="193">
        <f t="shared" si="7"/>
        <v>1348.446528</v>
      </c>
      <c r="H52" s="194">
        <f t="shared" si="8"/>
        <v>1348.446528</v>
      </c>
      <c r="I52" s="193">
        <v>1.0</v>
      </c>
      <c r="J52" s="195">
        <f t="shared" si="9"/>
        <v>1348.446528</v>
      </c>
      <c r="K52" s="139"/>
      <c r="L52" s="197"/>
      <c r="M52" s="198">
        <f t="shared" si="19"/>
        <v>1</v>
      </c>
      <c r="N52" s="198"/>
      <c r="O52" s="139"/>
      <c r="P52" s="139"/>
      <c r="Q52" s="178">
        <v>1315.0</v>
      </c>
      <c r="R52" s="190">
        <v>22.0</v>
      </c>
      <c r="S52" s="178">
        <f t="shared" si="10"/>
        <v>28.89</v>
      </c>
      <c r="T52" s="162">
        <f t="shared" si="11"/>
        <v>1</v>
      </c>
      <c r="U52" s="162">
        <f t="shared" si="12"/>
        <v>28.89</v>
      </c>
      <c r="V52" s="191">
        <f t="shared" si="13"/>
        <v>1348.446528</v>
      </c>
      <c r="W52" s="178">
        <f t="shared" ref="W52:X52" si="43">C52/100</f>
        <v>1.04</v>
      </c>
      <c r="X52" s="178">
        <f t="shared" si="43"/>
        <v>2.04</v>
      </c>
      <c r="Y52" s="178">
        <f t="shared" si="15"/>
        <v>28.89</v>
      </c>
      <c r="Z52" s="192">
        <f t="shared" si="16"/>
        <v>61.293024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27.0</v>
      </c>
      <c r="B53" s="193" t="s">
        <v>144</v>
      </c>
      <c r="C53" s="193">
        <v>104.0</v>
      </c>
      <c r="D53" s="193">
        <v>204.0</v>
      </c>
      <c r="E53" s="193">
        <v>2881.0</v>
      </c>
      <c r="F53" s="193">
        <f t="shared" si="6"/>
        <v>0</v>
      </c>
      <c r="G53" s="193">
        <f t="shared" si="7"/>
        <v>1344.712512</v>
      </c>
      <c r="H53" s="194">
        <f t="shared" si="8"/>
        <v>1344.712512</v>
      </c>
      <c r="I53" s="193">
        <v>1.0</v>
      </c>
      <c r="J53" s="195">
        <f t="shared" si="9"/>
        <v>1344.712512</v>
      </c>
      <c r="K53" s="139"/>
      <c r="L53" s="197"/>
      <c r="M53" s="198">
        <f t="shared" si="19"/>
        <v>1</v>
      </c>
      <c r="N53" s="198"/>
      <c r="O53" s="139"/>
      <c r="P53" s="139"/>
      <c r="Q53" s="178">
        <v>1345.0</v>
      </c>
      <c r="R53" s="190">
        <v>22.0</v>
      </c>
      <c r="S53" s="178">
        <f t="shared" si="10"/>
        <v>28.81</v>
      </c>
      <c r="T53" s="162">
        <f t="shared" si="11"/>
        <v>1</v>
      </c>
      <c r="U53" s="162">
        <f t="shared" si="12"/>
        <v>28.81</v>
      </c>
      <c r="V53" s="191">
        <f t="shared" si="13"/>
        <v>1344.712512</v>
      </c>
      <c r="W53" s="178">
        <f t="shared" ref="W53:X53" si="44">C53/100</f>
        <v>1.04</v>
      </c>
      <c r="X53" s="178">
        <f t="shared" si="44"/>
        <v>2.04</v>
      </c>
      <c r="Y53" s="178">
        <f t="shared" si="15"/>
        <v>28.81</v>
      </c>
      <c r="Z53" s="192">
        <f t="shared" si="16"/>
        <v>61.123296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28.0</v>
      </c>
      <c r="B54" s="193" t="s">
        <v>144</v>
      </c>
      <c r="C54" s="193">
        <v>101.0</v>
      </c>
      <c r="D54" s="193">
        <v>204.0</v>
      </c>
      <c r="E54" s="193">
        <v>2889.0</v>
      </c>
      <c r="F54" s="193">
        <f t="shared" si="6"/>
        <v>0</v>
      </c>
      <c r="G54" s="193">
        <f t="shared" si="7"/>
        <v>1309.549032</v>
      </c>
      <c r="H54" s="194">
        <f t="shared" si="8"/>
        <v>1309.549032</v>
      </c>
      <c r="I54" s="193">
        <v>1.0</v>
      </c>
      <c r="J54" s="195">
        <f t="shared" si="9"/>
        <v>1309.549032</v>
      </c>
      <c r="K54" s="139"/>
      <c r="L54" s="197"/>
      <c r="M54" s="198">
        <f t="shared" si="19"/>
        <v>1</v>
      </c>
      <c r="N54" s="198"/>
      <c r="O54" s="139"/>
      <c r="P54" s="139"/>
      <c r="Q54" s="178">
        <v>1305.0</v>
      </c>
      <c r="R54" s="190">
        <v>22.0</v>
      </c>
      <c r="S54" s="178">
        <f t="shared" si="10"/>
        <v>28.89</v>
      </c>
      <c r="T54" s="162">
        <f t="shared" si="11"/>
        <v>1</v>
      </c>
      <c r="U54" s="162">
        <f t="shared" si="12"/>
        <v>28.89</v>
      </c>
      <c r="V54" s="191">
        <f t="shared" si="13"/>
        <v>1309.549032</v>
      </c>
      <c r="W54" s="178">
        <f t="shared" ref="W54:X54" si="45">C54/100</f>
        <v>1.01</v>
      </c>
      <c r="X54" s="178">
        <f t="shared" si="45"/>
        <v>2.04</v>
      </c>
      <c r="Y54" s="178">
        <f t="shared" si="15"/>
        <v>28.89</v>
      </c>
      <c r="Z54" s="192">
        <f t="shared" si="16"/>
        <v>59.524956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29.0</v>
      </c>
      <c r="B55" s="193" t="s">
        <v>144</v>
      </c>
      <c r="C55" s="193">
        <v>104.0</v>
      </c>
      <c r="D55" s="193">
        <v>204.0</v>
      </c>
      <c r="E55" s="193">
        <v>2889.0</v>
      </c>
      <c r="F55" s="193">
        <f t="shared" si="6"/>
        <v>0</v>
      </c>
      <c r="G55" s="193">
        <f t="shared" si="7"/>
        <v>1348.446528</v>
      </c>
      <c r="H55" s="194">
        <f t="shared" si="8"/>
        <v>1348.446528</v>
      </c>
      <c r="I55" s="193">
        <v>1.0</v>
      </c>
      <c r="J55" s="195">
        <f t="shared" si="9"/>
        <v>1348.446528</v>
      </c>
      <c r="K55" s="139"/>
      <c r="L55" s="197"/>
      <c r="M55" s="198">
        <f t="shared" si="19"/>
        <v>1</v>
      </c>
      <c r="N55" s="198"/>
      <c r="O55" s="139"/>
      <c r="P55" s="139"/>
      <c r="Q55" s="178">
        <v>1305.0</v>
      </c>
      <c r="R55" s="190">
        <v>22.0</v>
      </c>
      <c r="S55" s="178">
        <f t="shared" si="10"/>
        <v>28.89</v>
      </c>
      <c r="T55" s="162">
        <f t="shared" si="11"/>
        <v>1</v>
      </c>
      <c r="U55" s="162">
        <f t="shared" si="12"/>
        <v>28.89</v>
      </c>
      <c r="V55" s="191">
        <f t="shared" si="13"/>
        <v>1348.446528</v>
      </c>
      <c r="W55" s="178">
        <f t="shared" ref="W55:X55" si="46">C55/100</f>
        <v>1.04</v>
      </c>
      <c r="X55" s="178">
        <f t="shared" si="46"/>
        <v>2.04</v>
      </c>
      <c r="Y55" s="178">
        <f t="shared" si="15"/>
        <v>28.89</v>
      </c>
      <c r="Z55" s="192">
        <f t="shared" si="16"/>
        <v>61.293024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30.0</v>
      </c>
      <c r="B56" s="193" t="s">
        <v>144</v>
      </c>
      <c r="C56" s="193">
        <v>101.0</v>
      </c>
      <c r="D56" s="193">
        <v>204.0</v>
      </c>
      <c r="E56" s="193">
        <v>2890.0</v>
      </c>
      <c r="F56" s="193">
        <f t="shared" si="6"/>
        <v>0</v>
      </c>
      <c r="G56" s="193">
        <f t="shared" si="7"/>
        <v>1310.00232</v>
      </c>
      <c r="H56" s="194">
        <f t="shared" si="8"/>
        <v>1310.00232</v>
      </c>
      <c r="I56" s="193">
        <v>1.0</v>
      </c>
      <c r="J56" s="195">
        <f t="shared" si="9"/>
        <v>1310.00232</v>
      </c>
      <c r="K56" s="139"/>
      <c r="L56" s="197"/>
      <c r="M56" s="198">
        <f t="shared" si="19"/>
        <v>1</v>
      </c>
      <c r="N56" s="198"/>
      <c r="O56" s="139"/>
      <c r="P56" s="139"/>
      <c r="Q56" s="178">
        <v>1285.0</v>
      </c>
      <c r="R56" s="190">
        <v>22.0</v>
      </c>
      <c r="S56" s="178">
        <f t="shared" si="10"/>
        <v>28.9</v>
      </c>
      <c r="T56" s="162">
        <f t="shared" si="11"/>
        <v>1</v>
      </c>
      <c r="U56" s="162">
        <f t="shared" si="12"/>
        <v>28.9</v>
      </c>
      <c r="V56" s="191">
        <f t="shared" si="13"/>
        <v>1310.00232</v>
      </c>
      <c r="W56" s="178">
        <f t="shared" ref="W56:X56" si="47">C56/100</f>
        <v>1.01</v>
      </c>
      <c r="X56" s="178">
        <f t="shared" si="47"/>
        <v>2.04</v>
      </c>
      <c r="Y56" s="178">
        <f t="shared" si="15"/>
        <v>28.9</v>
      </c>
      <c r="Z56" s="192">
        <f t="shared" si="16"/>
        <v>59.54556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31.0</v>
      </c>
      <c r="B57" s="193" t="s">
        <v>144</v>
      </c>
      <c r="C57" s="193">
        <v>101.0</v>
      </c>
      <c r="D57" s="193">
        <v>204.0</v>
      </c>
      <c r="E57" s="193">
        <v>2891.0</v>
      </c>
      <c r="F57" s="193">
        <f t="shared" si="6"/>
        <v>0</v>
      </c>
      <c r="G57" s="193">
        <f t="shared" si="7"/>
        <v>1310.455608</v>
      </c>
      <c r="H57" s="194">
        <f t="shared" si="8"/>
        <v>1310.455608</v>
      </c>
      <c r="I57" s="193">
        <v>1.0</v>
      </c>
      <c r="J57" s="195">
        <f t="shared" si="9"/>
        <v>1310.455608</v>
      </c>
      <c r="K57" s="139"/>
      <c r="L57" s="197"/>
      <c r="M57" s="198">
        <f t="shared" si="19"/>
        <v>1</v>
      </c>
      <c r="N57" s="198"/>
      <c r="O57" s="139"/>
      <c r="P57" s="139"/>
      <c r="Q57" s="178">
        <v>1290.0</v>
      </c>
      <c r="R57" s="190">
        <v>22.0</v>
      </c>
      <c r="S57" s="178">
        <f t="shared" si="10"/>
        <v>28.91</v>
      </c>
      <c r="T57" s="162">
        <f t="shared" si="11"/>
        <v>1</v>
      </c>
      <c r="U57" s="162">
        <f t="shared" si="12"/>
        <v>28.91</v>
      </c>
      <c r="V57" s="191">
        <f t="shared" si="13"/>
        <v>1310.455608</v>
      </c>
      <c r="W57" s="178">
        <f t="shared" ref="W57:X57" si="48">C57/100</f>
        <v>1.01</v>
      </c>
      <c r="X57" s="178">
        <f t="shared" si="48"/>
        <v>2.04</v>
      </c>
      <c r="Y57" s="178">
        <f t="shared" si="15"/>
        <v>28.91</v>
      </c>
      <c r="Z57" s="192">
        <f t="shared" si="16"/>
        <v>59.566164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32.0</v>
      </c>
      <c r="B58" s="193" t="s">
        <v>144</v>
      </c>
      <c r="C58" s="193">
        <v>100.0</v>
      </c>
      <c r="D58" s="193">
        <v>204.0</v>
      </c>
      <c r="E58" s="193">
        <v>2885.0</v>
      </c>
      <c r="F58" s="193">
        <f t="shared" si="6"/>
        <v>0</v>
      </c>
      <c r="G58" s="193">
        <f t="shared" si="7"/>
        <v>1294.788</v>
      </c>
      <c r="H58" s="194">
        <f t="shared" si="8"/>
        <v>1294.788</v>
      </c>
      <c r="I58" s="193">
        <v>1.0</v>
      </c>
      <c r="J58" s="195">
        <f t="shared" si="9"/>
        <v>1294.788</v>
      </c>
      <c r="K58" s="139"/>
      <c r="L58" s="197"/>
      <c r="M58" s="198">
        <f t="shared" si="19"/>
        <v>1</v>
      </c>
      <c r="N58" s="198"/>
      <c r="O58" s="139"/>
      <c r="P58" s="139"/>
      <c r="Q58" s="178">
        <v>1280.0</v>
      </c>
      <c r="R58" s="190">
        <v>22.0</v>
      </c>
      <c r="S58" s="178">
        <f t="shared" si="10"/>
        <v>28.85</v>
      </c>
      <c r="T58" s="162">
        <f t="shared" si="11"/>
        <v>1</v>
      </c>
      <c r="U58" s="162">
        <f t="shared" si="12"/>
        <v>28.85</v>
      </c>
      <c r="V58" s="191">
        <f t="shared" si="13"/>
        <v>1294.788</v>
      </c>
      <c r="W58" s="178">
        <f t="shared" ref="W58:X58" si="49">C58/100</f>
        <v>1</v>
      </c>
      <c r="X58" s="178">
        <f t="shared" si="49"/>
        <v>2.04</v>
      </c>
      <c r="Y58" s="178">
        <f t="shared" si="15"/>
        <v>28.85</v>
      </c>
      <c r="Z58" s="192">
        <f t="shared" si="16"/>
        <v>58.854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33.0</v>
      </c>
      <c r="B59" s="193" t="s">
        <v>144</v>
      </c>
      <c r="C59" s="193">
        <v>100.0</v>
      </c>
      <c r="D59" s="193">
        <v>204.0</v>
      </c>
      <c r="E59" s="193">
        <v>2887.0</v>
      </c>
      <c r="F59" s="193">
        <f t="shared" si="6"/>
        <v>0</v>
      </c>
      <c r="G59" s="193">
        <f t="shared" si="7"/>
        <v>1295.6856</v>
      </c>
      <c r="H59" s="194">
        <f t="shared" si="8"/>
        <v>1295.6856</v>
      </c>
      <c r="I59" s="193">
        <v>1.0</v>
      </c>
      <c r="J59" s="195">
        <f t="shared" si="9"/>
        <v>1295.6856</v>
      </c>
      <c r="K59" s="139"/>
      <c r="L59" s="197"/>
      <c r="M59" s="198">
        <f t="shared" si="19"/>
        <v>1</v>
      </c>
      <c r="N59" s="198"/>
      <c r="O59" s="139"/>
      <c r="P59" s="139"/>
      <c r="Q59" s="178">
        <v>1280.0</v>
      </c>
      <c r="R59" s="190">
        <v>22.0</v>
      </c>
      <c r="S59" s="178">
        <f t="shared" si="10"/>
        <v>28.87</v>
      </c>
      <c r="T59" s="162">
        <f t="shared" si="11"/>
        <v>1</v>
      </c>
      <c r="U59" s="162">
        <f t="shared" si="12"/>
        <v>28.87</v>
      </c>
      <c r="V59" s="191">
        <f t="shared" si="13"/>
        <v>1295.6856</v>
      </c>
      <c r="W59" s="178">
        <f t="shared" ref="W59:X59" si="50">C59/100</f>
        <v>1</v>
      </c>
      <c r="X59" s="178">
        <f t="shared" si="50"/>
        <v>2.04</v>
      </c>
      <c r="Y59" s="178">
        <f t="shared" si="15"/>
        <v>28.87</v>
      </c>
      <c r="Z59" s="192">
        <f t="shared" si="16"/>
        <v>58.8948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34.0</v>
      </c>
      <c r="B60" s="193" t="s">
        <v>144</v>
      </c>
      <c r="C60" s="193">
        <v>100.0</v>
      </c>
      <c r="D60" s="193">
        <v>204.0</v>
      </c>
      <c r="E60" s="193">
        <v>2703.0</v>
      </c>
      <c r="F60" s="193">
        <f t="shared" si="6"/>
        <v>0</v>
      </c>
      <c r="G60" s="193">
        <f t="shared" si="7"/>
        <v>1213.1064</v>
      </c>
      <c r="H60" s="194">
        <f t="shared" si="8"/>
        <v>1213.1064</v>
      </c>
      <c r="I60" s="193">
        <v>1.0</v>
      </c>
      <c r="J60" s="195">
        <f t="shared" si="9"/>
        <v>1213.1064</v>
      </c>
      <c r="K60" s="139"/>
      <c r="L60" s="197"/>
      <c r="M60" s="198">
        <f t="shared" si="19"/>
        <v>1</v>
      </c>
      <c r="N60" s="198"/>
      <c r="O60" s="139"/>
      <c r="P60" s="139"/>
      <c r="Q60" s="178">
        <v>1205.0</v>
      </c>
      <c r="R60" s="190">
        <v>22.0</v>
      </c>
      <c r="S60" s="178">
        <f t="shared" si="10"/>
        <v>27.03</v>
      </c>
      <c r="T60" s="162">
        <f t="shared" si="11"/>
        <v>1</v>
      </c>
      <c r="U60" s="162">
        <f t="shared" si="12"/>
        <v>27.03</v>
      </c>
      <c r="V60" s="191">
        <f t="shared" si="13"/>
        <v>1213.1064</v>
      </c>
      <c r="W60" s="178">
        <f t="shared" ref="W60:X60" si="51">C60/100</f>
        <v>1</v>
      </c>
      <c r="X60" s="178">
        <f t="shared" si="51"/>
        <v>2.04</v>
      </c>
      <c r="Y60" s="178">
        <f t="shared" si="15"/>
        <v>27.03</v>
      </c>
      <c r="Z60" s="192">
        <f t="shared" si="16"/>
        <v>55.1412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35.0</v>
      </c>
      <c r="B61" s="193" t="s">
        <v>144</v>
      </c>
      <c r="C61" s="193">
        <v>99.0</v>
      </c>
      <c r="D61" s="193">
        <v>204.0</v>
      </c>
      <c r="E61" s="193">
        <v>2890.0</v>
      </c>
      <c r="F61" s="193">
        <f t="shared" si="6"/>
        <v>0</v>
      </c>
      <c r="G61" s="193">
        <f t="shared" si="7"/>
        <v>1284.06168</v>
      </c>
      <c r="H61" s="194">
        <f t="shared" si="8"/>
        <v>1284.06168</v>
      </c>
      <c r="I61" s="193">
        <v>1.0</v>
      </c>
      <c r="J61" s="195">
        <f t="shared" si="9"/>
        <v>1284.06168</v>
      </c>
      <c r="K61" s="139"/>
      <c r="L61" s="197"/>
      <c r="M61" s="198">
        <f t="shared" si="19"/>
        <v>1</v>
      </c>
      <c r="N61" s="198"/>
      <c r="O61" s="139"/>
      <c r="P61" s="139"/>
      <c r="Q61" s="178">
        <v>1285.0</v>
      </c>
      <c r="R61" s="190">
        <v>22.0</v>
      </c>
      <c r="S61" s="178">
        <f t="shared" si="10"/>
        <v>28.9</v>
      </c>
      <c r="T61" s="162">
        <f t="shared" si="11"/>
        <v>1</v>
      </c>
      <c r="U61" s="162">
        <f t="shared" si="12"/>
        <v>28.9</v>
      </c>
      <c r="V61" s="191">
        <f t="shared" si="13"/>
        <v>1284.06168</v>
      </c>
      <c r="W61" s="178">
        <f t="shared" ref="W61:X61" si="52">C61/100</f>
        <v>0.99</v>
      </c>
      <c r="X61" s="178">
        <f t="shared" si="52"/>
        <v>2.04</v>
      </c>
      <c r="Y61" s="178">
        <f t="shared" si="15"/>
        <v>28.9</v>
      </c>
      <c r="Z61" s="192">
        <f t="shared" si="16"/>
        <v>58.36644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hidden="1" customHeight="1">
      <c r="A62" s="162">
        <v>101.0</v>
      </c>
      <c r="B62" s="193"/>
      <c r="C62" s="193"/>
      <c r="D62" s="193"/>
      <c r="E62" s="193"/>
      <c r="F62" s="193">
        <f t="shared" si="6"/>
        <v>0</v>
      </c>
      <c r="G62" s="193">
        <f t="shared" si="7"/>
        <v>0</v>
      </c>
      <c r="H62" s="194">
        <f t="shared" si="8"/>
        <v>0</v>
      </c>
      <c r="I62" s="193"/>
      <c r="J62" s="195">
        <f t="shared" si="9"/>
        <v>0</v>
      </c>
      <c r="K62" s="139"/>
      <c r="L62" s="197"/>
      <c r="M62" s="198"/>
      <c r="N62" s="198"/>
      <c r="O62" s="139"/>
      <c r="P62" s="139"/>
      <c r="Q62" s="195"/>
      <c r="R62" s="141"/>
      <c r="S62" s="199">
        <f t="shared" si="10"/>
        <v>0</v>
      </c>
      <c r="T62" s="200" t="str">
        <f t="shared" si="11"/>
        <v/>
      </c>
      <c r="U62" s="200">
        <f t="shared" si="12"/>
        <v>0</v>
      </c>
      <c r="V62" s="203"/>
      <c r="W62" s="199">
        <f t="shared" ref="W62:X62" si="53">C62/100</f>
        <v>0</v>
      </c>
      <c r="X62" s="199">
        <f t="shared" si="53"/>
        <v>0</v>
      </c>
      <c r="Y62" s="199">
        <f t="shared" si="15"/>
        <v>0</v>
      </c>
      <c r="Z62" s="202">
        <f t="shared" si="16"/>
        <v>0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hidden="1" customHeight="1">
      <c r="A63" s="162">
        <v>102.0</v>
      </c>
      <c r="B63" s="193"/>
      <c r="C63" s="193"/>
      <c r="D63" s="193"/>
      <c r="E63" s="193"/>
      <c r="F63" s="193">
        <f t="shared" si="6"/>
        <v>0</v>
      </c>
      <c r="G63" s="193">
        <f t="shared" si="7"/>
        <v>0</v>
      </c>
      <c r="H63" s="194">
        <f t="shared" si="8"/>
        <v>0</v>
      </c>
      <c r="I63" s="193"/>
      <c r="J63" s="195">
        <f t="shared" si="9"/>
        <v>0</v>
      </c>
      <c r="K63" s="139"/>
      <c r="L63" s="197"/>
      <c r="M63" s="198"/>
      <c r="N63" s="198"/>
      <c r="O63" s="139"/>
      <c r="P63" s="139"/>
      <c r="Q63" s="195"/>
      <c r="R63" s="141"/>
      <c r="S63" s="199">
        <f t="shared" si="10"/>
        <v>0</v>
      </c>
      <c r="T63" s="200" t="str">
        <f t="shared" si="11"/>
        <v/>
      </c>
      <c r="U63" s="200">
        <f t="shared" si="12"/>
        <v>0</v>
      </c>
      <c r="V63" s="203"/>
      <c r="W63" s="199">
        <f t="shared" ref="W63:X63" si="54">C63/100</f>
        <v>0</v>
      </c>
      <c r="X63" s="199">
        <f t="shared" si="54"/>
        <v>0</v>
      </c>
      <c r="Y63" s="199">
        <f t="shared" si="15"/>
        <v>0</v>
      </c>
      <c r="Z63" s="202">
        <f t="shared" si="16"/>
        <v>0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hidden="1" customHeight="1">
      <c r="A64" s="162">
        <v>103.0</v>
      </c>
      <c r="B64" s="193"/>
      <c r="C64" s="193"/>
      <c r="D64" s="193"/>
      <c r="E64" s="193"/>
      <c r="F64" s="193">
        <f t="shared" si="6"/>
        <v>0</v>
      </c>
      <c r="G64" s="193">
        <f t="shared" si="7"/>
        <v>0</v>
      </c>
      <c r="H64" s="194">
        <f t="shared" si="8"/>
        <v>0</v>
      </c>
      <c r="I64" s="193"/>
      <c r="J64" s="195">
        <f t="shared" si="9"/>
        <v>0</v>
      </c>
      <c r="K64" s="139"/>
      <c r="L64" s="197"/>
      <c r="M64" s="198"/>
      <c r="N64" s="198"/>
      <c r="O64" s="139"/>
      <c r="P64" s="139"/>
      <c r="Q64" s="195"/>
      <c r="R64" s="141"/>
      <c r="S64" s="199">
        <f t="shared" si="10"/>
        <v>0</v>
      </c>
      <c r="T64" s="200" t="str">
        <f t="shared" si="11"/>
        <v/>
      </c>
      <c r="U64" s="200">
        <f t="shared" si="12"/>
        <v>0</v>
      </c>
      <c r="V64" s="203"/>
      <c r="W64" s="199">
        <f t="shared" ref="W64:X64" si="55">C64/100</f>
        <v>0</v>
      </c>
      <c r="X64" s="199">
        <f t="shared" si="55"/>
        <v>0</v>
      </c>
      <c r="Y64" s="199">
        <f t="shared" si="15"/>
        <v>0</v>
      </c>
      <c r="Z64" s="202">
        <f t="shared" si="16"/>
        <v>0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hidden="1" customHeight="1">
      <c r="A65" s="162">
        <v>104.0</v>
      </c>
      <c r="B65" s="193"/>
      <c r="C65" s="193"/>
      <c r="D65" s="193"/>
      <c r="E65" s="193"/>
      <c r="F65" s="193">
        <f t="shared" si="6"/>
        <v>0</v>
      </c>
      <c r="G65" s="193">
        <f t="shared" si="7"/>
        <v>0</v>
      </c>
      <c r="H65" s="194">
        <f t="shared" si="8"/>
        <v>0</v>
      </c>
      <c r="I65" s="193"/>
      <c r="J65" s="195">
        <f t="shared" si="9"/>
        <v>0</v>
      </c>
      <c r="K65" s="139"/>
      <c r="L65" s="197"/>
      <c r="M65" s="198"/>
      <c r="N65" s="198"/>
      <c r="O65" s="139"/>
      <c r="P65" s="139"/>
      <c r="Q65" s="195"/>
      <c r="R65" s="141"/>
      <c r="S65" s="199">
        <f t="shared" si="10"/>
        <v>0</v>
      </c>
      <c r="T65" s="200" t="str">
        <f t="shared" si="11"/>
        <v/>
      </c>
      <c r="U65" s="200">
        <f t="shared" si="12"/>
        <v>0</v>
      </c>
      <c r="V65" s="203"/>
      <c r="W65" s="199">
        <f t="shared" ref="W65:X65" si="56">C65/100</f>
        <v>0</v>
      </c>
      <c r="X65" s="199">
        <f t="shared" si="56"/>
        <v>0</v>
      </c>
      <c r="Y65" s="199">
        <f t="shared" si="15"/>
        <v>0</v>
      </c>
      <c r="Z65" s="202">
        <f t="shared" si="16"/>
        <v>0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hidden="1" customHeight="1">
      <c r="A66" s="162">
        <v>105.0</v>
      </c>
      <c r="B66" s="193"/>
      <c r="C66" s="193"/>
      <c r="D66" s="193"/>
      <c r="E66" s="193"/>
      <c r="F66" s="193">
        <f t="shared" si="6"/>
        <v>0</v>
      </c>
      <c r="G66" s="193">
        <f t="shared" si="7"/>
        <v>0</v>
      </c>
      <c r="H66" s="194">
        <f t="shared" si="8"/>
        <v>0</v>
      </c>
      <c r="I66" s="193"/>
      <c r="J66" s="195">
        <f t="shared" si="9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10"/>
        <v>0</v>
      </c>
      <c r="T66" s="200" t="str">
        <f t="shared" si="11"/>
        <v/>
      </c>
      <c r="U66" s="200">
        <f t="shared" si="12"/>
        <v>0</v>
      </c>
      <c r="V66" s="203"/>
      <c r="W66" s="199">
        <f t="shared" ref="W66:X66" si="57">C66/100</f>
        <v>0</v>
      </c>
      <c r="X66" s="199">
        <f t="shared" si="57"/>
        <v>0</v>
      </c>
      <c r="Y66" s="199">
        <f t="shared" si="15"/>
        <v>0</v>
      </c>
      <c r="Z66" s="202">
        <f t="shared" si="16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hidden="1" customHeight="1">
      <c r="A67" s="162">
        <v>106.0</v>
      </c>
      <c r="B67" s="193"/>
      <c r="C67" s="193"/>
      <c r="D67" s="193"/>
      <c r="E67" s="193"/>
      <c r="F67" s="193">
        <f t="shared" si="6"/>
        <v>0</v>
      </c>
      <c r="G67" s="193">
        <f t="shared" si="7"/>
        <v>0</v>
      </c>
      <c r="H67" s="194">
        <f t="shared" si="8"/>
        <v>0</v>
      </c>
      <c r="I67" s="193"/>
      <c r="J67" s="195">
        <f t="shared" si="9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10"/>
        <v>0</v>
      </c>
      <c r="T67" s="200" t="str">
        <f t="shared" si="11"/>
        <v/>
      </c>
      <c r="U67" s="200">
        <f t="shared" si="12"/>
        <v>0</v>
      </c>
      <c r="V67" s="203"/>
      <c r="W67" s="199">
        <f t="shared" ref="W67:X67" si="58">C67/100</f>
        <v>0</v>
      </c>
      <c r="X67" s="199">
        <f t="shared" si="58"/>
        <v>0</v>
      </c>
      <c r="Y67" s="199">
        <f t="shared" si="15"/>
        <v>0</v>
      </c>
      <c r="Z67" s="202">
        <f t="shared" si="16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hidden="1" customHeight="1">
      <c r="A68" s="162">
        <v>107.0</v>
      </c>
      <c r="B68" s="193"/>
      <c r="C68" s="193"/>
      <c r="D68" s="193"/>
      <c r="E68" s="193"/>
      <c r="F68" s="193">
        <f t="shared" si="6"/>
        <v>0</v>
      </c>
      <c r="G68" s="193">
        <f t="shared" si="7"/>
        <v>0</v>
      </c>
      <c r="H68" s="194">
        <f t="shared" si="8"/>
        <v>0</v>
      </c>
      <c r="I68" s="193"/>
      <c r="J68" s="195">
        <f t="shared" si="9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10"/>
        <v>0</v>
      </c>
      <c r="T68" s="200" t="str">
        <f t="shared" si="11"/>
        <v/>
      </c>
      <c r="U68" s="200">
        <f t="shared" si="12"/>
        <v>0</v>
      </c>
      <c r="V68" s="203"/>
      <c r="W68" s="199">
        <f t="shared" ref="W68:X68" si="59">C68/100</f>
        <v>0</v>
      </c>
      <c r="X68" s="199">
        <f t="shared" si="59"/>
        <v>0</v>
      </c>
      <c r="Y68" s="199">
        <f t="shared" si="15"/>
        <v>0</v>
      </c>
      <c r="Z68" s="202">
        <f t="shared" si="16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hidden="1" customHeight="1">
      <c r="A69" s="162">
        <v>108.0</v>
      </c>
      <c r="B69" s="193"/>
      <c r="C69" s="193"/>
      <c r="D69" s="193"/>
      <c r="E69" s="193"/>
      <c r="F69" s="193">
        <f t="shared" si="6"/>
        <v>0</v>
      </c>
      <c r="G69" s="193">
        <f t="shared" si="7"/>
        <v>0</v>
      </c>
      <c r="H69" s="194">
        <f t="shared" si="8"/>
        <v>0</v>
      </c>
      <c r="I69" s="193"/>
      <c r="J69" s="195">
        <f t="shared" si="9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10"/>
        <v>0</v>
      </c>
      <c r="T69" s="200" t="str">
        <f t="shared" si="11"/>
        <v/>
      </c>
      <c r="U69" s="200">
        <f t="shared" si="12"/>
        <v>0</v>
      </c>
      <c r="V69" s="203"/>
      <c r="W69" s="199">
        <f t="shared" ref="W69:X69" si="60">C69/100</f>
        <v>0</v>
      </c>
      <c r="X69" s="199">
        <f t="shared" si="60"/>
        <v>0</v>
      </c>
      <c r="Y69" s="199">
        <f t="shared" si="15"/>
        <v>0</v>
      </c>
      <c r="Z69" s="202">
        <f t="shared" si="16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hidden="1" customHeight="1">
      <c r="A70" s="162">
        <v>109.0</v>
      </c>
      <c r="B70" s="193"/>
      <c r="C70" s="193"/>
      <c r="D70" s="193"/>
      <c r="E70" s="193"/>
      <c r="F70" s="193">
        <f t="shared" si="6"/>
        <v>0</v>
      </c>
      <c r="G70" s="193">
        <f t="shared" si="7"/>
        <v>0</v>
      </c>
      <c r="H70" s="194">
        <f t="shared" si="8"/>
        <v>0</v>
      </c>
      <c r="I70" s="193"/>
      <c r="J70" s="195">
        <f t="shared" si="9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10"/>
        <v>0</v>
      </c>
      <c r="T70" s="200" t="str">
        <f t="shared" si="11"/>
        <v/>
      </c>
      <c r="U70" s="200">
        <f t="shared" si="12"/>
        <v>0</v>
      </c>
      <c r="V70" s="203"/>
      <c r="W70" s="199">
        <f t="shared" ref="W70:X70" si="61">C70/100</f>
        <v>0</v>
      </c>
      <c r="X70" s="199">
        <f t="shared" si="61"/>
        <v>0</v>
      </c>
      <c r="Y70" s="199">
        <f t="shared" si="15"/>
        <v>0</v>
      </c>
      <c r="Z70" s="202">
        <f t="shared" si="16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hidden="1" customHeight="1">
      <c r="A71" s="162">
        <v>110.0</v>
      </c>
      <c r="B71" s="193"/>
      <c r="C71" s="193"/>
      <c r="D71" s="193"/>
      <c r="E71" s="193"/>
      <c r="F71" s="193">
        <f t="shared" si="6"/>
        <v>0</v>
      </c>
      <c r="G71" s="193">
        <f t="shared" si="7"/>
        <v>0</v>
      </c>
      <c r="H71" s="194">
        <f t="shared" si="8"/>
        <v>0</v>
      </c>
      <c r="I71" s="193"/>
      <c r="J71" s="195">
        <f t="shared" si="9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10"/>
        <v>0</v>
      </c>
      <c r="T71" s="200" t="str">
        <f t="shared" si="11"/>
        <v/>
      </c>
      <c r="U71" s="200">
        <f t="shared" si="12"/>
        <v>0</v>
      </c>
      <c r="V71" s="203"/>
      <c r="W71" s="199">
        <f t="shared" ref="W71:X71" si="62">C71/100</f>
        <v>0</v>
      </c>
      <c r="X71" s="199">
        <f t="shared" si="62"/>
        <v>0</v>
      </c>
      <c r="Y71" s="199">
        <f t="shared" si="15"/>
        <v>0</v>
      </c>
      <c r="Z71" s="202">
        <f t="shared" si="16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hidden="1" customHeight="1">
      <c r="A72" s="162">
        <v>111.0</v>
      </c>
      <c r="B72" s="193"/>
      <c r="C72" s="193"/>
      <c r="D72" s="193"/>
      <c r="E72" s="193"/>
      <c r="F72" s="193">
        <f t="shared" si="6"/>
        <v>0</v>
      </c>
      <c r="G72" s="193">
        <f t="shared" si="7"/>
        <v>0</v>
      </c>
      <c r="H72" s="194">
        <f t="shared" si="8"/>
        <v>0</v>
      </c>
      <c r="I72" s="193"/>
      <c r="J72" s="195">
        <f t="shared" si="9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10"/>
        <v>0</v>
      </c>
      <c r="T72" s="200" t="str">
        <f t="shared" si="11"/>
        <v/>
      </c>
      <c r="U72" s="200">
        <f t="shared" si="12"/>
        <v>0</v>
      </c>
      <c r="V72" s="203"/>
      <c r="W72" s="199">
        <f t="shared" ref="W72:X72" si="63">C72/100</f>
        <v>0</v>
      </c>
      <c r="X72" s="199">
        <f t="shared" si="63"/>
        <v>0</v>
      </c>
      <c r="Y72" s="199">
        <f t="shared" si="15"/>
        <v>0</v>
      </c>
      <c r="Z72" s="202">
        <f t="shared" si="16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hidden="1" customHeight="1">
      <c r="A73" s="162">
        <v>112.0</v>
      </c>
      <c r="B73" s="193"/>
      <c r="C73" s="193"/>
      <c r="D73" s="193"/>
      <c r="E73" s="193"/>
      <c r="F73" s="193">
        <f t="shared" si="6"/>
        <v>0</v>
      </c>
      <c r="G73" s="193">
        <f t="shared" si="7"/>
        <v>0</v>
      </c>
      <c r="H73" s="194">
        <f t="shared" si="8"/>
        <v>0</v>
      </c>
      <c r="I73" s="193"/>
      <c r="J73" s="195">
        <f t="shared" si="9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10"/>
        <v>0</v>
      </c>
      <c r="T73" s="200" t="str">
        <f t="shared" si="11"/>
        <v/>
      </c>
      <c r="U73" s="200">
        <f t="shared" si="12"/>
        <v>0</v>
      </c>
      <c r="V73" s="203"/>
      <c r="W73" s="199">
        <f t="shared" ref="W73:X73" si="64">C73/100</f>
        <v>0</v>
      </c>
      <c r="X73" s="199">
        <f t="shared" si="64"/>
        <v>0</v>
      </c>
      <c r="Y73" s="199">
        <f t="shared" si="15"/>
        <v>0</v>
      </c>
      <c r="Z73" s="202">
        <f t="shared" si="16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hidden="1" customHeight="1">
      <c r="A74" s="162">
        <v>113.0</v>
      </c>
      <c r="B74" s="193"/>
      <c r="C74" s="193"/>
      <c r="D74" s="193"/>
      <c r="E74" s="193"/>
      <c r="F74" s="193">
        <f t="shared" si="6"/>
        <v>0</v>
      </c>
      <c r="G74" s="193">
        <f t="shared" si="7"/>
        <v>0</v>
      </c>
      <c r="H74" s="194">
        <f t="shared" si="8"/>
        <v>0</v>
      </c>
      <c r="I74" s="193"/>
      <c r="J74" s="195">
        <f t="shared" si="9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10"/>
        <v>0</v>
      </c>
      <c r="T74" s="200" t="str">
        <f t="shared" si="11"/>
        <v/>
      </c>
      <c r="U74" s="200">
        <f t="shared" si="12"/>
        <v>0</v>
      </c>
      <c r="V74" s="203"/>
      <c r="W74" s="199">
        <f t="shared" ref="W74:X74" si="65">C74/100</f>
        <v>0</v>
      </c>
      <c r="X74" s="199">
        <f t="shared" si="65"/>
        <v>0</v>
      </c>
      <c r="Y74" s="199">
        <f t="shared" si="15"/>
        <v>0</v>
      </c>
      <c r="Z74" s="202">
        <f t="shared" si="16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hidden="1" customHeight="1">
      <c r="A75" s="162">
        <v>114.0</v>
      </c>
      <c r="B75" s="193"/>
      <c r="C75" s="193"/>
      <c r="D75" s="193"/>
      <c r="E75" s="193"/>
      <c r="F75" s="193">
        <f t="shared" si="6"/>
        <v>0</v>
      </c>
      <c r="G75" s="193">
        <f t="shared" si="7"/>
        <v>0</v>
      </c>
      <c r="H75" s="194">
        <f t="shared" si="8"/>
        <v>0</v>
      </c>
      <c r="I75" s="193"/>
      <c r="J75" s="195">
        <f t="shared" si="9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10"/>
        <v>0</v>
      </c>
      <c r="T75" s="200" t="str">
        <f t="shared" si="11"/>
        <v/>
      </c>
      <c r="U75" s="200">
        <f t="shared" si="12"/>
        <v>0</v>
      </c>
      <c r="V75" s="203"/>
      <c r="W75" s="199">
        <f t="shared" ref="W75:X75" si="66">C75/100</f>
        <v>0</v>
      </c>
      <c r="X75" s="199">
        <f t="shared" si="66"/>
        <v>0</v>
      </c>
      <c r="Y75" s="199">
        <f t="shared" si="15"/>
        <v>0</v>
      </c>
      <c r="Z75" s="202">
        <f t="shared" si="16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115.0</v>
      </c>
      <c r="B76" s="193"/>
      <c r="C76" s="193"/>
      <c r="D76" s="193"/>
      <c r="E76" s="193"/>
      <c r="F76" s="193">
        <f t="shared" si="6"/>
        <v>0</v>
      </c>
      <c r="G76" s="193">
        <f t="shared" si="7"/>
        <v>0</v>
      </c>
      <c r="H76" s="194">
        <f t="shared" si="8"/>
        <v>0</v>
      </c>
      <c r="I76" s="193"/>
      <c r="J76" s="195">
        <f t="shared" si="9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10"/>
        <v>0</v>
      </c>
      <c r="T76" s="200" t="str">
        <f t="shared" si="11"/>
        <v/>
      </c>
      <c r="U76" s="200">
        <f t="shared" si="12"/>
        <v>0</v>
      </c>
      <c r="V76" s="203"/>
      <c r="W76" s="199">
        <f t="shared" ref="W76:X76" si="67">C76/100</f>
        <v>0</v>
      </c>
      <c r="X76" s="199">
        <f t="shared" si="67"/>
        <v>0</v>
      </c>
      <c r="Y76" s="199">
        <f t="shared" si="15"/>
        <v>0</v>
      </c>
      <c r="Z76" s="202">
        <f t="shared" si="16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116.0</v>
      </c>
      <c r="B77" s="193"/>
      <c r="C77" s="193"/>
      <c r="D77" s="193"/>
      <c r="E77" s="193"/>
      <c r="F77" s="193">
        <f t="shared" si="6"/>
        <v>0</v>
      </c>
      <c r="G77" s="193">
        <f t="shared" si="7"/>
        <v>0</v>
      </c>
      <c r="H77" s="194">
        <f t="shared" si="8"/>
        <v>0</v>
      </c>
      <c r="I77" s="193"/>
      <c r="J77" s="195">
        <f t="shared" si="9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10"/>
        <v>0</v>
      </c>
      <c r="T77" s="200" t="str">
        <f t="shared" si="11"/>
        <v/>
      </c>
      <c r="U77" s="200">
        <f t="shared" si="12"/>
        <v>0</v>
      </c>
      <c r="V77" s="203"/>
      <c r="W77" s="199">
        <f t="shared" ref="W77:X77" si="68">C77/100</f>
        <v>0</v>
      </c>
      <c r="X77" s="199">
        <f t="shared" si="68"/>
        <v>0</v>
      </c>
      <c r="Y77" s="199">
        <f t="shared" si="15"/>
        <v>0</v>
      </c>
      <c r="Z77" s="202">
        <f t="shared" si="16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117.0</v>
      </c>
      <c r="B78" s="193"/>
      <c r="C78" s="193"/>
      <c r="D78" s="193"/>
      <c r="E78" s="193"/>
      <c r="F78" s="193">
        <f t="shared" si="6"/>
        <v>0</v>
      </c>
      <c r="G78" s="193">
        <f t="shared" si="7"/>
        <v>0</v>
      </c>
      <c r="H78" s="194">
        <f t="shared" si="8"/>
        <v>0</v>
      </c>
      <c r="I78" s="193"/>
      <c r="J78" s="195">
        <f t="shared" si="9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10"/>
        <v>0</v>
      </c>
      <c r="T78" s="200" t="str">
        <f t="shared" si="11"/>
        <v/>
      </c>
      <c r="U78" s="200">
        <f t="shared" si="12"/>
        <v>0</v>
      </c>
      <c r="V78" s="203"/>
      <c r="W78" s="199">
        <f t="shared" ref="W78:X78" si="69">C78/100</f>
        <v>0</v>
      </c>
      <c r="X78" s="199">
        <f t="shared" si="69"/>
        <v>0</v>
      </c>
      <c r="Y78" s="199">
        <f t="shared" si="15"/>
        <v>0</v>
      </c>
      <c r="Z78" s="202">
        <f t="shared" si="16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118.0</v>
      </c>
      <c r="B79" s="193"/>
      <c r="C79" s="193"/>
      <c r="D79" s="193"/>
      <c r="E79" s="193"/>
      <c r="F79" s="193">
        <f t="shared" si="6"/>
        <v>0</v>
      </c>
      <c r="G79" s="193">
        <f t="shared" si="7"/>
        <v>0</v>
      </c>
      <c r="H79" s="194">
        <f t="shared" si="8"/>
        <v>0</v>
      </c>
      <c r="I79" s="193"/>
      <c r="J79" s="195">
        <f t="shared" si="9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10"/>
        <v>0</v>
      </c>
      <c r="T79" s="200" t="str">
        <f t="shared" si="11"/>
        <v/>
      </c>
      <c r="U79" s="200">
        <f t="shared" si="12"/>
        <v>0</v>
      </c>
      <c r="V79" s="203"/>
      <c r="W79" s="199">
        <f t="shared" ref="W79:X79" si="70">C79/100</f>
        <v>0</v>
      </c>
      <c r="X79" s="199">
        <f t="shared" si="70"/>
        <v>0</v>
      </c>
      <c r="Y79" s="199">
        <f t="shared" si="15"/>
        <v>0</v>
      </c>
      <c r="Z79" s="202">
        <f t="shared" si="16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119.0</v>
      </c>
      <c r="B80" s="193"/>
      <c r="C80" s="193"/>
      <c r="D80" s="193"/>
      <c r="E80" s="193"/>
      <c r="F80" s="193">
        <f t="shared" si="6"/>
        <v>0</v>
      </c>
      <c r="G80" s="193">
        <f t="shared" si="7"/>
        <v>0</v>
      </c>
      <c r="H80" s="194">
        <f t="shared" si="8"/>
        <v>0</v>
      </c>
      <c r="I80" s="193"/>
      <c r="J80" s="195">
        <f t="shared" si="9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10"/>
        <v>0</v>
      </c>
      <c r="T80" s="200" t="str">
        <f t="shared" si="11"/>
        <v/>
      </c>
      <c r="U80" s="200">
        <f t="shared" si="12"/>
        <v>0</v>
      </c>
      <c r="V80" s="203"/>
      <c r="W80" s="199">
        <f t="shared" ref="W80:X80" si="71">C80/100</f>
        <v>0</v>
      </c>
      <c r="X80" s="199">
        <f t="shared" si="71"/>
        <v>0</v>
      </c>
      <c r="Y80" s="199">
        <f t="shared" si="15"/>
        <v>0</v>
      </c>
      <c r="Z80" s="202">
        <f t="shared" si="16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120.0</v>
      </c>
      <c r="B81" s="193"/>
      <c r="C81" s="193"/>
      <c r="D81" s="193"/>
      <c r="E81" s="193"/>
      <c r="F81" s="193">
        <f t="shared" si="6"/>
        <v>0</v>
      </c>
      <c r="G81" s="193">
        <f t="shared" si="7"/>
        <v>0</v>
      </c>
      <c r="H81" s="194">
        <f t="shared" si="8"/>
        <v>0</v>
      </c>
      <c r="I81" s="193"/>
      <c r="J81" s="195">
        <f t="shared" si="9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10"/>
        <v>0</v>
      </c>
      <c r="T81" s="200" t="str">
        <f t="shared" si="11"/>
        <v/>
      </c>
      <c r="U81" s="200">
        <f t="shared" si="12"/>
        <v>0</v>
      </c>
      <c r="V81" s="203"/>
      <c r="W81" s="199">
        <f t="shared" ref="W81:X81" si="72">C81/100</f>
        <v>0</v>
      </c>
      <c r="X81" s="199">
        <f t="shared" si="72"/>
        <v>0</v>
      </c>
      <c r="Y81" s="199">
        <f t="shared" si="15"/>
        <v>0</v>
      </c>
      <c r="Z81" s="202">
        <f t="shared" si="16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121.0</v>
      </c>
      <c r="B82" s="193"/>
      <c r="C82" s="193"/>
      <c r="D82" s="193"/>
      <c r="E82" s="193"/>
      <c r="F82" s="193">
        <f t="shared" si="6"/>
        <v>0</v>
      </c>
      <c r="G82" s="193">
        <f t="shared" si="7"/>
        <v>0</v>
      </c>
      <c r="H82" s="194">
        <f t="shared" si="8"/>
        <v>0</v>
      </c>
      <c r="I82" s="193"/>
      <c r="J82" s="195">
        <f t="shared" si="9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10"/>
        <v>0</v>
      </c>
      <c r="T82" s="200" t="str">
        <f t="shared" si="11"/>
        <v/>
      </c>
      <c r="U82" s="200">
        <f t="shared" si="12"/>
        <v>0</v>
      </c>
      <c r="V82" s="203"/>
      <c r="W82" s="199">
        <f t="shared" ref="W82:X82" si="73">C82/100</f>
        <v>0</v>
      </c>
      <c r="X82" s="199">
        <f t="shared" si="73"/>
        <v>0</v>
      </c>
      <c r="Y82" s="199">
        <f t="shared" si="15"/>
        <v>0</v>
      </c>
      <c r="Z82" s="202">
        <f t="shared" si="16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122.0</v>
      </c>
      <c r="B83" s="193"/>
      <c r="C83" s="193"/>
      <c r="D83" s="193"/>
      <c r="E83" s="193"/>
      <c r="F83" s="193">
        <f t="shared" si="6"/>
        <v>0</v>
      </c>
      <c r="G83" s="193">
        <f t="shared" si="7"/>
        <v>0</v>
      </c>
      <c r="H83" s="194">
        <f t="shared" si="8"/>
        <v>0</v>
      </c>
      <c r="I83" s="193"/>
      <c r="J83" s="195">
        <f t="shared" si="9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10"/>
        <v>0</v>
      </c>
      <c r="T83" s="200" t="str">
        <f t="shared" si="11"/>
        <v/>
      </c>
      <c r="U83" s="200">
        <f t="shared" si="12"/>
        <v>0</v>
      </c>
      <c r="V83" s="203"/>
      <c r="W83" s="199">
        <f t="shared" ref="W83:X83" si="74">C83/100</f>
        <v>0</v>
      </c>
      <c r="X83" s="199">
        <f t="shared" si="74"/>
        <v>0</v>
      </c>
      <c r="Y83" s="199">
        <f t="shared" si="15"/>
        <v>0</v>
      </c>
      <c r="Z83" s="202">
        <f t="shared" si="16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123.0</v>
      </c>
      <c r="B84" s="193"/>
      <c r="C84" s="193"/>
      <c r="D84" s="193"/>
      <c r="E84" s="193"/>
      <c r="F84" s="193">
        <f t="shared" si="6"/>
        <v>0</v>
      </c>
      <c r="G84" s="193">
        <f t="shared" si="7"/>
        <v>0</v>
      </c>
      <c r="H84" s="194">
        <f t="shared" si="8"/>
        <v>0</v>
      </c>
      <c r="I84" s="193"/>
      <c r="J84" s="195">
        <f t="shared" si="9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10"/>
        <v>0</v>
      </c>
      <c r="T84" s="200" t="str">
        <f t="shared" si="11"/>
        <v/>
      </c>
      <c r="U84" s="200">
        <f t="shared" si="12"/>
        <v>0</v>
      </c>
      <c r="V84" s="203"/>
      <c r="W84" s="199">
        <f t="shared" ref="W84:X84" si="75">C84/100</f>
        <v>0</v>
      </c>
      <c r="X84" s="199">
        <f t="shared" si="75"/>
        <v>0</v>
      </c>
      <c r="Y84" s="199">
        <f t="shared" si="15"/>
        <v>0</v>
      </c>
      <c r="Z84" s="202">
        <f t="shared" si="16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124.0</v>
      </c>
      <c r="B85" s="193"/>
      <c r="C85" s="193"/>
      <c r="D85" s="193"/>
      <c r="E85" s="193"/>
      <c r="F85" s="193">
        <f t="shared" si="6"/>
        <v>0</v>
      </c>
      <c r="G85" s="193">
        <f t="shared" si="7"/>
        <v>0</v>
      </c>
      <c r="H85" s="194">
        <f t="shared" si="8"/>
        <v>0</v>
      </c>
      <c r="I85" s="193"/>
      <c r="J85" s="195">
        <f t="shared" si="9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10"/>
        <v>0</v>
      </c>
      <c r="T85" s="200" t="str">
        <f t="shared" si="11"/>
        <v/>
      </c>
      <c r="U85" s="200">
        <f t="shared" si="12"/>
        <v>0</v>
      </c>
      <c r="V85" s="203"/>
      <c r="W85" s="199">
        <f t="shared" ref="W85:X85" si="76">C85/100</f>
        <v>0</v>
      </c>
      <c r="X85" s="199">
        <f t="shared" si="76"/>
        <v>0</v>
      </c>
      <c r="Y85" s="199">
        <f t="shared" si="15"/>
        <v>0</v>
      </c>
      <c r="Z85" s="202">
        <f t="shared" si="16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125.0</v>
      </c>
      <c r="B86" s="193"/>
      <c r="C86" s="193"/>
      <c r="D86" s="193"/>
      <c r="E86" s="193"/>
      <c r="F86" s="193">
        <f t="shared" si="6"/>
        <v>0</v>
      </c>
      <c r="G86" s="193">
        <f t="shared" si="7"/>
        <v>0</v>
      </c>
      <c r="H86" s="194">
        <f t="shared" si="8"/>
        <v>0</v>
      </c>
      <c r="I86" s="193"/>
      <c r="J86" s="195">
        <f t="shared" si="9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10"/>
        <v>0</v>
      </c>
      <c r="T86" s="200" t="str">
        <f t="shared" si="11"/>
        <v/>
      </c>
      <c r="U86" s="200">
        <f t="shared" si="12"/>
        <v>0</v>
      </c>
      <c r="V86" s="203"/>
      <c r="W86" s="199">
        <f t="shared" ref="W86:X86" si="77">C86/100</f>
        <v>0</v>
      </c>
      <c r="X86" s="199">
        <f t="shared" si="77"/>
        <v>0</v>
      </c>
      <c r="Y86" s="199">
        <f t="shared" si="15"/>
        <v>0</v>
      </c>
      <c r="Z86" s="202">
        <f t="shared" si="16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126.0</v>
      </c>
      <c r="B87" s="193"/>
      <c r="C87" s="193"/>
      <c r="D87" s="193"/>
      <c r="E87" s="193"/>
      <c r="F87" s="193">
        <f t="shared" si="6"/>
        <v>0</v>
      </c>
      <c r="G87" s="193">
        <f t="shared" si="7"/>
        <v>0</v>
      </c>
      <c r="H87" s="194">
        <f t="shared" si="8"/>
        <v>0</v>
      </c>
      <c r="I87" s="193"/>
      <c r="J87" s="195">
        <f t="shared" si="9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10"/>
        <v>0</v>
      </c>
      <c r="T87" s="200" t="str">
        <f t="shared" si="11"/>
        <v/>
      </c>
      <c r="U87" s="200">
        <f t="shared" si="12"/>
        <v>0</v>
      </c>
      <c r="V87" s="203"/>
      <c r="W87" s="199">
        <f t="shared" ref="W87:X87" si="78">C87/100</f>
        <v>0</v>
      </c>
      <c r="X87" s="199">
        <f t="shared" si="78"/>
        <v>0</v>
      </c>
      <c r="Y87" s="199">
        <f t="shared" si="15"/>
        <v>0</v>
      </c>
      <c r="Z87" s="202">
        <f t="shared" si="16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127.0</v>
      </c>
      <c r="B88" s="193"/>
      <c r="C88" s="193"/>
      <c r="D88" s="193"/>
      <c r="E88" s="193"/>
      <c r="F88" s="193">
        <f t="shared" si="6"/>
        <v>0</v>
      </c>
      <c r="G88" s="193">
        <f t="shared" si="7"/>
        <v>0</v>
      </c>
      <c r="H88" s="194">
        <f t="shared" si="8"/>
        <v>0</v>
      </c>
      <c r="I88" s="193"/>
      <c r="J88" s="195">
        <f t="shared" si="9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10"/>
        <v>0</v>
      </c>
      <c r="T88" s="200" t="str">
        <f t="shared" si="11"/>
        <v/>
      </c>
      <c r="U88" s="200">
        <f t="shared" si="12"/>
        <v>0</v>
      </c>
      <c r="V88" s="203"/>
      <c r="W88" s="199">
        <f t="shared" ref="W88:X88" si="79">C88/100</f>
        <v>0</v>
      </c>
      <c r="X88" s="199">
        <f t="shared" si="79"/>
        <v>0</v>
      </c>
      <c r="Y88" s="199">
        <f t="shared" si="15"/>
        <v>0</v>
      </c>
      <c r="Z88" s="202">
        <f t="shared" si="16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128.0</v>
      </c>
      <c r="B89" s="193"/>
      <c r="C89" s="193"/>
      <c r="D89" s="193"/>
      <c r="E89" s="193"/>
      <c r="F89" s="193">
        <f t="shared" si="6"/>
        <v>0</v>
      </c>
      <c r="G89" s="193">
        <f t="shared" si="7"/>
        <v>0</v>
      </c>
      <c r="H89" s="194">
        <f t="shared" si="8"/>
        <v>0</v>
      </c>
      <c r="I89" s="193"/>
      <c r="J89" s="195">
        <f t="shared" si="9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10"/>
        <v>0</v>
      </c>
      <c r="T89" s="200" t="str">
        <f t="shared" si="11"/>
        <v/>
      </c>
      <c r="U89" s="200">
        <f t="shared" si="12"/>
        <v>0</v>
      </c>
      <c r="V89" s="203"/>
      <c r="W89" s="199">
        <f t="shared" ref="W89:X89" si="80">C89/100</f>
        <v>0</v>
      </c>
      <c r="X89" s="199">
        <f t="shared" si="80"/>
        <v>0</v>
      </c>
      <c r="Y89" s="199">
        <f t="shared" si="15"/>
        <v>0</v>
      </c>
      <c r="Z89" s="202">
        <f t="shared" si="16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129.0</v>
      </c>
      <c r="B90" s="193"/>
      <c r="C90" s="193"/>
      <c r="D90" s="193"/>
      <c r="E90" s="193"/>
      <c r="F90" s="193">
        <f t="shared" si="6"/>
        <v>0</v>
      </c>
      <c r="G90" s="193">
        <f t="shared" si="7"/>
        <v>0</v>
      </c>
      <c r="H90" s="194">
        <f t="shared" si="8"/>
        <v>0</v>
      </c>
      <c r="I90" s="193"/>
      <c r="J90" s="195">
        <f t="shared" si="9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10"/>
        <v>0</v>
      </c>
      <c r="T90" s="200" t="str">
        <f t="shared" si="11"/>
        <v/>
      </c>
      <c r="U90" s="200">
        <f t="shared" si="12"/>
        <v>0</v>
      </c>
      <c r="V90" s="203"/>
      <c r="W90" s="199">
        <f t="shared" ref="W90:X90" si="81">C90/100</f>
        <v>0</v>
      </c>
      <c r="X90" s="199">
        <f t="shared" si="81"/>
        <v>0</v>
      </c>
      <c r="Y90" s="199">
        <f t="shared" si="15"/>
        <v>0</v>
      </c>
      <c r="Z90" s="202">
        <f t="shared" si="16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130.0</v>
      </c>
      <c r="B91" s="193"/>
      <c r="C91" s="193"/>
      <c r="D91" s="193"/>
      <c r="E91" s="193"/>
      <c r="F91" s="193">
        <f t="shared" si="6"/>
        <v>0</v>
      </c>
      <c r="G91" s="193">
        <f t="shared" si="7"/>
        <v>0</v>
      </c>
      <c r="H91" s="194">
        <f t="shared" si="8"/>
        <v>0</v>
      </c>
      <c r="I91" s="193"/>
      <c r="J91" s="195">
        <f t="shared" si="9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10"/>
        <v>0</v>
      </c>
      <c r="T91" s="200" t="str">
        <f t="shared" si="11"/>
        <v/>
      </c>
      <c r="U91" s="200">
        <f t="shared" si="12"/>
        <v>0</v>
      </c>
      <c r="V91" s="203"/>
      <c r="W91" s="199">
        <f t="shared" ref="W91:X91" si="82">C91/100</f>
        <v>0</v>
      </c>
      <c r="X91" s="199">
        <f t="shared" si="82"/>
        <v>0</v>
      </c>
      <c r="Y91" s="199">
        <f t="shared" si="15"/>
        <v>0</v>
      </c>
      <c r="Z91" s="202">
        <f t="shared" si="16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131.0</v>
      </c>
      <c r="B92" s="193"/>
      <c r="C92" s="193"/>
      <c r="D92" s="193"/>
      <c r="E92" s="193"/>
      <c r="F92" s="193">
        <f t="shared" si="6"/>
        <v>0</v>
      </c>
      <c r="G92" s="193">
        <f t="shared" si="7"/>
        <v>0</v>
      </c>
      <c r="H92" s="194">
        <f t="shared" si="8"/>
        <v>0</v>
      </c>
      <c r="I92" s="193"/>
      <c r="J92" s="195">
        <f t="shared" si="9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10"/>
        <v>0</v>
      </c>
      <c r="T92" s="200" t="str">
        <f t="shared" si="11"/>
        <v/>
      </c>
      <c r="U92" s="200">
        <f t="shared" si="12"/>
        <v>0</v>
      </c>
      <c r="V92" s="203"/>
      <c r="W92" s="199">
        <f t="shared" ref="W92:X92" si="83">C92/100</f>
        <v>0</v>
      </c>
      <c r="X92" s="199">
        <f t="shared" si="83"/>
        <v>0</v>
      </c>
      <c r="Y92" s="199">
        <f t="shared" si="15"/>
        <v>0</v>
      </c>
      <c r="Z92" s="202">
        <f t="shared" si="16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132.0</v>
      </c>
      <c r="B93" s="193"/>
      <c r="C93" s="193"/>
      <c r="D93" s="193"/>
      <c r="E93" s="193"/>
      <c r="F93" s="193">
        <f t="shared" si="6"/>
        <v>0</v>
      </c>
      <c r="G93" s="193">
        <f t="shared" si="7"/>
        <v>0</v>
      </c>
      <c r="H93" s="194">
        <f t="shared" si="8"/>
        <v>0</v>
      </c>
      <c r="I93" s="193"/>
      <c r="J93" s="195">
        <f t="shared" si="9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10"/>
        <v>0</v>
      </c>
      <c r="T93" s="200" t="str">
        <f t="shared" si="11"/>
        <v/>
      </c>
      <c r="U93" s="200">
        <f t="shared" si="12"/>
        <v>0</v>
      </c>
      <c r="V93" s="203"/>
      <c r="W93" s="199">
        <f t="shared" ref="W93:X93" si="84">C93/100</f>
        <v>0</v>
      </c>
      <c r="X93" s="199">
        <f t="shared" si="84"/>
        <v>0</v>
      </c>
      <c r="Y93" s="199">
        <f t="shared" si="15"/>
        <v>0</v>
      </c>
      <c r="Z93" s="202">
        <f t="shared" si="16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133.0</v>
      </c>
      <c r="B94" s="193"/>
      <c r="C94" s="193"/>
      <c r="D94" s="193"/>
      <c r="E94" s="193"/>
      <c r="F94" s="193">
        <f t="shared" si="6"/>
        <v>0</v>
      </c>
      <c r="G94" s="193">
        <f t="shared" si="7"/>
        <v>0</v>
      </c>
      <c r="H94" s="194">
        <f t="shared" si="8"/>
        <v>0</v>
      </c>
      <c r="I94" s="193"/>
      <c r="J94" s="195">
        <f t="shared" si="9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10"/>
        <v>0</v>
      </c>
      <c r="T94" s="200" t="str">
        <f t="shared" si="11"/>
        <v/>
      </c>
      <c r="U94" s="200">
        <f t="shared" si="12"/>
        <v>0</v>
      </c>
      <c r="V94" s="203"/>
      <c r="W94" s="199">
        <f t="shared" ref="W94:X94" si="85">C94/100</f>
        <v>0</v>
      </c>
      <c r="X94" s="199">
        <f t="shared" si="85"/>
        <v>0</v>
      </c>
      <c r="Y94" s="199">
        <f t="shared" si="15"/>
        <v>0</v>
      </c>
      <c r="Z94" s="202">
        <f t="shared" si="16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134.0</v>
      </c>
      <c r="B95" s="193"/>
      <c r="C95" s="193"/>
      <c r="D95" s="193"/>
      <c r="E95" s="193"/>
      <c r="F95" s="193">
        <f t="shared" si="6"/>
        <v>0</v>
      </c>
      <c r="G95" s="193">
        <f t="shared" si="7"/>
        <v>0</v>
      </c>
      <c r="H95" s="194">
        <f t="shared" si="8"/>
        <v>0</v>
      </c>
      <c r="I95" s="193"/>
      <c r="J95" s="195">
        <f t="shared" si="9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10"/>
        <v>0</v>
      </c>
      <c r="T95" s="200" t="str">
        <f t="shared" si="11"/>
        <v/>
      </c>
      <c r="U95" s="200">
        <f t="shared" si="12"/>
        <v>0</v>
      </c>
      <c r="V95" s="203"/>
      <c r="W95" s="199">
        <f t="shared" ref="W95:X95" si="86">C95/100</f>
        <v>0</v>
      </c>
      <c r="X95" s="199">
        <f t="shared" si="86"/>
        <v>0</v>
      </c>
      <c r="Y95" s="199">
        <f t="shared" si="15"/>
        <v>0</v>
      </c>
      <c r="Z95" s="202">
        <f t="shared" si="16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135.0</v>
      </c>
      <c r="B96" s="193"/>
      <c r="C96" s="193"/>
      <c r="D96" s="193"/>
      <c r="E96" s="193"/>
      <c r="F96" s="193">
        <f t="shared" si="6"/>
        <v>0</v>
      </c>
      <c r="G96" s="193">
        <f t="shared" si="7"/>
        <v>0</v>
      </c>
      <c r="H96" s="194">
        <f t="shared" si="8"/>
        <v>0</v>
      </c>
      <c r="I96" s="193"/>
      <c r="J96" s="195">
        <f t="shared" si="9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10"/>
        <v>0</v>
      </c>
      <c r="T96" s="200" t="str">
        <f t="shared" si="11"/>
        <v/>
      </c>
      <c r="U96" s="200">
        <f t="shared" si="12"/>
        <v>0</v>
      </c>
      <c r="V96" s="203"/>
      <c r="W96" s="199">
        <f t="shared" ref="W96:X96" si="87">C96/100</f>
        <v>0</v>
      </c>
      <c r="X96" s="199">
        <f t="shared" si="87"/>
        <v>0</v>
      </c>
      <c r="Y96" s="199">
        <f t="shared" si="15"/>
        <v>0</v>
      </c>
      <c r="Z96" s="202">
        <f t="shared" si="16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136.0</v>
      </c>
      <c r="B97" s="193"/>
      <c r="C97" s="193"/>
      <c r="D97" s="193"/>
      <c r="E97" s="193"/>
      <c r="F97" s="193">
        <f t="shared" si="6"/>
        <v>0</v>
      </c>
      <c r="G97" s="193">
        <f t="shared" si="7"/>
        <v>0</v>
      </c>
      <c r="H97" s="194">
        <f t="shared" si="8"/>
        <v>0</v>
      </c>
      <c r="I97" s="193"/>
      <c r="J97" s="195">
        <f t="shared" si="9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10"/>
        <v>0</v>
      </c>
      <c r="T97" s="200" t="str">
        <f t="shared" si="11"/>
        <v/>
      </c>
      <c r="U97" s="200">
        <f t="shared" si="12"/>
        <v>0</v>
      </c>
      <c r="V97" s="203"/>
      <c r="W97" s="199">
        <f t="shared" ref="W97:X97" si="88">C97/100</f>
        <v>0</v>
      </c>
      <c r="X97" s="199">
        <f t="shared" si="88"/>
        <v>0</v>
      </c>
      <c r="Y97" s="199">
        <f t="shared" si="15"/>
        <v>0</v>
      </c>
      <c r="Z97" s="202">
        <f t="shared" si="16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137.0</v>
      </c>
      <c r="B98" s="193"/>
      <c r="C98" s="193"/>
      <c r="D98" s="193"/>
      <c r="E98" s="193"/>
      <c r="F98" s="193">
        <f t="shared" si="6"/>
        <v>0</v>
      </c>
      <c r="G98" s="193">
        <f t="shared" si="7"/>
        <v>0</v>
      </c>
      <c r="H98" s="194">
        <f t="shared" si="8"/>
        <v>0</v>
      </c>
      <c r="I98" s="193"/>
      <c r="J98" s="195">
        <f t="shared" si="9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10"/>
        <v>0</v>
      </c>
      <c r="T98" s="200" t="str">
        <f t="shared" si="11"/>
        <v/>
      </c>
      <c r="U98" s="200">
        <f t="shared" si="12"/>
        <v>0</v>
      </c>
      <c r="V98" s="203"/>
      <c r="W98" s="199">
        <f t="shared" ref="W98:X98" si="89">C98/100</f>
        <v>0</v>
      </c>
      <c r="X98" s="199">
        <f t="shared" si="89"/>
        <v>0</v>
      </c>
      <c r="Y98" s="199">
        <f t="shared" si="15"/>
        <v>0</v>
      </c>
      <c r="Z98" s="202">
        <f t="shared" si="16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138.0</v>
      </c>
      <c r="B99" s="193"/>
      <c r="C99" s="193"/>
      <c r="D99" s="193"/>
      <c r="E99" s="193"/>
      <c r="F99" s="193">
        <f t="shared" si="6"/>
        <v>0</v>
      </c>
      <c r="G99" s="193">
        <f t="shared" si="7"/>
        <v>0</v>
      </c>
      <c r="H99" s="194">
        <f t="shared" si="8"/>
        <v>0</v>
      </c>
      <c r="I99" s="193"/>
      <c r="J99" s="195">
        <f t="shared" si="9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10"/>
        <v>0</v>
      </c>
      <c r="T99" s="200" t="str">
        <f t="shared" si="11"/>
        <v/>
      </c>
      <c r="U99" s="200">
        <f t="shared" si="12"/>
        <v>0</v>
      </c>
      <c r="V99" s="203"/>
      <c r="W99" s="199">
        <f t="shared" ref="W99:X99" si="90">C99/100</f>
        <v>0</v>
      </c>
      <c r="X99" s="199">
        <f t="shared" si="90"/>
        <v>0</v>
      </c>
      <c r="Y99" s="199">
        <f t="shared" si="15"/>
        <v>0</v>
      </c>
      <c r="Z99" s="202">
        <f t="shared" si="16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139.0</v>
      </c>
      <c r="B100" s="193"/>
      <c r="C100" s="193"/>
      <c r="D100" s="193"/>
      <c r="E100" s="193"/>
      <c r="F100" s="193">
        <f t="shared" si="6"/>
        <v>0</v>
      </c>
      <c r="G100" s="193">
        <f t="shared" si="7"/>
        <v>0</v>
      </c>
      <c r="H100" s="194">
        <f t="shared" si="8"/>
        <v>0</v>
      </c>
      <c r="I100" s="193"/>
      <c r="J100" s="195">
        <f t="shared" si="9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10"/>
        <v>0</v>
      </c>
      <c r="T100" s="200" t="str">
        <f t="shared" si="11"/>
        <v/>
      </c>
      <c r="U100" s="200">
        <f t="shared" si="12"/>
        <v>0</v>
      </c>
      <c r="V100" s="203"/>
      <c r="W100" s="199">
        <f t="shared" ref="W100:X100" si="91">C100/100</f>
        <v>0</v>
      </c>
      <c r="X100" s="199">
        <f t="shared" si="91"/>
        <v>0</v>
      </c>
      <c r="Y100" s="199">
        <f t="shared" si="15"/>
        <v>0</v>
      </c>
      <c r="Z100" s="202">
        <f t="shared" si="16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140.0</v>
      </c>
      <c r="B101" s="193"/>
      <c r="C101" s="193"/>
      <c r="D101" s="193"/>
      <c r="E101" s="193"/>
      <c r="F101" s="193">
        <f t="shared" si="6"/>
        <v>0</v>
      </c>
      <c r="G101" s="193">
        <f t="shared" si="7"/>
        <v>0</v>
      </c>
      <c r="H101" s="194">
        <f t="shared" si="8"/>
        <v>0</v>
      </c>
      <c r="I101" s="193"/>
      <c r="J101" s="195">
        <f t="shared" si="9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10"/>
        <v>0</v>
      </c>
      <c r="T101" s="200" t="str">
        <f t="shared" si="11"/>
        <v/>
      </c>
      <c r="U101" s="200">
        <f t="shared" si="12"/>
        <v>0</v>
      </c>
      <c r="V101" s="203"/>
      <c r="W101" s="199">
        <f t="shared" ref="W101:X101" si="92">C101/100</f>
        <v>0</v>
      </c>
      <c r="X101" s="199">
        <f t="shared" si="92"/>
        <v>0</v>
      </c>
      <c r="Y101" s="199">
        <f t="shared" si="15"/>
        <v>0</v>
      </c>
      <c r="Z101" s="202">
        <f t="shared" si="16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141.0</v>
      </c>
      <c r="B102" s="193"/>
      <c r="C102" s="193"/>
      <c r="D102" s="193"/>
      <c r="E102" s="193"/>
      <c r="F102" s="193">
        <f t="shared" si="6"/>
        <v>0</v>
      </c>
      <c r="G102" s="193">
        <f t="shared" si="7"/>
        <v>0</v>
      </c>
      <c r="H102" s="194">
        <f t="shared" si="8"/>
        <v>0</v>
      </c>
      <c r="I102" s="193"/>
      <c r="J102" s="195">
        <f t="shared" si="9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10"/>
        <v>0</v>
      </c>
      <c r="T102" s="200" t="str">
        <f t="shared" si="11"/>
        <v/>
      </c>
      <c r="U102" s="200">
        <f t="shared" si="12"/>
        <v>0</v>
      </c>
      <c r="V102" s="203"/>
      <c r="W102" s="199">
        <f t="shared" ref="W102:X102" si="93">C102/100</f>
        <v>0</v>
      </c>
      <c r="X102" s="199">
        <f t="shared" si="93"/>
        <v>0</v>
      </c>
      <c r="Y102" s="199">
        <f t="shared" si="15"/>
        <v>0</v>
      </c>
      <c r="Z102" s="202">
        <f t="shared" si="16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142.0</v>
      </c>
      <c r="B103" s="193"/>
      <c r="C103" s="193"/>
      <c r="D103" s="193"/>
      <c r="E103" s="193"/>
      <c r="F103" s="193">
        <f t="shared" si="6"/>
        <v>0</v>
      </c>
      <c r="G103" s="193">
        <f t="shared" si="7"/>
        <v>0</v>
      </c>
      <c r="H103" s="194">
        <f t="shared" si="8"/>
        <v>0</v>
      </c>
      <c r="I103" s="193"/>
      <c r="J103" s="195">
        <f t="shared" si="9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10"/>
        <v>0</v>
      </c>
      <c r="T103" s="200" t="str">
        <f t="shared" si="11"/>
        <v/>
      </c>
      <c r="U103" s="200">
        <f t="shared" si="12"/>
        <v>0</v>
      </c>
      <c r="V103" s="203"/>
      <c r="W103" s="199">
        <f t="shared" ref="W103:X103" si="94">C103/100</f>
        <v>0</v>
      </c>
      <c r="X103" s="199">
        <f t="shared" si="94"/>
        <v>0</v>
      </c>
      <c r="Y103" s="199">
        <f t="shared" si="15"/>
        <v>0</v>
      </c>
      <c r="Z103" s="202">
        <f t="shared" si="16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143.0</v>
      </c>
      <c r="B104" s="193"/>
      <c r="C104" s="193"/>
      <c r="D104" s="193"/>
      <c r="E104" s="193"/>
      <c r="F104" s="193">
        <f t="shared" si="6"/>
        <v>0</v>
      </c>
      <c r="G104" s="193">
        <f t="shared" si="7"/>
        <v>0</v>
      </c>
      <c r="H104" s="194">
        <f t="shared" si="8"/>
        <v>0</v>
      </c>
      <c r="I104" s="193"/>
      <c r="J104" s="195">
        <f t="shared" si="9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10"/>
        <v>0</v>
      </c>
      <c r="T104" s="200" t="str">
        <f t="shared" si="11"/>
        <v/>
      </c>
      <c r="U104" s="200">
        <f t="shared" si="12"/>
        <v>0</v>
      </c>
      <c r="V104" s="203"/>
      <c r="W104" s="199">
        <f t="shared" ref="W104:X104" si="95">C104/100</f>
        <v>0</v>
      </c>
      <c r="X104" s="199">
        <f t="shared" si="95"/>
        <v>0</v>
      </c>
      <c r="Y104" s="199">
        <f t="shared" si="15"/>
        <v>0</v>
      </c>
      <c r="Z104" s="202">
        <f t="shared" si="16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144.0</v>
      </c>
      <c r="B105" s="193"/>
      <c r="C105" s="193"/>
      <c r="D105" s="193"/>
      <c r="E105" s="193"/>
      <c r="F105" s="193">
        <f t="shared" si="6"/>
        <v>0</v>
      </c>
      <c r="G105" s="193">
        <f t="shared" si="7"/>
        <v>0</v>
      </c>
      <c r="H105" s="194">
        <f t="shared" si="8"/>
        <v>0</v>
      </c>
      <c r="I105" s="193"/>
      <c r="J105" s="195">
        <f t="shared" si="9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10"/>
        <v>0</v>
      </c>
      <c r="T105" s="200" t="str">
        <f t="shared" si="11"/>
        <v/>
      </c>
      <c r="U105" s="200">
        <f t="shared" si="12"/>
        <v>0</v>
      </c>
      <c r="V105" s="203"/>
      <c r="W105" s="199">
        <f t="shared" ref="W105:X105" si="96">C105/100</f>
        <v>0</v>
      </c>
      <c r="X105" s="199">
        <f t="shared" si="96"/>
        <v>0</v>
      </c>
      <c r="Y105" s="199">
        <f t="shared" si="15"/>
        <v>0</v>
      </c>
      <c r="Z105" s="202">
        <f t="shared" si="16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145.0</v>
      </c>
      <c r="B106" s="193"/>
      <c r="C106" s="193"/>
      <c r="D106" s="193"/>
      <c r="E106" s="193"/>
      <c r="F106" s="193">
        <f t="shared" si="6"/>
        <v>0</v>
      </c>
      <c r="G106" s="193">
        <f t="shared" si="7"/>
        <v>0</v>
      </c>
      <c r="H106" s="194">
        <f t="shared" si="8"/>
        <v>0</v>
      </c>
      <c r="I106" s="193"/>
      <c r="J106" s="195">
        <f t="shared" si="9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10"/>
        <v>0</v>
      </c>
      <c r="T106" s="200" t="str">
        <f t="shared" si="11"/>
        <v/>
      </c>
      <c r="U106" s="200">
        <f t="shared" si="12"/>
        <v>0</v>
      </c>
      <c r="V106" s="203"/>
      <c r="W106" s="199">
        <f t="shared" ref="W106:X106" si="97">C106/100</f>
        <v>0</v>
      </c>
      <c r="X106" s="199">
        <f t="shared" si="97"/>
        <v>0</v>
      </c>
      <c r="Y106" s="199">
        <f t="shared" si="15"/>
        <v>0</v>
      </c>
      <c r="Z106" s="202">
        <f t="shared" si="16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146.0</v>
      </c>
      <c r="B107" s="193"/>
      <c r="C107" s="193"/>
      <c r="D107" s="193"/>
      <c r="E107" s="193"/>
      <c r="F107" s="193">
        <f t="shared" si="6"/>
        <v>0</v>
      </c>
      <c r="G107" s="193">
        <f t="shared" si="7"/>
        <v>0</v>
      </c>
      <c r="H107" s="194">
        <f t="shared" si="8"/>
        <v>0</v>
      </c>
      <c r="I107" s="193"/>
      <c r="J107" s="195">
        <f t="shared" si="9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10"/>
        <v>0</v>
      </c>
      <c r="T107" s="200" t="str">
        <f t="shared" si="11"/>
        <v/>
      </c>
      <c r="U107" s="200">
        <f t="shared" si="12"/>
        <v>0</v>
      </c>
      <c r="V107" s="203"/>
      <c r="W107" s="199">
        <f t="shared" ref="W107:X107" si="98">C107/100</f>
        <v>0</v>
      </c>
      <c r="X107" s="199">
        <f t="shared" si="98"/>
        <v>0</v>
      </c>
      <c r="Y107" s="199">
        <f t="shared" si="15"/>
        <v>0</v>
      </c>
      <c r="Z107" s="202">
        <f t="shared" si="16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147.0</v>
      </c>
      <c r="B108" s="193"/>
      <c r="C108" s="193"/>
      <c r="D108" s="193"/>
      <c r="E108" s="193"/>
      <c r="F108" s="193">
        <f t="shared" si="6"/>
        <v>0</v>
      </c>
      <c r="G108" s="193">
        <f t="shared" si="7"/>
        <v>0</v>
      </c>
      <c r="H108" s="194">
        <f t="shared" si="8"/>
        <v>0</v>
      </c>
      <c r="I108" s="193"/>
      <c r="J108" s="195">
        <f t="shared" si="9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10"/>
        <v>0</v>
      </c>
      <c r="T108" s="200" t="str">
        <f t="shared" si="11"/>
        <v/>
      </c>
      <c r="U108" s="200">
        <f t="shared" si="12"/>
        <v>0</v>
      </c>
      <c r="V108" s="203"/>
      <c r="W108" s="199">
        <f t="shared" ref="W108:X108" si="99">C108/100</f>
        <v>0</v>
      </c>
      <c r="X108" s="199">
        <f t="shared" si="99"/>
        <v>0</v>
      </c>
      <c r="Y108" s="199">
        <f t="shared" si="15"/>
        <v>0</v>
      </c>
      <c r="Z108" s="202">
        <f t="shared" si="16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148.0</v>
      </c>
      <c r="B109" s="193"/>
      <c r="C109" s="193"/>
      <c r="D109" s="193"/>
      <c r="E109" s="193"/>
      <c r="F109" s="193">
        <f t="shared" si="6"/>
        <v>0</v>
      </c>
      <c r="G109" s="193">
        <f t="shared" si="7"/>
        <v>0</v>
      </c>
      <c r="H109" s="194">
        <f t="shared" si="8"/>
        <v>0</v>
      </c>
      <c r="I109" s="193"/>
      <c r="J109" s="195">
        <f t="shared" si="9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10"/>
        <v>0</v>
      </c>
      <c r="T109" s="200" t="str">
        <f t="shared" si="11"/>
        <v/>
      </c>
      <c r="U109" s="200">
        <f t="shared" si="12"/>
        <v>0</v>
      </c>
      <c r="V109" s="203"/>
      <c r="W109" s="199">
        <f t="shared" ref="W109:X109" si="100">C109/100</f>
        <v>0</v>
      </c>
      <c r="X109" s="199">
        <f t="shared" si="100"/>
        <v>0</v>
      </c>
      <c r="Y109" s="199">
        <f t="shared" si="15"/>
        <v>0</v>
      </c>
      <c r="Z109" s="202">
        <f t="shared" si="16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149.0</v>
      </c>
      <c r="B110" s="193"/>
      <c r="C110" s="193"/>
      <c r="D110" s="193"/>
      <c r="E110" s="193"/>
      <c r="F110" s="193">
        <f t="shared" si="6"/>
        <v>0</v>
      </c>
      <c r="G110" s="193">
        <f t="shared" si="7"/>
        <v>0</v>
      </c>
      <c r="H110" s="194">
        <f t="shared" si="8"/>
        <v>0</v>
      </c>
      <c r="I110" s="193"/>
      <c r="J110" s="195">
        <f t="shared" si="9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10"/>
        <v>0</v>
      </c>
      <c r="T110" s="200" t="str">
        <f t="shared" si="11"/>
        <v/>
      </c>
      <c r="U110" s="200">
        <f t="shared" si="12"/>
        <v>0</v>
      </c>
      <c r="V110" s="203"/>
      <c r="W110" s="199">
        <f t="shared" ref="W110:X110" si="101">C110/100</f>
        <v>0</v>
      </c>
      <c r="X110" s="199">
        <f t="shared" si="101"/>
        <v>0</v>
      </c>
      <c r="Y110" s="199">
        <f t="shared" si="15"/>
        <v>0</v>
      </c>
      <c r="Z110" s="202">
        <f t="shared" si="16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150.0</v>
      </c>
      <c r="B111" s="193"/>
      <c r="C111" s="193"/>
      <c r="D111" s="193"/>
      <c r="E111" s="193"/>
      <c r="F111" s="193">
        <f t="shared" si="6"/>
        <v>0</v>
      </c>
      <c r="G111" s="193">
        <f t="shared" si="7"/>
        <v>0</v>
      </c>
      <c r="H111" s="194">
        <f t="shared" si="8"/>
        <v>0</v>
      </c>
      <c r="I111" s="193"/>
      <c r="J111" s="195">
        <f t="shared" si="9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10"/>
        <v>0</v>
      </c>
      <c r="T111" s="200" t="str">
        <f t="shared" si="11"/>
        <v/>
      </c>
      <c r="U111" s="200">
        <f t="shared" si="12"/>
        <v>0</v>
      </c>
      <c r="V111" s="203"/>
      <c r="W111" s="199">
        <f t="shared" ref="W111:X111" si="102">C111/100</f>
        <v>0</v>
      </c>
      <c r="X111" s="199">
        <f t="shared" si="102"/>
        <v>0</v>
      </c>
      <c r="Y111" s="199">
        <f t="shared" si="15"/>
        <v>0</v>
      </c>
      <c r="Z111" s="202">
        <f t="shared" si="16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151.0</v>
      </c>
      <c r="B112" s="193"/>
      <c r="C112" s="193"/>
      <c r="D112" s="193"/>
      <c r="E112" s="193"/>
      <c r="F112" s="193">
        <f t="shared" si="6"/>
        <v>0</v>
      </c>
      <c r="G112" s="193">
        <f t="shared" si="7"/>
        <v>0</v>
      </c>
      <c r="H112" s="194">
        <f t="shared" si="8"/>
        <v>0</v>
      </c>
      <c r="I112" s="193"/>
      <c r="J112" s="195">
        <f t="shared" si="9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10"/>
        <v>0</v>
      </c>
      <c r="T112" s="200" t="str">
        <f t="shared" si="11"/>
        <v/>
      </c>
      <c r="U112" s="200">
        <f t="shared" si="12"/>
        <v>0</v>
      </c>
      <c r="V112" s="203"/>
      <c r="W112" s="199">
        <f t="shared" ref="W112:X112" si="103">C112/100</f>
        <v>0</v>
      </c>
      <c r="X112" s="199">
        <f t="shared" si="103"/>
        <v>0</v>
      </c>
      <c r="Y112" s="199">
        <f t="shared" si="15"/>
        <v>0</v>
      </c>
      <c r="Z112" s="202">
        <f t="shared" si="16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152.0</v>
      </c>
      <c r="B113" s="193"/>
      <c r="C113" s="193"/>
      <c r="D113" s="193"/>
      <c r="E113" s="193"/>
      <c r="F113" s="193">
        <f t="shared" si="6"/>
        <v>0</v>
      </c>
      <c r="G113" s="193">
        <f t="shared" si="7"/>
        <v>0</v>
      </c>
      <c r="H113" s="194">
        <f t="shared" si="8"/>
        <v>0</v>
      </c>
      <c r="I113" s="193"/>
      <c r="J113" s="195">
        <f t="shared" si="9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10"/>
        <v>0</v>
      </c>
      <c r="T113" s="200" t="str">
        <f t="shared" si="11"/>
        <v/>
      </c>
      <c r="U113" s="200">
        <f t="shared" si="12"/>
        <v>0</v>
      </c>
      <c r="V113" s="203"/>
      <c r="W113" s="199">
        <f t="shared" ref="W113:X113" si="104">C113/100</f>
        <v>0</v>
      </c>
      <c r="X113" s="199">
        <f t="shared" si="104"/>
        <v>0</v>
      </c>
      <c r="Y113" s="199">
        <f t="shared" si="15"/>
        <v>0</v>
      </c>
      <c r="Z113" s="202">
        <f t="shared" si="16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153.0</v>
      </c>
      <c r="B114" s="193"/>
      <c r="C114" s="193"/>
      <c r="D114" s="193"/>
      <c r="E114" s="193"/>
      <c r="F114" s="193">
        <f t="shared" si="6"/>
        <v>0</v>
      </c>
      <c r="G114" s="193">
        <f t="shared" si="7"/>
        <v>0</v>
      </c>
      <c r="H114" s="194">
        <f t="shared" si="8"/>
        <v>0</v>
      </c>
      <c r="I114" s="193"/>
      <c r="J114" s="195">
        <f t="shared" si="9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10"/>
        <v>0</v>
      </c>
      <c r="T114" s="200" t="str">
        <f t="shared" si="11"/>
        <v/>
      </c>
      <c r="U114" s="200">
        <f t="shared" si="12"/>
        <v>0</v>
      </c>
      <c r="V114" s="203"/>
      <c r="W114" s="199">
        <f t="shared" ref="W114:X114" si="105">C114/100</f>
        <v>0</v>
      </c>
      <c r="X114" s="199">
        <f t="shared" si="105"/>
        <v>0</v>
      </c>
      <c r="Y114" s="199">
        <f t="shared" si="15"/>
        <v>0</v>
      </c>
      <c r="Z114" s="202">
        <f t="shared" si="16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154.0</v>
      </c>
      <c r="B115" s="193"/>
      <c r="C115" s="193"/>
      <c r="D115" s="193"/>
      <c r="E115" s="193"/>
      <c r="F115" s="193">
        <f t="shared" si="6"/>
        <v>0</v>
      </c>
      <c r="G115" s="193">
        <f t="shared" si="7"/>
        <v>0</v>
      </c>
      <c r="H115" s="194">
        <f t="shared" si="8"/>
        <v>0</v>
      </c>
      <c r="I115" s="193"/>
      <c r="J115" s="195">
        <f t="shared" si="9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10"/>
        <v>0</v>
      </c>
      <c r="T115" s="200" t="str">
        <f t="shared" si="11"/>
        <v/>
      </c>
      <c r="U115" s="200">
        <f t="shared" si="12"/>
        <v>0</v>
      </c>
      <c r="V115" s="203"/>
      <c r="W115" s="199">
        <f t="shared" ref="W115:X115" si="106">C115/100</f>
        <v>0</v>
      </c>
      <c r="X115" s="199">
        <f t="shared" si="106"/>
        <v>0</v>
      </c>
      <c r="Y115" s="199">
        <f t="shared" si="15"/>
        <v>0</v>
      </c>
      <c r="Z115" s="202">
        <f t="shared" si="16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155.0</v>
      </c>
      <c r="B116" s="193"/>
      <c r="C116" s="193"/>
      <c r="D116" s="193"/>
      <c r="E116" s="193"/>
      <c r="F116" s="193">
        <f t="shared" si="6"/>
        <v>0</v>
      </c>
      <c r="G116" s="193">
        <f t="shared" si="7"/>
        <v>0</v>
      </c>
      <c r="H116" s="194">
        <f t="shared" si="8"/>
        <v>0</v>
      </c>
      <c r="I116" s="193"/>
      <c r="J116" s="195">
        <f t="shared" si="9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10"/>
        <v>0</v>
      </c>
      <c r="T116" s="200" t="str">
        <f t="shared" si="11"/>
        <v/>
      </c>
      <c r="U116" s="200">
        <f t="shared" si="12"/>
        <v>0</v>
      </c>
      <c r="V116" s="203"/>
      <c r="W116" s="199">
        <f t="shared" ref="W116:X116" si="107">C116/100</f>
        <v>0</v>
      </c>
      <c r="X116" s="199">
        <f t="shared" si="107"/>
        <v>0</v>
      </c>
      <c r="Y116" s="199">
        <f t="shared" si="15"/>
        <v>0</v>
      </c>
      <c r="Z116" s="202">
        <f t="shared" si="16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156.0</v>
      </c>
      <c r="B117" s="193"/>
      <c r="C117" s="193"/>
      <c r="D117" s="193"/>
      <c r="E117" s="193"/>
      <c r="F117" s="193">
        <f t="shared" si="6"/>
        <v>0</v>
      </c>
      <c r="G117" s="193">
        <f t="shared" si="7"/>
        <v>0</v>
      </c>
      <c r="H117" s="194">
        <f t="shared" si="8"/>
        <v>0</v>
      </c>
      <c r="I117" s="193"/>
      <c r="J117" s="195">
        <f t="shared" si="9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10"/>
        <v>0</v>
      </c>
      <c r="T117" s="200" t="str">
        <f t="shared" si="11"/>
        <v/>
      </c>
      <c r="U117" s="200">
        <f t="shared" si="12"/>
        <v>0</v>
      </c>
      <c r="V117" s="203"/>
      <c r="W117" s="199">
        <f t="shared" ref="W117:X117" si="108">C117/100</f>
        <v>0</v>
      </c>
      <c r="X117" s="199">
        <f t="shared" si="108"/>
        <v>0</v>
      </c>
      <c r="Y117" s="199">
        <f t="shared" si="15"/>
        <v>0</v>
      </c>
      <c r="Z117" s="202">
        <f t="shared" si="16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157.0</v>
      </c>
      <c r="B118" s="193"/>
      <c r="C118" s="193"/>
      <c r="D118" s="193"/>
      <c r="E118" s="193"/>
      <c r="F118" s="193">
        <f t="shared" si="6"/>
        <v>0</v>
      </c>
      <c r="G118" s="193">
        <f t="shared" si="7"/>
        <v>0</v>
      </c>
      <c r="H118" s="194">
        <f t="shared" si="8"/>
        <v>0</v>
      </c>
      <c r="I118" s="193"/>
      <c r="J118" s="195">
        <f t="shared" si="9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10"/>
        <v>0</v>
      </c>
      <c r="T118" s="200" t="str">
        <f t="shared" si="11"/>
        <v/>
      </c>
      <c r="U118" s="200">
        <f t="shared" si="12"/>
        <v>0</v>
      </c>
      <c r="V118" s="203"/>
      <c r="W118" s="199">
        <f t="shared" ref="W118:X118" si="109">C118/100</f>
        <v>0</v>
      </c>
      <c r="X118" s="199">
        <f t="shared" si="109"/>
        <v>0</v>
      </c>
      <c r="Y118" s="199">
        <f t="shared" si="15"/>
        <v>0</v>
      </c>
      <c r="Z118" s="202">
        <f t="shared" si="16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158.0</v>
      </c>
      <c r="B119" s="193"/>
      <c r="C119" s="193"/>
      <c r="D119" s="193"/>
      <c r="E119" s="193"/>
      <c r="F119" s="193">
        <f t="shared" si="6"/>
        <v>0</v>
      </c>
      <c r="G119" s="193">
        <f t="shared" si="7"/>
        <v>0</v>
      </c>
      <c r="H119" s="194">
        <f t="shared" si="8"/>
        <v>0</v>
      </c>
      <c r="I119" s="193"/>
      <c r="J119" s="195">
        <f t="shared" si="9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10"/>
        <v>0</v>
      </c>
      <c r="T119" s="200" t="str">
        <f t="shared" si="11"/>
        <v/>
      </c>
      <c r="U119" s="200">
        <f t="shared" si="12"/>
        <v>0</v>
      </c>
      <c r="V119" s="203"/>
      <c r="W119" s="199">
        <f t="shared" ref="W119:X119" si="110">C119/100</f>
        <v>0</v>
      </c>
      <c r="X119" s="199">
        <f t="shared" si="110"/>
        <v>0</v>
      </c>
      <c r="Y119" s="199">
        <f t="shared" si="15"/>
        <v>0</v>
      </c>
      <c r="Z119" s="202">
        <f t="shared" si="16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159.0</v>
      </c>
      <c r="B120" s="193"/>
      <c r="C120" s="193"/>
      <c r="D120" s="193"/>
      <c r="E120" s="193"/>
      <c r="F120" s="193">
        <f t="shared" si="6"/>
        <v>0</v>
      </c>
      <c r="G120" s="193">
        <f t="shared" si="7"/>
        <v>0</v>
      </c>
      <c r="H120" s="194">
        <f t="shared" si="8"/>
        <v>0</v>
      </c>
      <c r="I120" s="193"/>
      <c r="J120" s="195">
        <f t="shared" si="9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10"/>
        <v>0</v>
      </c>
      <c r="T120" s="200" t="str">
        <f t="shared" si="11"/>
        <v/>
      </c>
      <c r="U120" s="200">
        <f t="shared" si="12"/>
        <v>0</v>
      </c>
      <c r="V120" s="203"/>
      <c r="W120" s="199">
        <f t="shared" ref="W120:X120" si="111">C120/100</f>
        <v>0</v>
      </c>
      <c r="X120" s="199">
        <f t="shared" si="111"/>
        <v>0</v>
      </c>
      <c r="Y120" s="199">
        <f t="shared" si="15"/>
        <v>0</v>
      </c>
      <c r="Z120" s="202">
        <f t="shared" si="16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160.0</v>
      </c>
      <c r="B121" s="193"/>
      <c r="C121" s="193"/>
      <c r="D121" s="193"/>
      <c r="E121" s="193"/>
      <c r="F121" s="193">
        <f t="shared" si="6"/>
        <v>0</v>
      </c>
      <c r="G121" s="193">
        <f t="shared" si="7"/>
        <v>0</v>
      </c>
      <c r="H121" s="194">
        <f t="shared" si="8"/>
        <v>0</v>
      </c>
      <c r="I121" s="193"/>
      <c r="J121" s="195">
        <f t="shared" si="9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10"/>
        <v>0</v>
      </c>
      <c r="T121" s="200" t="str">
        <f t="shared" si="11"/>
        <v/>
      </c>
      <c r="U121" s="200">
        <f t="shared" si="12"/>
        <v>0</v>
      </c>
      <c r="V121" s="203"/>
      <c r="W121" s="199">
        <f t="shared" ref="W121:X121" si="112">C121/100</f>
        <v>0</v>
      </c>
      <c r="X121" s="199">
        <f t="shared" si="112"/>
        <v>0</v>
      </c>
      <c r="Y121" s="199">
        <f t="shared" si="15"/>
        <v>0</v>
      </c>
      <c r="Z121" s="202">
        <f t="shared" si="16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161.0</v>
      </c>
      <c r="B122" s="193"/>
      <c r="C122" s="193"/>
      <c r="D122" s="193"/>
      <c r="E122" s="193"/>
      <c r="F122" s="193">
        <f t="shared" si="6"/>
        <v>0</v>
      </c>
      <c r="G122" s="193">
        <f t="shared" si="7"/>
        <v>0</v>
      </c>
      <c r="H122" s="194">
        <f t="shared" si="8"/>
        <v>0</v>
      </c>
      <c r="I122" s="193"/>
      <c r="J122" s="195">
        <f t="shared" si="9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10"/>
        <v>0</v>
      </c>
      <c r="T122" s="200" t="str">
        <f t="shared" si="11"/>
        <v/>
      </c>
      <c r="U122" s="200">
        <f t="shared" si="12"/>
        <v>0</v>
      </c>
      <c r="V122" s="203"/>
      <c r="W122" s="199">
        <f t="shared" ref="W122:X122" si="113">C122/100</f>
        <v>0</v>
      </c>
      <c r="X122" s="199">
        <f t="shared" si="113"/>
        <v>0</v>
      </c>
      <c r="Y122" s="199">
        <f t="shared" si="15"/>
        <v>0</v>
      </c>
      <c r="Z122" s="202">
        <f t="shared" si="16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162.0</v>
      </c>
      <c r="B123" s="193"/>
      <c r="C123" s="193"/>
      <c r="D123" s="193"/>
      <c r="E123" s="193"/>
      <c r="F123" s="193">
        <f t="shared" si="6"/>
        <v>0</v>
      </c>
      <c r="G123" s="193">
        <f t="shared" si="7"/>
        <v>0</v>
      </c>
      <c r="H123" s="194">
        <f t="shared" si="8"/>
        <v>0</v>
      </c>
      <c r="I123" s="193"/>
      <c r="J123" s="195">
        <f t="shared" si="9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10"/>
        <v>0</v>
      </c>
      <c r="T123" s="200" t="str">
        <f t="shared" si="11"/>
        <v/>
      </c>
      <c r="U123" s="200">
        <f t="shared" si="12"/>
        <v>0</v>
      </c>
      <c r="V123" s="203"/>
      <c r="W123" s="199">
        <f t="shared" ref="W123:X123" si="114">C123/100</f>
        <v>0</v>
      </c>
      <c r="X123" s="199">
        <f t="shared" si="114"/>
        <v>0</v>
      </c>
      <c r="Y123" s="199">
        <f t="shared" si="15"/>
        <v>0</v>
      </c>
      <c r="Z123" s="202">
        <f t="shared" si="16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163.0</v>
      </c>
      <c r="B124" s="193"/>
      <c r="C124" s="193"/>
      <c r="D124" s="193"/>
      <c r="E124" s="193"/>
      <c r="F124" s="193">
        <f t="shared" si="6"/>
        <v>0</v>
      </c>
      <c r="G124" s="193">
        <f t="shared" si="7"/>
        <v>0</v>
      </c>
      <c r="H124" s="194">
        <f t="shared" si="8"/>
        <v>0</v>
      </c>
      <c r="I124" s="193"/>
      <c r="J124" s="195">
        <f t="shared" si="9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10"/>
        <v>0</v>
      </c>
      <c r="T124" s="200" t="str">
        <f t="shared" si="11"/>
        <v/>
      </c>
      <c r="U124" s="200">
        <f t="shared" si="12"/>
        <v>0</v>
      </c>
      <c r="V124" s="203"/>
      <c r="W124" s="199">
        <f t="shared" ref="W124:X124" si="115">C124/100</f>
        <v>0</v>
      </c>
      <c r="X124" s="199">
        <f t="shared" si="115"/>
        <v>0</v>
      </c>
      <c r="Y124" s="199">
        <f t="shared" si="15"/>
        <v>0</v>
      </c>
      <c r="Z124" s="202">
        <f t="shared" si="16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164.0</v>
      </c>
      <c r="B125" s="193"/>
      <c r="C125" s="193"/>
      <c r="D125" s="193"/>
      <c r="E125" s="193"/>
      <c r="F125" s="193">
        <f t="shared" si="6"/>
        <v>0</v>
      </c>
      <c r="G125" s="193">
        <f t="shared" si="7"/>
        <v>0</v>
      </c>
      <c r="H125" s="194">
        <f t="shared" si="8"/>
        <v>0</v>
      </c>
      <c r="I125" s="193"/>
      <c r="J125" s="195">
        <f t="shared" si="9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10"/>
        <v>0</v>
      </c>
      <c r="T125" s="200" t="str">
        <f t="shared" si="11"/>
        <v/>
      </c>
      <c r="U125" s="200">
        <f t="shared" si="12"/>
        <v>0</v>
      </c>
      <c r="V125" s="203"/>
      <c r="W125" s="199">
        <f t="shared" ref="W125:X125" si="116">C125/100</f>
        <v>0</v>
      </c>
      <c r="X125" s="199">
        <f t="shared" si="116"/>
        <v>0</v>
      </c>
      <c r="Y125" s="199">
        <f t="shared" si="15"/>
        <v>0</v>
      </c>
      <c r="Z125" s="202">
        <f t="shared" si="16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165.0</v>
      </c>
      <c r="B126" s="193"/>
      <c r="C126" s="193"/>
      <c r="D126" s="193"/>
      <c r="E126" s="193"/>
      <c r="F126" s="193">
        <f t="shared" si="6"/>
        <v>0</v>
      </c>
      <c r="G126" s="193">
        <f t="shared" si="7"/>
        <v>0</v>
      </c>
      <c r="H126" s="194">
        <f t="shared" si="8"/>
        <v>0</v>
      </c>
      <c r="I126" s="193"/>
      <c r="J126" s="195">
        <f t="shared" si="9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10"/>
        <v>0</v>
      </c>
      <c r="T126" s="200" t="str">
        <f t="shared" si="11"/>
        <v/>
      </c>
      <c r="U126" s="200">
        <f t="shared" si="12"/>
        <v>0</v>
      </c>
      <c r="V126" s="203"/>
      <c r="W126" s="199">
        <f t="shared" ref="W126:X126" si="117">C126/100</f>
        <v>0</v>
      </c>
      <c r="X126" s="199">
        <f t="shared" si="117"/>
        <v>0</v>
      </c>
      <c r="Y126" s="199">
        <f t="shared" si="15"/>
        <v>0</v>
      </c>
      <c r="Z126" s="202">
        <f t="shared" si="16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166.0</v>
      </c>
      <c r="B127" s="193"/>
      <c r="C127" s="193"/>
      <c r="D127" s="193"/>
      <c r="E127" s="193"/>
      <c r="F127" s="193">
        <f t="shared" si="6"/>
        <v>0</v>
      </c>
      <c r="G127" s="193">
        <f t="shared" si="7"/>
        <v>0</v>
      </c>
      <c r="H127" s="194">
        <f t="shared" si="8"/>
        <v>0</v>
      </c>
      <c r="I127" s="193"/>
      <c r="J127" s="195">
        <f t="shared" si="9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10"/>
        <v>0</v>
      </c>
      <c r="T127" s="200" t="str">
        <f t="shared" si="11"/>
        <v/>
      </c>
      <c r="U127" s="200">
        <f t="shared" si="12"/>
        <v>0</v>
      </c>
      <c r="V127" s="203"/>
      <c r="W127" s="199">
        <f t="shared" ref="W127:X127" si="118">C127/100</f>
        <v>0</v>
      </c>
      <c r="X127" s="199">
        <f t="shared" si="118"/>
        <v>0</v>
      </c>
      <c r="Y127" s="199">
        <f t="shared" si="15"/>
        <v>0</v>
      </c>
      <c r="Z127" s="202">
        <f t="shared" si="16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167.0</v>
      </c>
      <c r="B128" s="193"/>
      <c r="C128" s="193"/>
      <c r="D128" s="193"/>
      <c r="E128" s="193"/>
      <c r="F128" s="193">
        <f t="shared" si="6"/>
        <v>0</v>
      </c>
      <c r="G128" s="193">
        <f t="shared" si="7"/>
        <v>0</v>
      </c>
      <c r="H128" s="194">
        <f t="shared" si="8"/>
        <v>0</v>
      </c>
      <c r="I128" s="193"/>
      <c r="J128" s="195">
        <f t="shared" si="9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10"/>
        <v>0</v>
      </c>
      <c r="T128" s="200" t="str">
        <f t="shared" si="11"/>
        <v/>
      </c>
      <c r="U128" s="200">
        <f t="shared" si="12"/>
        <v>0</v>
      </c>
      <c r="V128" s="203"/>
      <c r="W128" s="199">
        <f t="shared" ref="W128:X128" si="119">C128/100</f>
        <v>0</v>
      </c>
      <c r="X128" s="199">
        <f t="shared" si="119"/>
        <v>0</v>
      </c>
      <c r="Y128" s="199">
        <f t="shared" si="15"/>
        <v>0</v>
      </c>
      <c r="Z128" s="202">
        <f t="shared" si="16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168.0</v>
      </c>
      <c r="B129" s="193"/>
      <c r="C129" s="193"/>
      <c r="D129" s="193"/>
      <c r="E129" s="193"/>
      <c r="F129" s="193">
        <f t="shared" si="6"/>
        <v>0</v>
      </c>
      <c r="G129" s="193">
        <f t="shared" si="7"/>
        <v>0</v>
      </c>
      <c r="H129" s="194">
        <f t="shared" si="8"/>
        <v>0</v>
      </c>
      <c r="I129" s="193"/>
      <c r="J129" s="195">
        <f t="shared" si="9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10"/>
        <v>0</v>
      </c>
      <c r="T129" s="200" t="str">
        <f t="shared" si="11"/>
        <v/>
      </c>
      <c r="U129" s="200">
        <f t="shared" si="12"/>
        <v>0</v>
      </c>
      <c r="V129" s="203"/>
      <c r="W129" s="199">
        <f t="shared" ref="W129:X129" si="120">C129/100</f>
        <v>0</v>
      </c>
      <c r="X129" s="199">
        <f t="shared" si="120"/>
        <v>0</v>
      </c>
      <c r="Y129" s="199">
        <f t="shared" si="15"/>
        <v>0</v>
      </c>
      <c r="Z129" s="202">
        <f t="shared" si="16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169.0</v>
      </c>
      <c r="B130" s="193"/>
      <c r="C130" s="193"/>
      <c r="D130" s="193"/>
      <c r="E130" s="193"/>
      <c r="F130" s="193">
        <f t="shared" si="6"/>
        <v>0</v>
      </c>
      <c r="G130" s="193">
        <f t="shared" si="7"/>
        <v>0</v>
      </c>
      <c r="H130" s="194">
        <f t="shared" si="8"/>
        <v>0</v>
      </c>
      <c r="I130" s="193"/>
      <c r="J130" s="195">
        <f t="shared" si="9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10"/>
        <v>0</v>
      </c>
      <c r="T130" s="200" t="str">
        <f t="shared" si="11"/>
        <v/>
      </c>
      <c r="U130" s="200">
        <f t="shared" si="12"/>
        <v>0</v>
      </c>
      <c r="V130" s="203"/>
      <c r="W130" s="199">
        <f t="shared" ref="W130:X130" si="121">C130/100</f>
        <v>0</v>
      </c>
      <c r="X130" s="199">
        <f t="shared" si="121"/>
        <v>0</v>
      </c>
      <c r="Y130" s="199">
        <f t="shared" si="15"/>
        <v>0</v>
      </c>
      <c r="Z130" s="202">
        <f t="shared" si="16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170.0</v>
      </c>
      <c r="B131" s="193"/>
      <c r="C131" s="193"/>
      <c r="D131" s="193"/>
      <c r="E131" s="193"/>
      <c r="F131" s="193">
        <f t="shared" si="6"/>
        <v>0</v>
      </c>
      <c r="G131" s="193">
        <f t="shared" si="7"/>
        <v>0</v>
      </c>
      <c r="H131" s="194">
        <f t="shared" si="8"/>
        <v>0</v>
      </c>
      <c r="I131" s="193"/>
      <c r="J131" s="195">
        <f t="shared" si="9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10"/>
        <v>0</v>
      </c>
      <c r="T131" s="200" t="str">
        <f t="shared" si="11"/>
        <v/>
      </c>
      <c r="U131" s="200">
        <f t="shared" si="12"/>
        <v>0</v>
      </c>
      <c r="V131" s="203"/>
      <c r="W131" s="199">
        <f t="shared" ref="W131:X131" si="122">C131/100</f>
        <v>0</v>
      </c>
      <c r="X131" s="199">
        <f t="shared" si="122"/>
        <v>0</v>
      </c>
      <c r="Y131" s="199">
        <f t="shared" si="15"/>
        <v>0</v>
      </c>
      <c r="Z131" s="202">
        <f t="shared" si="16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171.0</v>
      </c>
      <c r="B132" s="193"/>
      <c r="C132" s="193"/>
      <c r="D132" s="193"/>
      <c r="E132" s="193"/>
      <c r="F132" s="193">
        <f t="shared" si="6"/>
        <v>0</v>
      </c>
      <c r="G132" s="193">
        <f t="shared" si="7"/>
        <v>0</v>
      </c>
      <c r="H132" s="194">
        <f t="shared" si="8"/>
        <v>0</v>
      </c>
      <c r="I132" s="193"/>
      <c r="J132" s="195">
        <f t="shared" si="9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10"/>
        <v>0</v>
      </c>
      <c r="T132" s="200" t="str">
        <f t="shared" si="11"/>
        <v/>
      </c>
      <c r="U132" s="200">
        <f t="shared" si="12"/>
        <v>0</v>
      </c>
      <c r="V132" s="203"/>
      <c r="W132" s="199">
        <f t="shared" ref="W132:X132" si="123">C132/100</f>
        <v>0</v>
      </c>
      <c r="X132" s="199">
        <f t="shared" si="123"/>
        <v>0</v>
      </c>
      <c r="Y132" s="199">
        <f t="shared" si="15"/>
        <v>0</v>
      </c>
      <c r="Z132" s="202">
        <f t="shared" si="16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172.0</v>
      </c>
      <c r="B133" s="193"/>
      <c r="C133" s="193"/>
      <c r="D133" s="193"/>
      <c r="E133" s="193"/>
      <c r="F133" s="193">
        <f t="shared" si="6"/>
        <v>0</v>
      </c>
      <c r="G133" s="193">
        <f t="shared" si="7"/>
        <v>0</v>
      </c>
      <c r="H133" s="194">
        <f t="shared" si="8"/>
        <v>0</v>
      </c>
      <c r="I133" s="193"/>
      <c r="J133" s="195">
        <f t="shared" si="9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10"/>
        <v>0</v>
      </c>
      <c r="T133" s="200" t="str">
        <f t="shared" si="11"/>
        <v/>
      </c>
      <c r="U133" s="200">
        <f t="shared" si="12"/>
        <v>0</v>
      </c>
      <c r="V133" s="203"/>
      <c r="W133" s="199">
        <f t="shared" ref="W133:X133" si="124">C133/100</f>
        <v>0</v>
      </c>
      <c r="X133" s="199">
        <f t="shared" si="124"/>
        <v>0</v>
      </c>
      <c r="Y133" s="199">
        <f t="shared" si="15"/>
        <v>0</v>
      </c>
      <c r="Z133" s="202">
        <f t="shared" si="16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173.0</v>
      </c>
      <c r="B134" s="193"/>
      <c r="C134" s="193"/>
      <c r="D134" s="193"/>
      <c r="E134" s="193"/>
      <c r="F134" s="193">
        <f t="shared" si="6"/>
        <v>0</v>
      </c>
      <c r="G134" s="193">
        <f t="shared" si="7"/>
        <v>0</v>
      </c>
      <c r="H134" s="194">
        <f t="shared" si="8"/>
        <v>0</v>
      </c>
      <c r="I134" s="193"/>
      <c r="J134" s="195">
        <f t="shared" si="9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10"/>
        <v>0</v>
      </c>
      <c r="T134" s="200" t="str">
        <f t="shared" si="11"/>
        <v/>
      </c>
      <c r="U134" s="200">
        <f t="shared" si="12"/>
        <v>0</v>
      </c>
      <c r="V134" s="203"/>
      <c r="W134" s="199">
        <f t="shared" ref="W134:X134" si="125">C134/100</f>
        <v>0</v>
      </c>
      <c r="X134" s="199">
        <f t="shared" si="125"/>
        <v>0</v>
      </c>
      <c r="Y134" s="199">
        <f t="shared" si="15"/>
        <v>0</v>
      </c>
      <c r="Z134" s="202">
        <f t="shared" si="16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174.0</v>
      </c>
      <c r="B135" s="193"/>
      <c r="C135" s="193"/>
      <c r="D135" s="193"/>
      <c r="E135" s="193"/>
      <c r="F135" s="193">
        <f t="shared" si="6"/>
        <v>0</v>
      </c>
      <c r="G135" s="193">
        <f t="shared" si="7"/>
        <v>0</v>
      </c>
      <c r="H135" s="194">
        <f t="shared" si="8"/>
        <v>0</v>
      </c>
      <c r="I135" s="193"/>
      <c r="J135" s="195">
        <f t="shared" si="9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10"/>
        <v>0</v>
      </c>
      <c r="T135" s="200" t="str">
        <f t="shared" si="11"/>
        <v/>
      </c>
      <c r="U135" s="200">
        <f t="shared" si="12"/>
        <v>0</v>
      </c>
      <c r="V135" s="203"/>
      <c r="W135" s="199">
        <f t="shared" ref="W135:X135" si="126">C135/100</f>
        <v>0</v>
      </c>
      <c r="X135" s="199">
        <f t="shared" si="126"/>
        <v>0</v>
      </c>
      <c r="Y135" s="199">
        <f t="shared" si="15"/>
        <v>0</v>
      </c>
      <c r="Z135" s="202">
        <f t="shared" si="16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175.0</v>
      </c>
      <c r="B136" s="193"/>
      <c r="C136" s="193"/>
      <c r="D136" s="193"/>
      <c r="E136" s="193"/>
      <c r="F136" s="193">
        <f t="shared" si="6"/>
        <v>0</v>
      </c>
      <c r="G136" s="193">
        <f t="shared" si="7"/>
        <v>0</v>
      </c>
      <c r="H136" s="194">
        <f t="shared" si="8"/>
        <v>0</v>
      </c>
      <c r="I136" s="193"/>
      <c r="J136" s="195">
        <f t="shared" si="9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10"/>
        <v>0</v>
      </c>
      <c r="T136" s="200" t="str">
        <f t="shared" si="11"/>
        <v/>
      </c>
      <c r="U136" s="200">
        <f t="shared" si="12"/>
        <v>0</v>
      </c>
      <c r="V136" s="203"/>
      <c r="W136" s="199">
        <f t="shared" ref="W136:X136" si="127">C136/100</f>
        <v>0</v>
      </c>
      <c r="X136" s="199">
        <f t="shared" si="127"/>
        <v>0</v>
      </c>
      <c r="Y136" s="199">
        <f t="shared" si="15"/>
        <v>0</v>
      </c>
      <c r="Z136" s="202">
        <f t="shared" si="16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176.0</v>
      </c>
      <c r="B137" s="193"/>
      <c r="C137" s="193"/>
      <c r="D137" s="193"/>
      <c r="E137" s="193"/>
      <c r="F137" s="193">
        <f t="shared" si="6"/>
        <v>0</v>
      </c>
      <c r="G137" s="193">
        <f t="shared" si="7"/>
        <v>0</v>
      </c>
      <c r="H137" s="194">
        <f t="shared" si="8"/>
        <v>0</v>
      </c>
      <c r="I137" s="193"/>
      <c r="J137" s="195">
        <f t="shared" si="9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10"/>
        <v>0</v>
      </c>
      <c r="T137" s="200" t="str">
        <f t="shared" si="11"/>
        <v/>
      </c>
      <c r="U137" s="200">
        <f t="shared" si="12"/>
        <v>0</v>
      </c>
      <c r="V137" s="203"/>
      <c r="W137" s="199">
        <f t="shared" ref="W137:X137" si="128">C137/100</f>
        <v>0</v>
      </c>
      <c r="X137" s="199">
        <f t="shared" si="128"/>
        <v>0</v>
      </c>
      <c r="Y137" s="199">
        <f t="shared" si="15"/>
        <v>0</v>
      </c>
      <c r="Z137" s="202">
        <f t="shared" si="16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177.0</v>
      </c>
      <c r="B138" s="193"/>
      <c r="C138" s="193"/>
      <c r="D138" s="193"/>
      <c r="E138" s="193"/>
      <c r="F138" s="193">
        <f t="shared" si="6"/>
        <v>0</v>
      </c>
      <c r="G138" s="193">
        <f t="shared" si="7"/>
        <v>0</v>
      </c>
      <c r="H138" s="194">
        <f t="shared" si="8"/>
        <v>0</v>
      </c>
      <c r="I138" s="193"/>
      <c r="J138" s="195">
        <f t="shared" si="9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10"/>
        <v>0</v>
      </c>
      <c r="T138" s="200" t="str">
        <f t="shared" si="11"/>
        <v/>
      </c>
      <c r="U138" s="200">
        <f t="shared" si="12"/>
        <v>0</v>
      </c>
      <c r="V138" s="203"/>
      <c r="W138" s="199">
        <f t="shared" ref="W138:X138" si="129">C138/100</f>
        <v>0</v>
      </c>
      <c r="X138" s="199">
        <f t="shared" si="129"/>
        <v>0</v>
      </c>
      <c r="Y138" s="199">
        <f t="shared" si="15"/>
        <v>0</v>
      </c>
      <c r="Z138" s="202">
        <f t="shared" si="16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178.0</v>
      </c>
      <c r="B139" s="193"/>
      <c r="C139" s="193"/>
      <c r="D139" s="193"/>
      <c r="E139" s="193"/>
      <c r="F139" s="193">
        <f t="shared" si="6"/>
        <v>0</v>
      </c>
      <c r="G139" s="193">
        <f t="shared" si="7"/>
        <v>0</v>
      </c>
      <c r="H139" s="194">
        <f t="shared" si="8"/>
        <v>0</v>
      </c>
      <c r="I139" s="193"/>
      <c r="J139" s="195">
        <f t="shared" si="9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10"/>
        <v>0</v>
      </c>
      <c r="T139" s="200" t="str">
        <f t="shared" si="11"/>
        <v/>
      </c>
      <c r="U139" s="200">
        <f t="shared" si="12"/>
        <v>0</v>
      </c>
      <c r="V139" s="203"/>
      <c r="W139" s="199">
        <f t="shared" ref="W139:X139" si="130">C139/100</f>
        <v>0</v>
      </c>
      <c r="X139" s="199">
        <f t="shared" si="130"/>
        <v>0</v>
      </c>
      <c r="Y139" s="199">
        <f t="shared" si="15"/>
        <v>0</v>
      </c>
      <c r="Z139" s="202">
        <f t="shared" si="16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179.0</v>
      </c>
      <c r="B140" s="193"/>
      <c r="C140" s="193"/>
      <c r="D140" s="193"/>
      <c r="E140" s="193"/>
      <c r="F140" s="193">
        <f t="shared" si="6"/>
        <v>0</v>
      </c>
      <c r="G140" s="193">
        <f t="shared" si="7"/>
        <v>0</v>
      </c>
      <c r="H140" s="194">
        <f t="shared" si="8"/>
        <v>0</v>
      </c>
      <c r="I140" s="193"/>
      <c r="J140" s="195">
        <f t="shared" si="9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10"/>
        <v>0</v>
      </c>
      <c r="T140" s="200" t="str">
        <f t="shared" si="11"/>
        <v/>
      </c>
      <c r="U140" s="200">
        <f t="shared" si="12"/>
        <v>0</v>
      </c>
      <c r="V140" s="203"/>
      <c r="W140" s="199">
        <f t="shared" ref="W140:X140" si="131">C140/100</f>
        <v>0</v>
      </c>
      <c r="X140" s="199">
        <f t="shared" si="131"/>
        <v>0</v>
      </c>
      <c r="Y140" s="199">
        <f t="shared" si="15"/>
        <v>0</v>
      </c>
      <c r="Z140" s="202">
        <f t="shared" si="16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180.0</v>
      </c>
      <c r="B141" s="193"/>
      <c r="C141" s="193"/>
      <c r="D141" s="193"/>
      <c r="E141" s="193"/>
      <c r="F141" s="193">
        <f t="shared" si="6"/>
        <v>0</v>
      </c>
      <c r="G141" s="193">
        <f t="shared" si="7"/>
        <v>0</v>
      </c>
      <c r="H141" s="194">
        <f t="shared" si="8"/>
        <v>0</v>
      </c>
      <c r="I141" s="193"/>
      <c r="J141" s="195">
        <f t="shared" si="9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10"/>
        <v>0</v>
      </c>
      <c r="T141" s="200" t="str">
        <f t="shared" si="11"/>
        <v/>
      </c>
      <c r="U141" s="200">
        <f t="shared" si="12"/>
        <v>0</v>
      </c>
      <c r="V141" s="203"/>
      <c r="W141" s="199">
        <f t="shared" ref="W141:X141" si="132">C141/100</f>
        <v>0</v>
      </c>
      <c r="X141" s="199">
        <f t="shared" si="132"/>
        <v>0</v>
      </c>
      <c r="Y141" s="199">
        <f t="shared" si="15"/>
        <v>0</v>
      </c>
      <c r="Z141" s="202">
        <f t="shared" si="16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181.0</v>
      </c>
      <c r="B142" s="193"/>
      <c r="C142" s="193"/>
      <c r="D142" s="193"/>
      <c r="E142" s="193"/>
      <c r="F142" s="193">
        <f t="shared" si="6"/>
        <v>0</v>
      </c>
      <c r="G142" s="193">
        <f t="shared" si="7"/>
        <v>0</v>
      </c>
      <c r="H142" s="194">
        <f t="shared" si="8"/>
        <v>0</v>
      </c>
      <c r="I142" s="193"/>
      <c r="J142" s="195">
        <f t="shared" si="9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10"/>
        <v>0</v>
      </c>
      <c r="T142" s="200" t="str">
        <f t="shared" si="11"/>
        <v/>
      </c>
      <c r="U142" s="200">
        <f t="shared" si="12"/>
        <v>0</v>
      </c>
      <c r="V142" s="203"/>
      <c r="W142" s="199">
        <f t="shared" ref="W142:X142" si="133">C142/100</f>
        <v>0</v>
      </c>
      <c r="X142" s="199">
        <f t="shared" si="133"/>
        <v>0</v>
      </c>
      <c r="Y142" s="199">
        <f t="shared" si="15"/>
        <v>0</v>
      </c>
      <c r="Z142" s="202">
        <f t="shared" si="16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182.0</v>
      </c>
      <c r="B143" s="193"/>
      <c r="C143" s="193"/>
      <c r="D143" s="193"/>
      <c r="E143" s="193"/>
      <c r="F143" s="193">
        <f t="shared" si="6"/>
        <v>0</v>
      </c>
      <c r="G143" s="193">
        <f t="shared" si="7"/>
        <v>0</v>
      </c>
      <c r="H143" s="194">
        <f t="shared" si="8"/>
        <v>0</v>
      </c>
      <c r="I143" s="193"/>
      <c r="J143" s="195">
        <f t="shared" si="9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10"/>
        <v>0</v>
      </c>
      <c r="T143" s="200" t="str">
        <f t="shared" si="11"/>
        <v/>
      </c>
      <c r="U143" s="200">
        <f t="shared" si="12"/>
        <v>0</v>
      </c>
      <c r="V143" s="203"/>
      <c r="W143" s="199">
        <f t="shared" ref="W143:X143" si="134">C143/100</f>
        <v>0</v>
      </c>
      <c r="X143" s="199">
        <f t="shared" si="134"/>
        <v>0</v>
      </c>
      <c r="Y143" s="199">
        <f t="shared" si="15"/>
        <v>0</v>
      </c>
      <c r="Z143" s="202">
        <f t="shared" si="16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183.0</v>
      </c>
      <c r="B144" s="193"/>
      <c r="C144" s="193"/>
      <c r="D144" s="193"/>
      <c r="E144" s="193"/>
      <c r="F144" s="193">
        <f t="shared" si="6"/>
        <v>0</v>
      </c>
      <c r="G144" s="193">
        <f t="shared" si="7"/>
        <v>0</v>
      </c>
      <c r="H144" s="194">
        <f t="shared" si="8"/>
        <v>0</v>
      </c>
      <c r="I144" s="193"/>
      <c r="J144" s="195">
        <f t="shared" si="9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10"/>
        <v>0</v>
      </c>
      <c r="T144" s="200" t="str">
        <f t="shared" si="11"/>
        <v/>
      </c>
      <c r="U144" s="200">
        <f t="shared" si="12"/>
        <v>0</v>
      </c>
      <c r="V144" s="203"/>
      <c r="W144" s="199">
        <f t="shared" ref="W144:X144" si="135">C144/100</f>
        <v>0</v>
      </c>
      <c r="X144" s="199">
        <f t="shared" si="135"/>
        <v>0</v>
      </c>
      <c r="Y144" s="199">
        <f t="shared" si="15"/>
        <v>0</v>
      </c>
      <c r="Z144" s="202">
        <f t="shared" si="16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184.0</v>
      </c>
      <c r="B145" s="193"/>
      <c r="C145" s="193"/>
      <c r="D145" s="193"/>
      <c r="E145" s="193"/>
      <c r="F145" s="193">
        <f t="shared" si="6"/>
        <v>0</v>
      </c>
      <c r="G145" s="193">
        <f t="shared" si="7"/>
        <v>0</v>
      </c>
      <c r="H145" s="194">
        <f t="shared" si="8"/>
        <v>0</v>
      </c>
      <c r="I145" s="193"/>
      <c r="J145" s="195">
        <f t="shared" si="9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10"/>
        <v>0</v>
      </c>
      <c r="T145" s="200" t="str">
        <f t="shared" si="11"/>
        <v/>
      </c>
      <c r="U145" s="200">
        <f t="shared" si="12"/>
        <v>0</v>
      </c>
      <c r="V145" s="203"/>
      <c r="W145" s="199">
        <f t="shared" ref="W145:X145" si="136">C145/100</f>
        <v>0</v>
      </c>
      <c r="X145" s="199">
        <f t="shared" si="136"/>
        <v>0</v>
      </c>
      <c r="Y145" s="199">
        <f t="shared" si="15"/>
        <v>0</v>
      </c>
      <c r="Z145" s="202">
        <f t="shared" si="16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185.0</v>
      </c>
      <c r="B146" s="193"/>
      <c r="C146" s="193"/>
      <c r="D146" s="193"/>
      <c r="E146" s="193"/>
      <c r="F146" s="193">
        <f t="shared" si="6"/>
        <v>0</v>
      </c>
      <c r="G146" s="193">
        <f t="shared" si="7"/>
        <v>0</v>
      </c>
      <c r="H146" s="194">
        <f t="shared" si="8"/>
        <v>0</v>
      </c>
      <c r="I146" s="193"/>
      <c r="J146" s="195">
        <f t="shared" si="9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10"/>
        <v>0</v>
      </c>
      <c r="T146" s="200" t="str">
        <f t="shared" si="11"/>
        <v/>
      </c>
      <c r="U146" s="200">
        <f t="shared" si="12"/>
        <v>0</v>
      </c>
      <c r="V146" s="203"/>
      <c r="W146" s="199">
        <f t="shared" ref="W146:X146" si="137">C146/100</f>
        <v>0</v>
      </c>
      <c r="X146" s="199">
        <f t="shared" si="137"/>
        <v>0</v>
      </c>
      <c r="Y146" s="199">
        <f t="shared" si="15"/>
        <v>0</v>
      </c>
      <c r="Z146" s="202">
        <f t="shared" si="16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186.0</v>
      </c>
      <c r="B147" s="193"/>
      <c r="C147" s="193"/>
      <c r="D147" s="193"/>
      <c r="E147" s="193"/>
      <c r="F147" s="193">
        <f t="shared" si="6"/>
        <v>0</v>
      </c>
      <c r="G147" s="193">
        <f t="shared" si="7"/>
        <v>0</v>
      </c>
      <c r="H147" s="194">
        <f t="shared" si="8"/>
        <v>0</v>
      </c>
      <c r="I147" s="193"/>
      <c r="J147" s="195">
        <f t="shared" si="9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10"/>
        <v>0</v>
      </c>
      <c r="T147" s="200" t="str">
        <f t="shared" si="11"/>
        <v/>
      </c>
      <c r="U147" s="200">
        <f t="shared" si="12"/>
        <v>0</v>
      </c>
      <c r="V147" s="203"/>
      <c r="W147" s="199">
        <f t="shared" ref="W147:X147" si="138">C147/100</f>
        <v>0</v>
      </c>
      <c r="X147" s="199">
        <f t="shared" si="138"/>
        <v>0</v>
      </c>
      <c r="Y147" s="199">
        <f t="shared" si="15"/>
        <v>0</v>
      </c>
      <c r="Z147" s="202">
        <f t="shared" si="16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187.0</v>
      </c>
      <c r="B148" s="193"/>
      <c r="C148" s="193"/>
      <c r="D148" s="193"/>
      <c r="E148" s="193"/>
      <c r="F148" s="193">
        <f t="shared" si="6"/>
        <v>0</v>
      </c>
      <c r="G148" s="193">
        <f t="shared" si="7"/>
        <v>0</v>
      </c>
      <c r="H148" s="194">
        <f t="shared" si="8"/>
        <v>0</v>
      </c>
      <c r="I148" s="193"/>
      <c r="J148" s="195">
        <f t="shared" si="9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10"/>
        <v>0</v>
      </c>
      <c r="T148" s="200" t="str">
        <f t="shared" si="11"/>
        <v/>
      </c>
      <c r="U148" s="200">
        <f t="shared" si="12"/>
        <v>0</v>
      </c>
      <c r="V148" s="203"/>
      <c r="W148" s="199">
        <f t="shared" ref="W148:X148" si="139">C148/100</f>
        <v>0</v>
      </c>
      <c r="X148" s="199">
        <f t="shared" si="139"/>
        <v>0</v>
      </c>
      <c r="Y148" s="199">
        <f t="shared" si="15"/>
        <v>0</v>
      </c>
      <c r="Z148" s="202">
        <f t="shared" si="16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188.0</v>
      </c>
      <c r="B149" s="193"/>
      <c r="C149" s="193"/>
      <c r="D149" s="193"/>
      <c r="E149" s="193"/>
      <c r="F149" s="193">
        <f t="shared" si="6"/>
        <v>0</v>
      </c>
      <c r="G149" s="193">
        <f t="shared" si="7"/>
        <v>0</v>
      </c>
      <c r="H149" s="194">
        <f t="shared" si="8"/>
        <v>0</v>
      </c>
      <c r="I149" s="193"/>
      <c r="J149" s="195">
        <f t="shared" si="9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10"/>
        <v>0</v>
      </c>
      <c r="T149" s="200" t="str">
        <f t="shared" si="11"/>
        <v/>
      </c>
      <c r="U149" s="200">
        <f t="shared" si="12"/>
        <v>0</v>
      </c>
      <c r="V149" s="203"/>
      <c r="W149" s="199">
        <f t="shared" ref="W149:X149" si="140">C149/100</f>
        <v>0</v>
      </c>
      <c r="X149" s="199">
        <f t="shared" si="140"/>
        <v>0</v>
      </c>
      <c r="Y149" s="199">
        <f t="shared" si="15"/>
        <v>0</v>
      </c>
      <c r="Z149" s="202">
        <f t="shared" si="16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189.0</v>
      </c>
      <c r="B150" s="193"/>
      <c r="C150" s="193"/>
      <c r="D150" s="193"/>
      <c r="E150" s="193"/>
      <c r="F150" s="193">
        <f t="shared" si="6"/>
        <v>0</v>
      </c>
      <c r="G150" s="193">
        <f t="shared" si="7"/>
        <v>0</v>
      </c>
      <c r="H150" s="194">
        <f t="shared" si="8"/>
        <v>0</v>
      </c>
      <c r="I150" s="193"/>
      <c r="J150" s="195">
        <f t="shared" si="9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10"/>
        <v>0</v>
      </c>
      <c r="T150" s="200" t="str">
        <f t="shared" si="11"/>
        <v/>
      </c>
      <c r="U150" s="200">
        <f t="shared" si="12"/>
        <v>0</v>
      </c>
      <c r="V150" s="203"/>
      <c r="W150" s="199">
        <f t="shared" ref="W150:X150" si="141">C150/100</f>
        <v>0</v>
      </c>
      <c r="X150" s="199">
        <f t="shared" si="141"/>
        <v>0</v>
      </c>
      <c r="Y150" s="199">
        <f t="shared" si="15"/>
        <v>0</v>
      </c>
      <c r="Z150" s="202">
        <f t="shared" si="16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190.0</v>
      </c>
      <c r="B151" s="193"/>
      <c r="C151" s="193"/>
      <c r="D151" s="193"/>
      <c r="E151" s="193"/>
      <c r="F151" s="193">
        <f t="shared" si="6"/>
        <v>0</v>
      </c>
      <c r="G151" s="193">
        <f t="shared" si="7"/>
        <v>0</v>
      </c>
      <c r="H151" s="194">
        <f t="shared" si="8"/>
        <v>0</v>
      </c>
      <c r="I151" s="193"/>
      <c r="J151" s="195">
        <f t="shared" si="9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10"/>
        <v>0</v>
      </c>
      <c r="T151" s="200" t="str">
        <f t="shared" si="11"/>
        <v/>
      </c>
      <c r="U151" s="200">
        <f t="shared" si="12"/>
        <v>0</v>
      </c>
      <c r="V151" s="203"/>
      <c r="W151" s="199">
        <f t="shared" ref="W151:X151" si="142">C151/100</f>
        <v>0</v>
      </c>
      <c r="X151" s="199">
        <f t="shared" si="142"/>
        <v>0</v>
      </c>
      <c r="Y151" s="199">
        <f t="shared" si="15"/>
        <v>0</v>
      </c>
      <c r="Z151" s="202">
        <f t="shared" si="16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191.0</v>
      </c>
      <c r="B152" s="193"/>
      <c r="C152" s="193"/>
      <c r="D152" s="193"/>
      <c r="E152" s="193"/>
      <c r="F152" s="193">
        <f t="shared" si="6"/>
        <v>0</v>
      </c>
      <c r="G152" s="193">
        <f t="shared" si="7"/>
        <v>0</v>
      </c>
      <c r="H152" s="194">
        <f t="shared" si="8"/>
        <v>0</v>
      </c>
      <c r="I152" s="193"/>
      <c r="J152" s="195">
        <f t="shared" si="9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10"/>
        <v>0</v>
      </c>
      <c r="T152" s="200" t="str">
        <f t="shared" si="11"/>
        <v/>
      </c>
      <c r="U152" s="200">
        <f t="shared" si="12"/>
        <v>0</v>
      </c>
      <c r="V152" s="203"/>
      <c r="W152" s="199">
        <f t="shared" ref="W152:X152" si="143">C152/100</f>
        <v>0</v>
      </c>
      <c r="X152" s="199">
        <f t="shared" si="143"/>
        <v>0</v>
      </c>
      <c r="Y152" s="199">
        <f t="shared" si="15"/>
        <v>0</v>
      </c>
      <c r="Z152" s="202">
        <f t="shared" si="16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192.0</v>
      </c>
      <c r="B153" s="193"/>
      <c r="C153" s="193"/>
      <c r="D153" s="193"/>
      <c r="E153" s="193"/>
      <c r="F153" s="193">
        <f t="shared" si="6"/>
        <v>0</v>
      </c>
      <c r="G153" s="193">
        <f t="shared" si="7"/>
        <v>0</v>
      </c>
      <c r="H153" s="194">
        <f t="shared" si="8"/>
        <v>0</v>
      </c>
      <c r="I153" s="193"/>
      <c r="J153" s="195">
        <f t="shared" si="9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10"/>
        <v>0</v>
      </c>
      <c r="T153" s="200" t="str">
        <f t="shared" si="11"/>
        <v/>
      </c>
      <c r="U153" s="200">
        <f t="shared" si="12"/>
        <v>0</v>
      </c>
      <c r="V153" s="203"/>
      <c r="W153" s="199">
        <f t="shared" ref="W153:X153" si="144">C153/100</f>
        <v>0</v>
      </c>
      <c r="X153" s="199">
        <f t="shared" si="144"/>
        <v>0</v>
      </c>
      <c r="Y153" s="199">
        <f t="shared" si="15"/>
        <v>0</v>
      </c>
      <c r="Z153" s="202">
        <f t="shared" si="16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193.0</v>
      </c>
      <c r="B154" s="193"/>
      <c r="C154" s="193"/>
      <c r="D154" s="193"/>
      <c r="E154" s="193"/>
      <c r="F154" s="193">
        <f t="shared" si="6"/>
        <v>0</v>
      </c>
      <c r="G154" s="193">
        <f t="shared" si="7"/>
        <v>0</v>
      </c>
      <c r="H154" s="194">
        <f t="shared" si="8"/>
        <v>0</v>
      </c>
      <c r="I154" s="193"/>
      <c r="J154" s="195">
        <f t="shared" si="9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10"/>
        <v>0</v>
      </c>
      <c r="T154" s="200" t="str">
        <f t="shared" si="11"/>
        <v/>
      </c>
      <c r="U154" s="200">
        <f t="shared" si="12"/>
        <v>0</v>
      </c>
      <c r="V154" s="203"/>
      <c r="W154" s="199">
        <f t="shared" ref="W154:X154" si="145">C154/100</f>
        <v>0</v>
      </c>
      <c r="X154" s="199">
        <f t="shared" si="145"/>
        <v>0</v>
      </c>
      <c r="Y154" s="199">
        <f t="shared" si="15"/>
        <v>0</v>
      </c>
      <c r="Z154" s="202">
        <f t="shared" si="16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194.0</v>
      </c>
      <c r="B155" s="193"/>
      <c r="C155" s="193"/>
      <c r="D155" s="193"/>
      <c r="E155" s="193"/>
      <c r="F155" s="193">
        <f t="shared" si="6"/>
        <v>0</v>
      </c>
      <c r="G155" s="193">
        <f t="shared" si="7"/>
        <v>0</v>
      </c>
      <c r="H155" s="194">
        <f t="shared" si="8"/>
        <v>0</v>
      </c>
      <c r="I155" s="193"/>
      <c r="J155" s="195">
        <f t="shared" si="9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10"/>
        <v>0</v>
      </c>
      <c r="T155" s="200" t="str">
        <f t="shared" si="11"/>
        <v/>
      </c>
      <c r="U155" s="200">
        <f t="shared" si="12"/>
        <v>0</v>
      </c>
      <c r="V155" s="203"/>
      <c r="W155" s="199">
        <f t="shared" ref="W155:X155" si="146">C155/100</f>
        <v>0</v>
      </c>
      <c r="X155" s="199">
        <f t="shared" si="146"/>
        <v>0</v>
      </c>
      <c r="Y155" s="199">
        <f t="shared" si="15"/>
        <v>0</v>
      </c>
      <c r="Z155" s="202">
        <f t="shared" si="16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195.0</v>
      </c>
      <c r="B156" s="193"/>
      <c r="C156" s="193"/>
      <c r="D156" s="193"/>
      <c r="E156" s="193"/>
      <c r="F156" s="193">
        <f t="shared" si="6"/>
        <v>0</v>
      </c>
      <c r="G156" s="193">
        <f t="shared" si="7"/>
        <v>0</v>
      </c>
      <c r="H156" s="194">
        <f t="shared" si="8"/>
        <v>0</v>
      </c>
      <c r="I156" s="193"/>
      <c r="J156" s="195">
        <f t="shared" si="9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10"/>
        <v>0</v>
      </c>
      <c r="T156" s="200" t="str">
        <f t="shared" si="11"/>
        <v/>
      </c>
      <c r="U156" s="200">
        <f t="shared" si="12"/>
        <v>0</v>
      </c>
      <c r="V156" s="203"/>
      <c r="W156" s="199">
        <f t="shared" ref="W156:X156" si="147">C156/100</f>
        <v>0</v>
      </c>
      <c r="X156" s="199">
        <f t="shared" si="147"/>
        <v>0</v>
      </c>
      <c r="Y156" s="199">
        <f t="shared" si="15"/>
        <v>0</v>
      </c>
      <c r="Z156" s="202">
        <f t="shared" si="16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196.0</v>
      </c>
      <c r="B157" s="193"/>
      <c r="C157" s="193"/>
      <c r="D157" s="193"/>
      <c r="E157" s="193"/>
      <c r="F157" s="193">
        <f t="shared" si="6"/>
        <v>0</v>
      </c>
      <c r="G157" s="193">
        <f t="shared" si="7"/>
        <v>0</v>
      </c>
      <c r="H157" s="194">
        <f t="shared" si="8"/>
        <v>0</v>
      </c>
      <c r="I157" s="193"/>
      <c r="J157" s="195">
        <f t="shared" si="9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10"/>
        <v>0</v>
      </c>
      <c r="T157" s="200" t="str">
        <f t="shared" si="11"/>
        <v/>
      </c>
      <c r="U157" s="200">
        <f t="shared" si="12"/>
        <v>0</v>
      </c>
      <c r="V157" s="203"/>
      <c r="W157" s="199">
        <f t="shared" ref="W157:X157" si="148">C157/100</f>
        <v>0</v>
      </c>
      <c r="X157" s="199">
        <f t="shared" si="148"/>
        <v>0</v>
      </c>
      <c r="Y157" s="199">
        <f t="shared" si="15"/>
        <v>0</v>
      </c>
      <c r="Z157" s="202">
        <f t="shared" si="16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197.0</v>
      </c>
      <c r="B158" s="193"/>
      <c r="C158" s="193"/>
      <c r="D158" s="193"/>
      <c r="E158" s="193"/>
      <c r="F158" s="193">
        <f t="shared" si="6"/>
        <v>0</v>
      </c>
      <c r="G158" s="193">
        <f t="shared" si="7"/>
        <v>0</v>
      </c>
      <c r="H158" s="194">
        <f t="shared" si="8"/>
        <v>0</v>
      </c>
      <c r="I158" s="193"/>
      <c r="J158" s="195">
        <f t="shared" si="9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10"/>
        <v>0</v>
      </c>
      <c r="T158" s="200" t="str">
        <f t="shared" si="11"/>
        <v/>
      </c>
      <c r="U158" s="200">
        <f t="shared" si="12"/>
        <v>0</v>
      </c>
      <c r="V158" s="203"/>
      <c r="W158" s="199">
        <f t="shared" ref="W158:X158" si="149">C158/100</f>
        <v>0</v>
      </c>
      <c r="X158" s="199">
        <f t="shared" si="149"/>
        <v>0</v>
      </c>
      <c r="Y158" s="199">
        <f t="shared" si="15"/>
        <v>0</v>
      </c>
      <c r="Z158" s="202">
        <f t="shared" si="16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198.0</v>
      </c>
      <c r="B159" s="193"/>
      <c r="C159" s="193"/>
      <c r="D159" s="193"/>
      <c r="E159" s="193"/>
      <c r="F159" s="193">
        <f t="shared" si="6"/>
        <v>0</v>
      </c>
      <c r="G159" s="193">
        <f t="shared" si="7"/>
        <v>0</v>
      </c>
      <c r="H159" s="194">
        <f t="shared" si="8"/>
        <v>0</v>
      </c>
      <c r="I159" s="193"/>
      <c r="J159" s="195">
        <f t="shared" si="9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10"/>
        <v>0</v>
      </c>
      <c r="T159" s="200" t="str">
        <f t="shared" si="11"/>
        <v/>
      </c>
      <c r="U159" s="200">
        <f t="shared" si="12"/>
        <v>0</v>
      </c>
      <c r="V159" s="203"/>
      <c r="W159" s="199">
        <f t="shared" ref="W159:X159" si="150">C159/100</f>
        <v>0</v>
      </c>
      <c r="X159" s="199">
        <f t="shared" si="150"/>
        <v>0</v>
      </c>
      <c r="Y159" s="199">
        <f t="shared" si="15"/>
        <v>0</v>
      </c>
      <c r="Z159" s="202">
        <f t="shared" si="16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199.0</v>
      </c>
      <c r="B160" s="193"/>
      <c r="C160" s="193"/>
      <c r="D160" s="193"/>
      <c r="E160" s="193"/>
      <c r="F160" s="193">
        <f t="shared" si="6"/>
        <v>0</v>
      </c>
      <c r="G160" s="193">
        <f t="shared" si="7"/>
        <v>0</v>
      </c>
      <c r="H160" s="194">
        <f t="shared" si="8"/>
        <v>0</v>
      </c>
      <c r="I160" s="193"/>
      <c r="J160" s="195">
        <f t="shared" si="9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10"/>
        <v>0</v>
      </c>
      <c r="T160" s="200" t="str">
        <f t="shared" si="11"/>
        <v/>
      </c>
      <c r="U160" s="200">
        <f t="shared" si="12"/>
        <v>0</v>
      </c>
      <c r="V160" s="203"/>
      <c r="W160" s="199">
        <f t="shared" ref="W160:X160" si="151">C160/100</f>
        <v>0</v>
      </c>
      <c r="X160" s="199">
        <f t="shared" si="151"/>
        <v>0</v>
      </c>
      <c r="Y160" s="199">
        <f t="shared" si="15"/>
        <v>0</v>
      </c>
      <c r="Z160" s="202">
        <f t="shared" si="16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200.0</v>
      </c>
      <c r="B161" s="193"/>
      <c r="C161" s="193"/>
      <c r="D161" s="193"/>
      <c r="E161" s="193"/>
      <c r="F161" s="193">
        <f t="shared" si="6"/>
        <v>0</v>
      </c>
      <c r="G161" s="193">
        <f t="shared" si="7"/>
        <v>0</v>
      </c>
      <c r="H161" s="194">
        <f t="shared" si="8"/>
        <v>0</v>
      </c>
      <c r="I161" s="193"/>
      <c r="J161" s="195">
        <f t="shared" si="9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10"/>
        <v>0</v>
      </c>
      <c r="T161" s="200" t="str">
        <f t="shared" si="11"/>
        <v/>
      </c>
      <c r="U161" s="200">
        <f t="shared" si="12"/>
        <v>0</v>
      </c>
      <c r="V161" s="203"/>
      <c r="W161" s="199">
        <f t="shared" ref="W161:X161" si="152">C161/100</f>
        <v>0</v>
      </c>
      <c r="X161" s="199">
        <f t="shared" si="152"/>
        <v>0</v>
      </c>
      <c r="Y161" s="199">
        <f t="shared" si="15"/>
        <v>0</v>
      </c>
      <c r="Z161" s="202">
        <f t="shared" si="16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201.0</v>
      </c>
      <c r="B162" s="193"/>
      <c r="C162" s="193"/>
      <c r="D162" s="193"/>
      <c r="E162" s="193"/>
      <c r="F162" s="193">
        <f t="shared" si="6"/>
        <v>0</v>
      </c>
      <c r="G162" s="193">
        <f t="shared" si="7"/>
        <v>0</v>
      </c>
      <c r="H162" s="194">
        <f t="shared" si="8"/>
        <v>0</v>
      </c>
      <c r="I162" s="193"/>
      <c r="J162" s="195">
        <f t="shared" si="9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10"/>
        <v>0</v>
      </c>
      <c r="T162" s="200" t="str">
        <f t="shared" si="11"/>
        <v/>
      </c>
      <c r="U162" s="200">
        <f t="shared" si="12"/>
        <v>0</v>
      </c>
      <c r="V162" s="203"/>
      <c r="W162" s="199">
        <f t="shared" ref="W162:X162" si="153">C162/100</f>
        <v>0</v>
      </c>
      <c r="X162" s="199">
        <f t="shared" si="153"/>
        <v>0</v>
      </c>
      <c r="Y162" s="199">
        <f t="shared" si="15"/>
        <v>0</v>
      </c>
      <c r="Z162" s="202">
        <f t="shared" si="16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202.0</v>
      </c>
      <c r="B163" s="193"/>
      <c r="C163" s="193"/>
      <c r="D163" s="193"/>
      <c r="E163" s="193"/>
      <c r="F163" s="193">
        <f t="shared" si="6"/>
        <v>0</v>
      </c>
      <c r="G163" s="193">
        <f t="shared" si="7"/>
        <v>0</v>
      </c>
      <c r="H163" s="194">
        <f t="shared" si="8"/>
        <v>0</v>
      </c>
      <c r="I163" s="193"/>
      <c r="J163" s="195">
        <f t="shared" si="9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10"/>
        <v>0</v>
      </c>
      <c r="T163" s="200" t="str">
        <f t="shared" si="11"/>
        <v/>
      </c>
      <c r="U163" s="200">
        <f t="shared" si="12"/>
        <v>0</v>
      </c>
      <c r="V163" s="203"/>
      <c r="W163" s="199">
        <f t="shared" ref="W163:X163" si="154">C163/100</f>
        <v>0</v>
      </c>
      <c r="X163" s="199">
        <f t="shared" si="154"/>
        <v>0</v>
      </c>
      <c r="Y163" s="199">
        <f t="shared" si="15"/>
        <v>0</v>
      </c>
      <c r="Z163" s="202">
        <f t="shared" si="16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203.0</v>
      </c>
      <c r="B164" s="193"/>
      <c r="C164" s="193"/>
      <c r="D164" s="193"/>
      <c r="E164" s="193"/>
      <c r="F164" s="193">
        <f t="shared" si="6"/>
        <v>0</v>
      </c>
      <c r="G164" s="193">
        <f t="shared" si="7"/>
        <v>0</v>
      </c>
      <c r="H164" s="194">
        <f t="shared" si="8"/>
        <v>0</v>
      </c>
      <c r="I164" s="193"/>
      <c r="J164" s="195">
        <f t="shared" si="9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10"/>
        <v>0</v>
      </c>
      <c r="T164" s="200" t="str">
        <f t="shared" si="11"/>
        <v/>
      </c>
      <c r="U164" s="200">
        <f t="shared" si="12"/>
        <v>0</v>
      </c>
      <c r="V164" s="203"/>
      <c r="W164" s="199">
        <f t="shared" ref="W164:X164" si="155">C164/100</f>
        <v>0</v>
      </c>
      <c r="X164" s="199">
        <f t="shared" si="155"/>
        <v>0</v>
      </c>
      <c r="Y164" s="199">
        <f t="shared" si="15"/>
        <v>0</v>
      </c>
      <c r="Z164" s="202">
        <f t="shared" si="16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204.0</v>
      </c>
      <c r="B165" s="193"/>
      <c r="C165" s="193"/>
      <c r="D165" s="193"/>
      <c r="E165" s="193"/>
      <c r="F165" s="193">
        <f t="shared" si="6"/>
        <v>0</v>
      </c>
      <c r="G165" s="193">
        <f t="shared" si="7"/>
        <v>0</v>
      </c>
      <c r="H165" s="194">
        <f t="shared" si="8"/>
        <v>0</v>
      </c>
      <c r="I165" s="193"/>
      <c r="J165" s="195">
        <f t="shared" si="9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10"/>
        <v>0</v>
      </c>
      <c r="T165" s="200" t="str">
        <f t="shared" si="11"/>
        <v/>
      </c>
      <c r="U165" s="200">
        <f t="shared" si="12"/>
        <v>0</v>
      </c>
      <c r="V165" s="203"/>
      <c r="W165" s="199">
        <f t="shared" ref="W165:X165" si="156">C165/100</f>
        <v>0</v>
      </c>
      <c r="X165" s="199">
        <f t="shared" si="156"/>
        <v>0</v>
      </c>
      <c r="Y165" s="199">
        <f t="shared" si="15"/>
        <v>0</v>
      </c>
      <c r="Z165" s="202">
        <f t="shared" si="16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205.0</v>
      </c>
      <c r="B166" s="193"/>
      <c r="C166" s="193"/>
      <c r="D166" s="193"/>
      <c r="E166" s="193"/>
      <c r="F166" s="193">
        <f t="shared" si="6"/>
        <v>0</v>
      </c>
      <c r="G166" s="193">
        <f t="shared" si="7"/>
        <v>0</v>
      </c>
      <c r="H166" s="194">
        <f t="shared" si="8"/>
        <v>0</v>
      </c>
      <c r="I166" s="193"/>
      <c r="J166" s="195">
        <f t="shared" si="9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10"/>
        <v>0</v>
      </c>
      <c r="T166" s="200" t="str">
        <f t="shared" si="11"/>
        <v/>
      </c>
      <c r="U166" s="200">
        <f t="shared" si="12"/>
        <v>0</v>
      </c>
      <c r="V166" s="203"/>
      <c r="W166" s="199">
        <f t="shared" ref="W166:X166" si="157">C166/100</f>
        <v>0</v>
      </c>
      <c r="X166" s="199">
        <f t="shared" si="157"/>
        <v>0</v>
      </c>
      <c r="Y166" s="199">
        <f t="shared" si="15"/>
        <v>0</v>
      </c>
      <c r="Z166" s="202">
        <f t="shared" si="16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206.0</v>
      </c>
      <c r="B167" s="193"/>
      <c r="C167" s="193"/>
      <c r="D167" s="193"/>
      <c r="E167" s="193"/>
      <c r="F167" s="193">
        <f t="shared" si="6"/>
        <v>0</v>
      </c>
      <c r="G167" s="193">
        <f t="shared" si="7"/>
        <v>0</v>
      </c>
      <c r="H167" s="194">
        <f t="shared" si="8"/>
        <v>0</v>
      </c>
      <c r="I167" s="193"/>
      <c r="J167" s="195">
        <f t="shared" si="9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10"/>
        <v>0</v>
      </c>
      <c r="T167" s="200" t="str">
        <f t="shared" si="11"/>
        <v/>
      </c>
      <c r="U167" s="200">
        <f t="shared" si="12"/>
        <v>0</v>
      </c>
      <c r="V167" s="203"/>
      <c r="W167" s="199">
        <f t="shared" ref="W167:X167" si="158">C167/100</f>
        <v>0</v>
      </c>
      <c r="X167" s="199">
        <f t="shared" si="158"/>
        <v>0</v>
      </c>
      <c r="Y167" s="199">
        <f t="shared" si="15"/>
        <v>0</v>
      </c>
      <c r="Z167" s="202">
        <f t="shared" si="16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207.0</v>
      </c>
      <c r="B168" s="193"/>
      <c r="C168" s="193"/>
      <c r="D168" s="193"/>
      <c r="E168" s="193"/>
      <c r="F168" s="193">
        <f t="shared" si="6"/>
        <v>0</v>
      </c>
      <c r="G168" s="193">
        <f t="shared" si="7"/>
        <v>0</v>
      </c>
      <c r="H168" s="194">
        <f t="shared" si="8"/>
        <v>0</v>
      </c>
      <c r="I168" s="193"/>
      <c r="J168" s="195">
        <f t="shared" si="9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10"/>
        <v>0</v>
      </c>
      <c r="T168" s="200" t="str">
        <f t="shared" si="11"/>
        <v/>
      </c>
      <c r="U168" s="200">
        <f t="shared" si="12"/>
        <v>0</v>
      </c>
      <c r="V168" s="203"/>
      <c r="W168" s="199">
        <f t="shared" ref="W168:X168" si="159">C168/100</f>
        <v>0</v>
      </c>
      <c r="X168" s="199">
        <f t="shared" si="159"/>
        <v>0</v>
      </c>
      <c r="Y168" s="199">
        <f t="shared" si="15"/>
        <v>0</v>
      </c>
      <c r="Z168" s="202">
        <f t="shared" si="16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208.0</v>
      </c>
      <c r="B169" s="193"/>
      <c r="C169" s="193"/>
      <c r="D169" s="193"/>
      <c r="E169" s="193"/>
      <c r="F169" s="193">
        <f t="shared" si="6"/>
        <v>0</v>
      </c>
      <c r="G169" s="193">
        <f t="shared" si="7"/>
        <v>0</v>
      </c>
      <c r="H169" s="194">
        <f t="shared" si="8"/>
        <v>0</v>
      </c>
      <c r="I169" s="193"/>
      <c r="J169" s="195">
        <f t="shared" si="9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10"/>
        <v>0</v>
      </c>
      <c r="T169" s="200" t="str">
        <f t="shared" si="11"/>
        <v/>
      </c>
      <c r="U169" s="200">
        <f t="shared" si="12"/>
        <v>0</v>
      </c>
      <c r="V169" s="203"/>
      <c r="W169" s="199">
        <f t="shared" ref="W169:X169" si="160">C169/100</f>
        <v>0</v>
      </c>
      <c r="X169" s="199">
        <f t="shared" si="160"/>
        <v>0</v>
      </c>
      <c r="Y169" s="199">
        <f t="shared" si="15"/>
        <v>0</v>
      </c>
      <c r="Z169" s="202">
        <f t="shared" si="16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209.0</v>
      </c>
      <c r="B170" s="193"/>
      <c r="C170" s="193"/>
      <c r="D170" s="193"/>
      <c r="E170" s="193"/>
      <c r="F170" s="193">
        <f t="shared" si="6"/>
        <v>0</v>
      </c>
      <c r="G170" s="193">
        <f t="shared" si="7"/>
        <v>0</v>
      </c>
      <c r="H170" s="194">
        <f t="shared" si="8"/>
        <v>0</v>
      </c>
      <c r="I170" s="193"/>
      <c r="J170" s="195">
        <f t="shared" si="9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10"/>
        <v>0</v>
      </c>
      <c r="T170" s="200" t="str">
        <f t="shared" si="11"/>
        <v/>
      </c>
      <c r="U170" s="200">
        <f t="shared" si="12"/>
        <v>0</v>
      </c>
      <c r="V170" s="203"/>
      <c r="W170" s="199">
        <f t="shared" ref="W170:X170" si="161">C170/100</f>
        <v>0</v>
      </c>
      <c r="X170" s="199">
        <f t="shared" si="161"/>
        <v>0</v>
      </c>
      <c r="Y170" s="199">
        <f t="shared" si="15"/>
        <v>0</v>
      </c>
      <c r="Z170" s="202">
        <f t="shared" si="16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210.0</v>
      </c>
      <c r="B171" s="193"/>
      <c r="C171" s="193"/>
      <c r="D171" s="193"/>
      <c r="E171" s="193"/>
      <c r="F171" s="193">
        <f t="shared" si="6"/>
        <v>0</v>
      </c>
      <c r="G171" s="193">
        <f t="shared" si="7"/>
        <v>0</v>
      </c>
      <c r="H171" s="194">
        <f t="shared" si="8"/>
        <v>0</v>
      </c>
      <c r="I171" s="193"/>
      <c r="J171" s="195">
        <f t="shared" si="9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10"/>
        <v>0</v>
      </c>
      <c r="T171" s="200" t="str">
        <f t="shared" si="11"/>
        <v/>
      </c>
      <c r="U171" s="200">
        <f t="shared" si="12"/>
        <v>0</v>
      </c>
      <c r="V171" s="203"/>
      <c r="W171" s="199">
        <f t="shared" ref="W171:X171" si="162">C171/100</f>
        <v>0</v>
      </c>
      <c r="X171" s="199">
        <f t="shared" si="162"/>
        <v>0</v>
      </c>
      <c r="Y171" s="199">
        <f t="shared" si="15"/>
        <v>0</v>
      </c>
      <c r="Z171" s="202">
        <f t="shared" si="16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211.0</v>
      </c>
      <c r="B172" s="193"/>
      <c r="C172" s="193"/>
      <c r="D172" s="193"/>
      <c r="E172" s="193"/>
      <c r="F172" s="193">
        <f t="shared" si="6"/>
        <v>0</v>
      </c>
      <c r="G172" s="193">
        <f t="shared" si="7"/>
        <v>0</v>
      </c>
      <c r="H172" s="194">
        <f t="shared" si="8"/>
        <v>0</v>
      </c>
      <c r="I172" s="193"/>
      <c r="J172" s="195">
        <f t="shared" si="9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10"/>
        <v>0</v>
      </c>
      <c r="T172" s="200" t="str">
        <f t="shared" si="11"/>
        <v/>
      </c>
      <c r="U172" s="200">
        <f t="shared" si="12"/>
        <v>0</v>
      </c>
      <c r="V172" s="203"/>
      <c r="W172" s="199">
        <f t="shared" ref="W172:X172" si="163">C172/100</f>
        <v>0</v>
      </c>
      <c r="X172" s="199">
        <f t="shared" si="163"/>
        <v>0</v>
      </c>
      <c r="Y172" s="199">
        <f t="shared" si="15"/>
        <v>0</v>
      </c>
      <c r="Z172" s="202">
        <f t="shared" si="16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212.0</v>
      </c>
      <c r="B173" s="193"/>
      <c r="C173" s="193"/>
      <c r="D173" s="193"/>
      <c r="E173" s="193"/>
      <c r="F173" s="193">
        <f t="shared" si="6"/>
        <v>0</v>
      </c>
      <c r="G173" s="193">
        <f t="shared" si="7"/>
        <v>0</v>
      </c>
      <c r="H173" s="194">
        <f t="shared" si="8"/>
        <v>0</v>
      </c>
      <c r="I173" s="193"/>
      <c r="J173" s="195">
        <f t="shared" si="9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10"/>
        <v>0</v>
      </c>
      <c r="T173" s="200" t="str">
        <f t="shared" si="11"/>
        <v/>
      </c>
      <c r="U173" s="200">
        <f t="shared" si="12"/>
        <v>0</v>
      </c>
      <c r="V173" s="203"/>
      <c r="W173" s="199">
        <f t="shared" ref="W173:X173" si="164">C173/100</f>
        <v>0</v>
      </c>
      <c r="X173" s="199">
        <f t="shared" si="164"/>
        <v>0</v>
      </c>
      <c r="Y173" s="199">
        <f t="shared" si="15"/>
        <v>0</v>
      </c>
      <c r="Z173" s="202">
        <f t="shared" si="16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213.0</v>
      </c>
      <c r="B174" s="193"/>
      <c r="C174" s="193"/>
      <c r="D174" s="193"/>
      <c r="E174" s="193"/>
      <c r="F174" s="193">
        <f t="shared" si="6"/>
        <v>0</v>
      </c>
      <c r="G174" s="193">
        <f t="shared" si="7"/>
        <v>0</v>
      </c>
      <c r="H174" s="194">
        <f t="shared" si="8"/>
        <v>0</v>
      </c>
      <c r="I174" s="193"/>
      <c r="J174" s="195">
        <f t="shared" si="9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10"/>
        <v>0</v>
      </c>
      <c r="T174" s="200" t="str">
        <f t="shared" si="11"/>
        <v/>
      </c>
      <c r="U174" s="200">
        <f t="shared" si="12"/>
        <v>0</v>
      </c>
      <c r="V174" s="203"/>
      <c r="W174" s="199">
        <f t="shared" ref="W174:X174" si="165">C174/100</f>
        <v>0</v>
      </c>
      <c r="X174" s="199">
        <f t="shared" si="165"/>
        <v>0</v>
      </c>
      <c r="Y174" s="199">
        <f t="shared" si="15"/>
        <v>0</v>
      </c>
      <c r="Z174" s="202">
        <f t="shared" si="16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214.0</v>
      </c>
      <c r="B175" s="193"/>
      <c r="C175" s="193"/>
      <c r="D175" s="193"/>
      <c r="E175" s="193"/>
      <c r="F175" s="193">
        <f t="shared" si="6"/>
        <v>0</v>
      </c>
      <c r="G175" s="193">
        <f t="shared" si="7"/>
        <v>0</v>
      </c>
      <c r="H175" s="194">
        <f t="shared" si="8"/>
        <v>0</v>
      </c>
      <c r="I175" s="193"/>
      <c r="J175" s="195">
        <f t="shared" si="9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10"/>
        <v>0</v>
      </c>
      <c r="T175" s="200" t="str">
        <f t="shared" si="11"/>
        <v/>
      </c>
      <c r="U175" s="200">
        <f t="shared" si="12"/>
        <v>0</v>
      </c>
      <c r="V175" s="203"/>
      <c r="W175" s="199">
        <f t="shared" ref="W175:X175" si="166">C175/100</f>
        <v>0</v>
      </c>
      <c r="X175" s="199">
        <f t="shared" si="166"/>
        <v>0</v>
      </c>
      <c r="Y175" s="199">
        <f t="shared" si="15"/>
        <v>0</v>
      </c>
      <c r="Z175" s="202">
        <f t="shared" si="16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215.0</v>
      </c>
      <c r="B176" s="193"/>
      <c r="C176" s="193"/>
      <c r="D176" s="193"/>
      <c r="E176" s="193"/>
      <c r="F176" s="193">
        <f t="shared" si="6"/>
        <v>0</v>
      </c>
      <c r="G176" s="193">
        <f t="shared" si="7"/>
        <v>0</v>
      </c>
      <c r="H176" s="194">
        <f t="shared" si="8"/>
        <v>0</v>
      </c>
      <c r="I176" s="193"/>
      <c r="J176" s="195">
        <f t="shared" si="9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10"/>
        <v>0</v>
      </c>
      <c r="T176" s="200" t="str">
        <f t="shared" si="11"/>
        <v/>
      </c>
      <c r="U176" s="200">
        <f t="shared" si="12"/>
        <v>0</v>
      </c>
      <c r="V176" s="203"/>
      <c r="W176" s="199">
        <f t="shared" ref="W176:X176" si="167">C176/100</f>
        <v>0</v>
      </c>
      <c r="X176" s="199">
        <f t="shared" si="167"/>
        <v>0</v>
      </c>
      <c r="Y176" s="199">
        <f t="shared" si="15"/>
        <v>0</v>
      </c>
      <c r="Z176" s="202">
        <f t="shared" si="16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216.0</v>
      </c>
      <c r="B177" s="193"/>
      <c r="C177" s="193"/>
      <c r="D177" s="193"/>
      <c r="E177" s="193"/>
      <c r="F177" s="193">
        <f t="shared" si="6"/>
        <v>0</v>
      </c>
      <c r="G177" s="193">
        <f t="shared" si="7"/>
        <v>0</v>
      </c>
      <c r="H177" s="194">
        <f t="shared" si="8"/>
        <v>0</v>
      </c>
      <c r="I177" s="193"/>
      <c r="J177" s="195">
        <f t="shared" si="9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10"/>
        <v>0</v>
      </c>
      <c r="T177" s="200" t="str">
        <f t="shared" si="11"/>
        <v/>
      </c>
      <c r="U177" s="200">
        <f t="shared" si="12"/>
        <v>0</v>
      </c>
      <c r="V177" s="203"/>
      <c r="W177" s="199">
        <f t="shared" ref="W177:X177" si="168">C177/100</f>
        <v>0</v>
      </c>
      <c r="X177" s="199">
        <f t="shared" si="168"/>
        <v>0</v>
      </c>
      <c r="Y177" s="199">
        <f t="shared" si="15"/>
        <v>0</v>
      </c>
      <c r="Z177" s="202">
        <f t="shared" si="16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217.0</v>
      </c>
      <c r="B178" s="193"/>
      <c r="C178" s="193"/>
      <c r="D178" s="193"/>
      <c r="E178" s="193"/>
      <c r="F178" s="193">
        <f t="shared" si="6"/>
        <v>0</v>
      </c>
      <c r="G178" s="193">
        <f t="shared" si="7"/>
        <v>0</v>
      </c>
      <c r="H178" s="194">
        <f t="shared" si="8"/>
        <v>0</v>
      </c>
      <c r="I178" s="193"/>
      <c r="J178" s="195">
        <f t="shared" si="9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10"/>
        <v>0</v>
      </c>
      <c r="T178" s="200" t="str">
        <f t="shared" si="11"/>
        <v/>
      </c>
      <c r="U178" s="200">
        <f t="shared" si="12"/>
        <v>0</v>
      </c>
      <c r="V178" s="203"/>
      <c r="W178" s="199">
        <f t="shared" ref="W178:X178" si="169">C178/100</f>
        <v>0</v>
      </c>
      <c r="X178" s="199">
        <f t="shared" si="169"/>
        <v>0</v>
      </c>
      <c r="Y178" s="199">
        <f t="shared" si="15"/>
        <v>0</v>
      </c>
      <c r="Z178" s="202">
        <f t="shared" si="16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customHeight="1">
      <c r="A179" s="162"/>
      <c r="B179" s="178"/>
      <c r="C179" s="178"/>
      <c r="D179" s="178"/>
      <c r="E179" s="178"/>
      <c r="F179" s="178"/>
      <c r="G179" s="178"/>
      <c r="H179" s="181"/>
      <c r="I179" s="162"/>
      <c r="J179" s="204">
        <f>+Q234</f>
        <v>135.2</v>
      </c>
      <c r="K179" s="139"/>
      <c r="L179" s="139"/>
      <c r="M179" s="139"/>
      <c r="N179" s="139"/>
      <c r="O179" s="139"/>
      <c r="P179" s="139"/>
      <c r="Q179" s="139"/>
      <c r="R179" s="205"/>
      <c r="S179" s="199">
        <f t="shared" si="10"/>
        <v>0</v>
      </c>
      <c r="T179" s="200" t="str">
        <f t="shared" si="11"/>
        <v/>
      </c>
      <c r="U179" s="200">
        <f t="shared" si="12"/>
        <v>0</v>
      </c>
      <c r="V179" s="203"/>
      <c r="W179" s="199">
        <f t="shared" ref="W179:X179" si="170">C179/100</f>
        <v>0</v>
      </c>
      <c r="X179" s="199">
        <f t="shared" si="170"/>
        <v>0</v>
      </c>
      <c r="Y179" s="199">
        <f t="shared" si="15"/>
        <v>0</v>
      </c>
      <c r="Z179" s="202">
        <f t="shared" si="16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customHeight="1">
      <c r="A180" s="162"/>
      <c r="B180" s="206"/>
      <c r="C180" s="206"/>
      <c r="D180" s="206"/>
      <c r="E180" s="206"/>
      <c r="F180" s="206"/>
      <c r="G180" s="206"/>
      <c r="H180" s="207"/>
      <c r="I180" s="208">
        <f>SUM(I27:I178)</f>
        <v>35</v>
      </c>
      <c r="J180" s="209">
        <f>SUM(J27:J179)</f>
        <v>37974.33568</v>
      </c>
      <c r="K180" s="210"/>
      <c r="L180" s="210"/>
      <c r="M180" s="210"/>
      <c r="N180" s="210"/>
      <c r="O180" s="210"/>
      <c r="P180" s="210"/>
      <c r="Q180" s="210"/>
      <c r="R180" s="141"/>
      <c r="S180" s="210">
        <f>SUMIFS($T$27:$T$178,$S$27:$S$178,"&gt;=3")</f>
        <v>25</v>
      </c>
      <c r="T180" s="210">
        <f t="shared" ref="T180:U180" si="171">SUM(T27:T178)</f>
        <v>35</v>
      </c>
      <c r="U180" s="210">
        <f t="shared" si="171"/>
        <v>721.82</v>
      </c>
      <c r="V180" s="210"/>
      <c r="W180" s="210"/>
      <c r="X180" s="210"/>
      <c r="Y180" s="210"/>
      <c r="Z180" s="211">
        <f>SUM(Z27:Z179)</f>
        <v>1430.746394</v>
      </c>
      <c r="AA180" s="210"/>
      <c r="AB180" s="210"/>
      <c r="AC180" s="210"/>
      <c r="AD180" s="210"/>
      <c r="AE180" s="210"/>
      <c r="AF180" s="210"/>
      <c r="AG180" s="210"/>
      <c r="AH180" s="210"/>
      <c r="AI180" s="210"/>
      <c r="AJ180" s="210"/>
      <c r="AK180" s="210"/>
      <c r="AL180" s="210"/>
      <c r="AM180" s="210"/>
      <c r="AN180" s="210"/>
      <c r="AO180" s="210"/>
      <c r="AP180" s="210"/>
      <c r="AQ180" s="210"/>
      <c r="AR180" s="210"/>
      <c r="AS180" s="210"/>
      <c r="AT180" s="210"/>
    </row>
    <row r="181" ht="29.25" customHeight="1">
      <c r="A181" s="139"/>
      <c r="B181" s="139"/>
      <c r="C181" s="139"/>
      <c r="D181" s="139"/>
      <c r="E181" s="139"/>
      <c r="F181" s="139"/>
      <c r="G181" s="139"/>
      <c r="H181" s="140"/>
      <c r="I181" s="139"/>
      <c r="J181" s="139"/>
      <c r="K181" s="139"/>
      <c r="L181" s="139"/>
      <c r="M181" s="139"/>
      <c r="N181" s="139"/>
      <c r="O181" s="139"/>
      <c r="P181" s="139"/>
      <c r="Q181" s="139"/>
      <c r="R181" s="141"/>
      <c r="S181" s="203"/>
      <c r="T181" s="139">
        <f>+T180-S180</f>
        <v>10</v>
      </c>
      <c r="U181" s="139"/>
      <c r="V181" s="139"/>
      <c r="W181" s="139"/>
      <c r="X181" s="139"/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9.25" customHeight="1">
      <c r="A182" s="139"/>
      <c r="B182" s="139"/>
      <c r="C182" s="139"/>
      <c r="D182" s="139"/>
      <c r="E182" s="139"/>
      <c r="F182" s="139"/>
      <c r="G182" s="139"/>
      <c r="H182" s="140"/>
      <c r="I182" s="139"/>
      <c r="J182" s="139"/>
      <c r="K182" s="139"/>
      <c r="L182" s="139"/>
      <c r="M182" s="139"/>
      <c r="N182" s="139"/>
      <c r="O182" s="139"/>
      <c r="P182" s="139"/>
      <c r="Q182" s="139"/>
      <c r="R182" s="205"/>
      <c r="S182" s="139"/>
      <c r="T182" s="139" t="s">
        <v>48</v>
      </c>
      <c r="U182" s="139" t="s">
        <v>68</v>
      </c>
      <c r="V182" s="139"/>
      <c r="W182" s="139"/>
      <c r="X182" s="139"/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9.25" customHeight="1">
      <c r="A183" s="139"/>
      <c r="B183" s="139"/>
      <c r="C183" s="139"/>
      <c r="D183" s="139"/>
      <c r="E183" s="139"/>
      <c r="F183" s="139"/>
      <c r="G183" s="139"/>
      <c r="H183" s="140"/>
      <c r="I183" s="139"/>
      <c r="J183" s="139"/>
      <c r="K183" s="139"/>
      <c r="L183" s="139"/>
      <c r="M183" s="139"/>
      <c r="N183" s="139"/>
      <c r="O183" s="139"/>
      <c r="P183" s="139"/>
      <c r="Q183" s="139"/>
      <c r="R183" s="141"/>
      <c r="S183" s="139" t="s">
        <v>31</v>
      </c>
      <c r="T183" s="212">
        <f>SUMIFS($J$27:$J$178,$S$27:$S$178,"&gt;=3")</f>
        <v>36932.16776</v>
      </c>
      <c r="U183" s="213"/>
      <c r="V183" s="139"/>
      <c r="W183" s="139"/>
      <c r="X183" s="139"/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9.25" customHeight="1">
      <c r="A184" s="139" t="s">
        <v>32</v>
      </c>
      <c r="B184" s="139"/>
      <c r="C184" s="139"/>
      <c r="D184" s="139" t="s">
        <v>33</v>
      </c>
      <c r="E184" s="139"/>
      <c r="F184" s="139"/>
      <c r="G184" s="139"/>
      <c r="H184" s="140"/>
      <c r="I184" s="139"/>
      <c r="J184" s="139"/>
      <c r="K184" s="139"/>
      <c r="L184" s="139"/>
      <c r="M184" s="139"/>
      <c r="N184" s="139"/>
      <c r="O184" s="139"/>
      <c r="P184" s="139"/>
      <c r="Q184" s="139"/>
      <c r="R184" s="141"/>
      <c r="S184" s="139" t="s">
        <v>34</v>
      </c>
      <c r="T184" s="266">
        <f>J180-T183</f>
        <v>1042.167914</v>
      </c>
      <c r="U184" s="213">
        <f>+SUMIFS($U$27:$U$178,$S$27:$S$178,"&gt;=3")</f>
        <v>702.87</v>
      </c>
      <c r="V184" s="139"/>
      <c r="W184" s="139"/>
      <c r="X184" s="139"/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205"/>
      <c r="S185" s="139"/>
      <c r="T185" s="214">
        <f>+I180</f>
        <v>35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39.0" customHeight="1">
      <c r="A186" s="178"/>
      <c r="B186" s="162" t="s">
        <v>12</v>
      </c>
      <c r="C186" s="179" t="s">
        <v>69</v>
      </c>
      <c r="D186" s="52"/>
      <c r="E186" s="53"/>
      <c r="F186" s="180"/>
      <c r="G186" s="180"/>
      <c r="H186" s="181" t="s">
        <v>14</v>
      </c>
      <c r="I186" s="162" t="s">
        <v>15</v>
      </c>
      <c r="J186" s="162" t="s">
        <v>16</v>
      </c>
      <c r="K186" s="139"/>
      <c r="L186" s="139"/>
      <c r="M186" s="139"/>
      <c r="N186" s="139"/>
      <c r="O186" s="139"/>
      <c r="P186" s="139"/>
      <c r="Q186" s="139"/>
      <c r="R186" s="141"/>
      <c r="S186" s="139"/>
      <c r="T186" s="139"/>
      <c r="U186" s="139"/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customHeight="1">
      <c r="A187" s="155">
        <v>1.0</v>
      </c>
      <c r="B187" s="215" t="s">
        <v>94</v>
      </c>
      <c r="C187" s="215">
        <v>97.0</v>
      </c>
      <c r="D187" s="215">
        <v>163.0</v>
      </c>
      <c r="E187" s="215">
        <v>177.0</v>
      </c>
      <c r="F187" s="215">
        <f t="shared" ref="F187:F200" si="172">1-VALUE(IF(RIGHT(B187, 1)="%", RIGHT(B187, 3), 0))</f>
        <v>0.2</v>
      </c>
      <c r="G187" s="215">
        <f t="shared" ref="G187:G200" si="173">+Q187*C187/100*D187/100*E187/100</f>
        <v>0</v>
      </c>
      <c r="H187" s="216">
        <f t="shared" ref="H187:H200" si="174">IF(F187=0, G187, F187*G187)</f>
        <v>0</v>
      </c>
      <c r="I187" s="215"/>
      <c r="J187" s="217"/>
      <c r="K187" s="139"/>
      <c r="L187" s="178">
        <f t="shared" ref="L187:L195" si="175">D187*25.4/1000</f>
        <v>4.1402</v>
      </c>
      <c r="M187" s="162" t="str">
        <f t="shared" ref="M187:M191" si="176">+I187</f>
        <v/>
      </c>
      <c r="N187" s="162">
        <f t="shared" ref="N187:N191" si="177">M187*L187</f>
        <v>0</v>
      </c>
      <c r="O187" s="139"/>
      <c r="P187" s="139"/>
      <c r="Q187" s="139"/>
      <c r="R187" s="141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customHeight="1">
      <c r="A188" s="155">
        <v>2.0</v>
      </c>
      <c r="B188" s="215" t="s">
        <v>63</v>
      </c>
      <c r="C188" s="215">
        <v>98.0</v>
      </c>
      <c r="D188" s="215">
        <v>184.0</v>
      </c>
      <c r="E188" s="215">
        <v>181.0</v>
      </c>
      <c r="F188" s="215">
        <f t="shared" si="172"/>
        <v>0.2</v>
      </c>
      <c r="G188" s="215">
        <f t="shared" si="173"/>
        <v>0</v>
      </c>
      <c r="H188" s="216">
        <f t="shared" si="174"/>
        <v>0</v>
      </c>
      <c r="I188" s="215"/>
      <c r="J188" s="217">
        <f t="shared" ref="J188:J200" si="178">+I188*H188</f>
        <v>0</v>
      </c>
      <c r="K188" s="139"/>
      <c r="L188" s="178">
        <f t="shared" si="175"/>
        <v>4.6736</v>
      </c>
      <c r="M188" s="162" t="str">
        <f t="shared" si="176"/>
        <v/>
      </c>
      <c r="N188" s="162">
        <f t="shared" si="177"/>
        <v>0</v>
      </c>
      <c r="O188" s="139"/>
      <c r="P188" s="139"/>
      <c r="Q188" s="139"/>
      <c r="R188" s="139"/>
      <c r="S188" s="139"/>
      <c r="T188" s="139"/>
      <c r="U188" s="139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customHeight="1">
      <c r="A189" s="155">
        <v>3.0</v>
      </c>
      <c r="B189" s="218" t="s">
        <v>63</v>
      </c>
      <c r="C189" s="218">
        <v>97.0</v>
      </c>
      <c r="D189" s="218">
        <v>195.0</v>
      </c>
      <c r="E189" s="218">
        <v>174.0</v>
      </c>
      <c r="F189" s="218">
        <f t="shared" si="172"/>
        <v>0.2</v>
      </c>
      <c r="G189" s="218">
        <f t="shared" si="173"/>
        <v>0</v>
      </c>
      <c r="H189" s="219">
        <f t="shared" si="174"/>
        <v>0</v>
      </c>
      <c r="I189" s="218"/>
      <c r="J189" s="195">
        <f t="shared" si="178"/>
        <v>0</v>
      </c>
      <c r="K189" s="139"/>
      <c r="L189" s="178">
        <f t="shared" si="175"/>
        <v>4.953</v>
      </c>
      <c r="M189" s="162" t="str">
        <f t="shared" si="176"/>
        <v/>
      </c>
      <c r="N189" s="162">
        <f t="shared" si="177"/>
        <v>0</v>
      </c>
      <c r="O189" s="139"/>
      <c r="P189" s="139"/>
      <c r="Q189" s="139"/>
      <c r="R189" s="139"/>
      <c r="S189" s="220"/>
      <c r="T189" s="139"/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customHeight="1">
      <c r="A190" s="155">
        <v>4.0</v>
      </c>
      <c r="B190" s="218" t="s">
        <v>63</v>
      </c>
      <c r="C190" s="218">
        <v>92.0</v>
      </c>
      <c r="D190" s="218">
        <v>206.0</v>
      </c>
      <c r="E190" s="218">
        <v>190.0</v>
      </c>
      <c r="F190" s="218">
        <f t="shared" si="172"/>
        <v>0.2</v>
      </c>
      <c r="G190" s="218">
        <f t="shared" si="173"/>
        <v>0</v>
      </c>
      <c r="H190" s="219">
        <f t="shared" si="174"/>
        <v>0</v>
      </c>
      <c r="I190" s="218"/>
      <c r="J190" s="195">
        <f t="shared" si="178"/>
        <v>0</v>
      </c>
      <c r="K190" s="139"/>
      <c r="L190" s="178">
        <f t="shared" si="175"/>
        <v>5.2324</v>
      </c>
      <c r="M190" s="162" t="str">
        <f t="shared" si="176"/>
        <v/>
      </c>
      <c r="N190" s="162">
        <f t="shared" si="177"/>
        <v>0</v>
      </c>
      <c r="O190" s="139"/>
      <c r="P190" s="139"/>
      <c r="Q190" s="139"/>
      <c r="R190" s="139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customHeight="1">
      <c r="A191" s="155">
        <v>5.0</v>
      </c>
      <c r="B191" s="218" t="s">
        <v>146</v>
      </c>
      <c r="C191" s="218">
        <v>90.0</v>
      </c>
      <c r="D191" s="218">
        <v>204.0</v>
      </c>
      <c r="E191" s="218">
        <v>169.0</v>
      </c>
      <c r="F191" s="218">
        <f t="shared" si="172"/>
        <v>0.2</v>
      </c>
      <c r="G191" s="218">
        <f t="shared" si="173"/>
        <v>0</v>
      </c>
      <c r="H191" s="219">
        <f t="shared" si="174"/>
        <v>0</v>
      </c>
      <c r="I191" s="218"/>
      <c r="J191" s="195">
        <f t="shared" si="178"/>
        <v>0</v>
      </c>
      <c r="K191" s="139"/>
      <c r="L191" s="178">
        <f t="shared" si="175"/>
        <v>5.1816</v>
      </c>
      <c r="M191" s="162" t="str">
        <f t="shared" si="176"/>
        <v/>
      </c>
      <c r="N191" s="162">
        <f t="shared" si="177"/>
        <v>0</v>
      </c>
      <c r="O191" s="139"/>
      <c r="P191" s="139"/>
      <c r="Q191" s="139"/>
      <c r="R191" s="139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55">
        <v>6.0</v>
      </c>
      <c r="B192" s="218"/>
      <c r="C192" s="218"/>
      <c r="D192" s="218"/>
      <c r="E192" s="218"/>
      <c r="F192" s="218">
        <f t="shared" si="172"/>
        <v>1</v>
      </c>
      <c r="G192" s="218">
        <f t="shared" si="173"/>
        <v>0</v>
      </c>
      <c r="H192" s="219">
        <f t="shared" si="174"/>
        <v>0</v>
      </c>
      <c r="I192" s="218"/>
      <c r="J192" s="195">
        <f t="shared" si="178"/>
        <v>0</v>
      </c>
      <c r="K192" s="139"/>
      <c r="L192" s="139">
        <f t="shared" si="175"/>
        <v>0</v>
      </c>
      <c r="M192" s="221"/>
      <c r="N192" s="221"/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hidden="1" customHeight="1">
      <c r="A193" s="155">
        <v>7.0</v>
      </c>
      <c r="B193" s="218"/>
      <c r="C193" s="218"/>
      <c r="D193" s="218"/>
      <c r="E193" s="218"/>
      <c r="F193" s="218">
        <f t="shared" si="172"/>
        <v>1</v>
      </c>
      <c r="G193" s="218">
        <f t="shared" si="173"/>
        <v>0</v>
      </c>
      <c r="H193" s="219">
        <f t="shared" si="174"/>
        <v>0</v>
      </c>
      <c r="I193" s="218"/>
      <c r="J193" s="195">
        <f t="shared" si="178"/>
        <v>0</v>
      </c>
      <c r="K193" s="139"/>
      <c r="L193" s="139">
        <f t="shared" si="175"/>
        <v>0</v>
      </c>
      <c r="M193" s="221"/>
      <c r="N193" s="221"/>
      <c r="O193" s="139"/>
      <c r="P193" s="139"/>
      <c r="Q193" s="139"/>
      <c r="R193" s="139"/>
      <c r="S193" s="139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hidden="1" customHeight="1">
      <c r="A194" s="155">
        <v>8.0</v>
      </c>
      <c r="B194" s="218"/>
      <c r="C194" s="218"/>
      <c r="D194" s="218"/>
      <c r="E194" s="218"/>
      <c r="F194" s="218">
        <f t="shared" si="172"/>
        <v>1</v>
      </c>
      <c r="G194" s="218">
        <f t="shared" si="173"/>
        <v>0</v>
      </c>
      <c r="H194" s="219">
        <f t="shared" si="174"/>
        <v>0</v>
      </c>
      <c r="I194" s="218"/>
      <c r="J194" s="195">
        <f t="shared" si="178"/>
        <v>0</v>
      </c>
      <c r="K194" s="139"/>
      <c r="L194" s="139">
        <f t="shared" si="175"/>
        <v>0</v>
      </c>
      <c r="M194" s="221"/>
      <c r="N194" s="221"/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</row>
    <row r="195" ht="27.0" hidden="1" customHeight="1">
      <c r="A195" s="155">
        <v>9.0</v>
      </c>
      <c r="B195" s="218"/>
      <c r="C195" s="218"/>
      <c r="D195" s="218"/>
      <c r="E195" s="218"/>
      <c r="F195" s="218">
        <f t="shared" si="172"/>
        <v>1</v>
      </c>
      <c r="G195" s="218">
        <f t="shared" si="173"/>
        <v>0</v>
      </c>
      <c r="H195" s="219">
        <f t="shared" si="174"/>
        <v>0</v>
      </c>
      <c r="I195" s="218"/>
      <c r="J195" s="195">
        <f t="shared" si="178"/>
        <v>0</v>
      </c>
      <c r="K195" s="139"/>
      <c r="L195" s="139">
        <f t="shared" si="175"/>
        <v>0</v>
      </c>
      <c r="M195" s="221"/>
      <c r="N195" s="221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7.0" hidden="1" customHeight="1">
      <c r="A196" s="155">
        <v>10.0</v>
      </c>
      <c r="B196" s="193"/>
      <c r="C196" s="193"/>
      <c r="D196" s="193"/>
      <c r="E196" s="193"/>
      <c r="F196" s="193">
        <f t="shared" si="172"/>
        <v>1</v>
      </c>
      <c r="G196" s="193">
        <f t="shared" si="173"/>
        <v>0</v>
      </c>
      <c r="H196" s="194">
        <f t="shared" si="174"/>
        <v>0</v>
      </c>
      <c r="I196" s="193"/>
      <c r="J196" s="195">
        <f t="shared" si="178"/>
        <v>0</v>
      </c>
      <c r="K196" s="139"/>
      <c r="L196" s="139"/>
      <c r="M196" s="221"/>
      <c r="N196" s="221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7.0" hidden="1" customHeight="1">
      <c r="A197" s="155">
        <v>11.0</v>
      </c>
      <c r="B197" s="193"/>
      <c r="C197" s="193"/>
      <c r="D197" s="193"/>
      <c r="E197" s="193"/>
      <c r="F197" s="193">
        <f t="shared" si="172"/>
        <v>1</v>
      </c>
      <c r="G197" s="193">
        <f t="shared" si="173"/>
        <v>0</v>
      </c>
      <c r="H197" s="194">
        <f t="shared" si="174"/>
        <v>0</v>
      </c>
      <c r="I197" s="193"/>
      <c r="J197" s="195">
        <f t="shared" si="178"/>
        <v>0</v>
      </c>
      <c r="K197" s="139"/>
      <c r="L197" s="139"/>
      <c r="M197" s="221"/>
      <c r="N197" s="221"/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7.0" hidden="1" customHeight="1">
      <c r="A198" s="155">
        <v>12.0</v>
      </c>
      <c r="B198" s="193"/>
      <c r="C198" s="193"/>
      <c r="D198" s="193"/>
      <c r="E198" s="193"/>
      <c r="F198" s="193">
        <f t="shared" si="172"/>
        <v>1</v>
      </c>
      <c r="G198" s="193">
        <f t="shared" si="173"/>
        <v>0</v>
      </c>
      <c r="H198" s="194">
        <f t="shared" si="174"/>
        <v>0</v>
      </c>
      <c r="I198" s="193"/>
      <c r="J198" s="195">
        <f t="shared" si="178"/>
        <v>0</v>
      </c>
      <c r="K198" s="139"/>
      <c r="L198" s="139"/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7.0" hidden="1" customHeight="1">
      <c r="A199" s="155">
        <v>13.0</v>
      </c>
      <c r="B199" s="193"/>
      <c r="C199" s="193"/>
      <c r="D199" s="193"/>
      <c r="E199" s="193"/>
      <c r="F199" s="193">
        <f t="shared" si="172"/>
        <v>1</v>
      </c>
      <c r="G199" s="193">
        <f t="shared" si="173"/>
        <v>0</v>
      </c>
      <c r="H199" s="194">
        <f t="shared" si="174"/>
        <v>0</v>
      </c>
      <c r="I199" s="193"/>
      <c r="J199" s="195">
        <f t="shared" si="178"/>
        <v>0</v>
      </c>
      <c r="K199" s="139"/>
      <c r="L199" s="139"/>
      <c r="M199" s="221"/>
      <c r="N199" s="221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27.0" hidden="1" customHeight="1">
      <c r="A200" s="155">
        <v>14.0</v>
      </c>
      <c r="B200" s="193"/>
      <c r="C200" s="193"/>
      <c r="D200" s="193"/>
      <c r="E200" s="193"/>
      <c r="F200" s="193">
        <f t="shared" si="172"/>
        <v>1</v>
      </c>
      <c r="G200" s="193">
        <f t="shared" si="173"/>
        <v>0</v>
      </c>
      <c r="H200" s="194">
        <f t="shared" si="174"/>
        <v>0</v>
      </c>
      <c r="I200" s="193"/>
      <c r="J200" s="195">
        <f t="shared" si="178"/>
        <v>0</v>
      </c>
      <c r="K200" s="139"/>
      <c r="L200" s="139"/>
      <c r="M200" s="221"/>
      <c r="N200" s="221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4.75" customHeight="1">
      <c r="A201" s="162"/>
      <c r="B201" s="197"/>
      <c r="C201" s="197"/>
      <c r="D201" s="197"/>
      <c r="E201" s="197"/>
      <c r="F201" s="197"/>
      <c r="G201" s="197"/>
      <c r="H201" s="222" t="s">
        <v>38</v>
      </c>
      <c r="I201" s="197"/>
      <c r="J201" s="223">
        <f>SUM(J187:J200)</f>
        <v>0</v>
      </c>
      <c r="K201" s="139"/>
      <c r="L201" s="139"/>
      <c r="M201" s="139"/>
      <c r="N201" s="139"/>
      <c r="O201" s="139"/>
      <c r="P201" s="139"/>
      <c r="Q201" s="139"/>
      <c r="R201" s="141"/>
      <c r="S201" s="224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18.75" customHeight="1">
      <c r="A202" s="176"/>
      <c r="B202" s="144"/>
      <c r="C202" s="144"/>
      <c r="D202" s="144"/>
      <c r="E202" s="144"/>
      <c r="F202" s="144"/>
      <c r="G202" s="144"/>
      <c r="H202" s="145"/>
      <c r="I202" s="144"/>
      <c r="J202" s="177"/>
      <c r="K202" s="139"/>
      <c r="L202" s="139"/>
      <c r="M202" s="139"/>
      <c r="N202" s="139"/>
      <c r="O202" s="139"/>
      <c r="P202" s="139"/>
      <c r="Q202" s="139"/>
      <c r="R202" s="141"/>
      <c r="S202" s="224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18.75" customHeight="1">
      <c r="A203" s="139"/>
      <c r="B203" s="139"/>
      <c r="C203" s="139"/>
      <c r="D203" s="139"/>
      <c r="E203" s="139"/>
      <c r="F203" s="139"/>
      <c r="G203" s="139"/>
      <c r="H203" s="140"/>
      <c r="I203" s="139"/>
      <c r="J203" s="139"/>
      <c r="K203" s="139"/>
      <c r="L203" s="139"/>
      <c r="M203" s="139"/>
      <c r="N203" s="139"/>
      <c r="O203" s="139"/>
      <c r="P203" s="139"/>
      <c r="Q203" s="139"/>
      <c r="R203" s="141"/>
      <c r="S203" s="224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18.75" customHeight="1">
      <c r="A204" s="139"/>
      <c r="B204" s="139"/>
      <c r="C204" s="139"/>
      <c r="D204" s="139"/>
      <c r="E204" s="139"/>
      <c r="F204" s="139"/>
      <c r="G204" s="139"/>
      <c r="H204" s="140"/>
      <c r="I204" s="139"/>
      <c r="J204" s="139"/>
      <c r="K204" s="139"/>
      <c r="L204" s="139"/>
      <c r="M204" s="139"/>
      <c r="N204" s="139"/>
      <c r="O204" s="139"/>
      <c r="P204" s="139"/>
      <c r="Q204" s="139"/>
      <c r="R204" s="224"/>
      <c r="S204" s="224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18.75" customHeight="1">
      <c r="A205" s="139" t="s">
        <v>39</v>
      </c>
      <c r="B205" s="139"/>
      <c r="C205" s="139"/>
      <c r="D205" s="139"/>
      <c r="E205" s="139"/>
      <c r="F205" s="139"/>
      <c r="G205" s="139"/>
      <c r="H205" s="140"/>
      <c r="I205" s="139"/>
      <c r="J205" s="139"/>
      <c r="K205" s="139"/>
      <c r="L205" s="139"/>
      <c r="M205" s="139"/>
      <c r="N205" s="139"/>
      <c r="O205" s="139"/>
      <c r="P205" s="139"/>
      <c r="Q205" s="139"/>
      <c r="R205" s="224"/>
      <c r="S205" s="224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18.75" customHeight="1">
      <c r="A206" s="139"/>
      <c r="B206" s="139"/>
      <c r="C206" s="139"/>
      <c r="D206" s="139"/>
      <c r="E206" s="139"/>
      <c r="F206" s="139"/>
      <c r="G206" s="139"/>
      <c r="H206" s="140"/>
      <c r="I206" s="139"/>
      <c r="J206" s="139"/>
      <c r="K206" s="139"/>
      <c r="L206" s="139"/>
      <c r="M206" s="139"/>
      <c r="N206" s="139"/>
      <c r="O206" s="139"/>
      <c r="P206" s="139"/>
      <c r="Q206" s="139"/>
      <c r="R206" s="224"/>
      <c r="S206" s="224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42.0" customHeight="1">
      <c r="A207" s="178"/>
      <c r="B207" s="162" t="s">
        <v>12</v>
      </c>
      <c r="C207" s="179" t="s">
        <v>75</v>
      </c>
      <c r="D207" s="52"/>
      <c r="E207" s="53"/>
      <c r="F207" s="225"/>
      <c r="G207" s="225"/>
      <c r="H207" s="181" t="s">
        <v>14</v>
      </c>
      <c r="I207" s="226" t="s">
        <v>15</v>
      </c>
      <c r="J207" s="162" t="s">
        <v>16</v>
      </c>
      <c r="K207" s="139"/>
      <c r="L207" s="139"/>
      <c r="M207" s="139"/>
      <c r="N207" s="139"/>
      <c r="O207" s="139"/>
      <c r="P207" s="139"/>
      <c r="Q207" s="139"/>
      <c r="R207" s="224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4.75" customHeight="1">
      <c r="A208" s="162">
        <v>1.0</v>
      </c>
      <c r="B208" s="183" t="s">
        <v>57</v>
      </c>
      <c r="C208" s="200"/>
      <c r="D208" s="200"/>
      <c r="E208" s="200"/>
      <c r="F208" s="200"/>
      <c r="G208" s="200"/>
      <c r="H208" s="227">
        <v>43.0</v>
      </c>
      <c r="I208" s="200">
        <v>1.0</v>
      </c>
      <c r="J208" s="195">
        <f t="shared" ref="J208:J232" si="179">+I208*H208</f>
        <v>43</v>
      </c>
      <c r="K208" s="178"/>
      <c r="L208" s="178"/>
      <c r="M208" s="178"/>
      <c r="N208" s="178"/>
      <c r="O208" s="178"/>
      <c r="P208" s="178"/>
      <c r="Q208" s="228"/>
      <c r="R208" s="224"/>
      <c r="S208" s="224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4.75" customHeight="1">
      <c r="A209" s="162">
        <v>2.0</v>
      </c>
      <c r="B209" s="193" t="s">
        <v>57</v>
      </c>
      <c r="C209" s="200"/>
      <c r="D209" s="200"/>
      <c r="E209" s="200"/>
      <c r="F209" s="200"/>
      <c r="G209" s="200"/>
      <c r="H209" s="227">
        <v>26.0</v>
      </c>
      <c r="I209" s="200">
        <v>1.0</v>
      </c>
      <c r="J209" s="195">
        <f t="shared" si="179"/>
        <v>26</v>
      </c>
      <c r="K209" s="178"/>
      <c r="L209" s="178"/>
      <c r="M209" s="178"/>
      <c r="N209" s="178"/>
      <c r="O209" s="178"/>
      <c r="P209" s="178"/>
      <c r="Q209" s="228"/>
      <c r="R209" s="224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4.75" customHeight="1">
      <c r="A210" s="162">
        <v>3.0</v>
      </c>
      <c r="B210" s="183" t="s">
        <v>55</v>
      </c>
      <c r="C210" s="200"/>
      <c r="D210" s="200"/>
      <c r="E210" s="200"/>
      <c r="F210" s="200"/>
      <c r="G210" s="200"/>
      <c r="H210" s="227">
        <v>46.0</v>
      </c>
      <c r="I210" s="200">
        <v>1.0</v>
      </c>
      <c r="J210" s="195">
        <f t="shared" si="179"/>
        <v>46</v>
      </c>
      <c r="K210" s="178"/>
      <c r="L210" s="178"/>
      <c r="M210" s="178"/>
      <c r="N210" s="178"/>
      <c r="O210" s="178"/>
      <c r="P210" s="178"/>
      <c r="Q210" s="228"/>
      <c r="R210" s="224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4.75" customHeight="1">
      <c r="A211" s="162">
        <v>4.0</v>
      </c>
      <c r="B211" s="193" t="s">
        <v>55</v>
      </c>
      <c r="C211" s="200"/>
      <c r="D211" s="200"/>
      <c r="E211" s="200"/>
      <c r="F211" s="200"/>
      <c r="G211" s="200"/>
      <c r="H211" s="227">
        <v>30.0</v>
      </c>
      <c r="I211" s="200">
        <v>1.0</v>
      </c>
      <c r="J211" s="195">
        <f t="shared" si="179"/>
        <v>30</v>
      </c>
      <c r="K211" s="178"/>
      <c r="L211" s="178"/>
      <c r="M211" s="178"/>
      <c r="N211" s="178"/>
      <c r="O211" s="178"/>
      <c r="P211" s="178"/>
      <c r="Q211" s="228"/>
      <c r="R211" s="224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4.75" customHeight="1">
      <c r="A212" s="162">
        <v>5.0</v>
      </c>
      <c r="B212" s="183" t="s">
        <v>55</v>
      </c>
      <c r="C212" s="200"/>
      <c r="D212" s="200"/>
      <c r="E212" s="200"/>
      <c r="F212" s="200"/>
      <c r="G212" s="200"/>
      <c r="H212" s="227">
        <v>39.0</v>
      </c>
      <c r="I212" s="200">
        <v>1.0</v>
      </c>
      <c r="J212" s="195">
        <f t="shared" si="179"/>
        <v>39</v>
      </c>
      <c r="K212" s="178"/>
      <c r="L212" s="178"/>
      <c r="M212" s="178"/>
      <c r="N212" s="178"/>
      <c r="O212" s="178"/>
      <c r="P212" s="178"/>
      <c r="Q212" s="228"/>
      <c r="R212" s="224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4.75" customHeight="1">
      <c r="A213" s="162">
        <v>6.0</v>
      </c>
      <c r="B213" s="193" t="s">
        <v>55</v>
      </c>
      <c r="C213" s="200"/>
      <c r="D213" s="200"/>
      <c r="E213" s="200"/>
      <c r="F213" s="200"/>
      <c r="G213" s="200"/>
      <c r="H213" s="227">
        <v>36.0</v>
      </c>
      <c r="I213" s="200">
        <v>1.0</v>
      </c>
      <c r="J213" s="195">
        <f t="shared" si="179"/>
        <v>36</v>
      </c>
      <c r="K213" s="178"/>
      <c r="L213" s="178"/>
      <c r="M213" s="178"/>
      <c r="N213" s="178"/>
      <c r="O213" s="178"/>
      <c r="P213" s="178"/>
      <c r="Q213" s="228"/>
      <c r="R213" s="224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4.75" customHeight="1">
      <c r="A214" s="162">
        <v>7.0</v>
      </c>
      <c r="B214" s="183" t="s">
        <v>55</v>
      </c>
      <c r="C214" s="200"/>
      <c r="D214" s="200"/>
      <c r="E214" s="200"/>
      <c r="F214" s="200"/>
      <c r="G214" s="200"/>
      <c r="H214" s="227">
        <v>36.0</v>
      </c>
      <c r="I214" s="200">
        <v>1.0</v>
      </c>
      <c r="J214" s="195">
        <f t="shared" si="179"/>
        <v>36</v>
      </c>
      <c r="K214" s="178"/>
      <c r="L214" s="178"/>
      <c r="M214" s="178"/>
      <c r="N214" s="178"/>
      <c r="O214" s="178"/>
      <c r="P214" s="178"/>
      <c r="Q214" s="228"/>
      <c r="R214" s="224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4.75" customHeight="1">
      <c r="A215" s="162">
        <v>8.0</v>
      </c>
      <c r="B215" s="193" t="s">
        <v>55</v>
      </c>
      <c r="C215" s="200"/>
      <c r="D215" s="200"/>
      <c r="E215" s="200"/>
      <c r="F215" s="200"/>
      <c r="G215" s="200"/>
      <c r="H215" s="227">
        <v>35.0</v>
      </c>
      <c r="I215" s="200">
        <v>1.0</v>
      </c>
      <c r="J215" s="195">
        <f t="shared" si="179"/>
        <v>35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4.75" customHeight="1">
      <c r="A216" s="162">
        <v>9.0</v>
      </c>
      <c r="B216" s="183" t="s">
        <v>144</v>
      </c>
      <c r="C216" s="200"/>
      <c r="D216" s="200"/>
      <c r="E216" s="200"/>
      <c r="F216" s="200"/>
      <c r="G216" s="200"/>
      <c r="H216" s="227">
        <v>25.0</v>
      </c>
      <c r="I216" s="200">
        <v>1.0</v>
      </c>
      <c r="J216" s="195">
        <f t="shared" si="179"/>
        <v>25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4.75" customHeight="1">
      <c r="A217" s="162">
        <v>10.0</v>
      </c>
      <c r="B217" s="193" t="s">
        <v>144</v>
      </c>
      <c r="C217" s="200"/>
      <c r="D217" s="200"/>
      <c r="E217" s="200"/>
      <c r="F217" s="200"/>
      <c r="G217" s="200"/>
      <c r="H217" s="227">
        <v>22.0</v>
      </c>
      <c r="I217" s="200">
        <v>1.0</v>
      </c>
      <c r="J217" s="195">
        <f t="shared" si="179"/>
        <v>22</v>
      </c>
      <c r="K217" s="178"/>
      <c r="L217" s="178"/>
      <c r="M217" s="178"/>
      <c r="N217" s="178"/>
      <c r="O217" s="178"/>
      <c r="P217" s="178"/>
      <c r="Q217" s="228"/>
      <c r="R217" s="224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hidden="1" customHeight="1">
      <c r="A218" s="162">
        <v>21.0</v>
      </c>
      <c r="B218" s="229"/>
      <c r="C218" s="200"/>
      <c r="D218" s="200"/>
      <c r="E218" s="200"/>
      <c r="F218" s="200"/>
      <c r="G218" s="200"/>
      <c r="H218" s="227"/>
      <c r="I218" s="200"/>
      <c r="J218" s="195">
        <f t="shared" si="179"/>
        <v>0</v>
      </c>
      <c r="K218" s="178"/>
      <c r="L218" s="178"/>
      <c r="M218" s="178"/>
      <c r="N218" s="178"/>
      <c r="O218" s="178"/>
      <c r="P218" s="178"/>
      <c r="Q218" s="228"/>
      <c r="R218" s="224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24.75" hidden="1" customHeight="1">
      <c r="A219" s="162">
        <v>22.0</v>
      </c>
      <c r="B219" s="229"/>
      <c r="C219" s="200"/>
      <c r="D219" s="200"/>
      <c r="E219" s="200"/>
      <c r="F219" s="200"/>
      <c r="G219" s="200"/>
      <c r="H219" s="227"/>
      <c r="I219" s="200"/>
      <c r="J219" s="195">
        <f t="shared" si="179"/>
        <v>0</v>
      </c>
      <c r="K219" s="178"/>
      <c r="L219" s="178"/>
      <c r="M219" s="178"/>
      <c r="N219" s="178"/>
      <c r="O219" s="178"/>
      <c r="P219" s="178"/>
      <c r="Q219" s="139"/>
      <c r="R219" s="139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24.75" hidden="1" customHeight="1">
      <c r="A220" s="162">
        <v>23.0</v>
      </c>
      <c r="B220" s="229"/>
      <c r="C220" s="200"/>
      <c r="D220" s="200"/>
      <c r="E220" s="200"/>
      <c r="F220" s="200"/>
      <c r="G220" s="200"/>
      <c r="H220" s="227"/>
      <c r="I220" s="200"/>
      <c r="J220" s="195">
        <f t="shared" si="179"/>
        <v>0</v>
      </c>
      <c r="K220" s="178"/>
      <c r="L220" s="178"/>
      <c r="M220" s="178"/>
      <c r="N220" s="178"/>
      <c r="O220" s="178"/>
      <c r="P220" s="178"/>
      <c r="Q220" s="139"/>
      <c r="R220" s="139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24.75" hidden="1" customHeight="1">
      <c r="A221" s="162">
        <v>24.0</v>
      </c>
      <c r="B221" s="229"/>
      <c r="C221" s="200"/>
      <c r="D221" s="200"/>
      <c r="E221" s="200"/>
      <c r="F221" s="200"/>
      <c r="G221" s="200"/>
      <c r="H221" s="227"/>
      <c r="I221" s="200"/>
      <c r="J221" s="195">
        <f t="shared" si="179"/>
        <v>0</v>
      </c>
      <c r="K221" s="178"/>
      <c r="L221" s="178"/>
      <c r="M221" s="178"/>
      <c r="N221" s="178"/>
      <c r="O221" s="178"/>
      <c r="P221" s="178"/>
      <c r="Q221" s="139"/>
      <c r="R221" s="139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24.75" hidden="1" customHeight="1">
      <c r="A222" s="162">
        <v>25.0</v>
      </c>
      <c r="B222" s="229"/>
      <c r="C222" s="200"/>
      <c r="D222" s="200"/>
      <c r="E222" s="200"/>
      <c r="F222" s="200"/>
      <c r="G222" s="200"/>
      <c r="H222" s="227"/>
      <c r="I222" s="200"/>
      <c r="J222" s="195">
        <f t="shared" si="179"/>
        <v>0</v>
      </c>
      <c r="K222" s="178"/>
      <c r="L222" s="178"/>
      <c r="M222" s="178"/>
      <c r="N222" s="178"/>
      <c r="O222" s="178"/>
      <c r="P222" s="178"/>
      <c r="Q222" s="139"/>
      <c r="R222" s="139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24.75" hidden="1" customHeight="1">
      <c r="A223" s="162">
        <v>26.0</v>
      </c>
      <c r="B223" s="229"/>
      <c r="C223" s="200"/>
      <c r="D223" s="200"/>
      <c r="E223" s="200"/>
      <c r="F223" s="200"/>
      <c r="G223" s="200"/>
      <c r="H223" s="227"/>
      <c r="I223" s="200"/>
      <c r="J223" s="195">
        <f t="shared" si="179"/>
        <v>0</v>
      </c>
      <c r="K223" s="178"/>
      <c r="L223" s="178"/>
      <c r="M223" s="178"/>
      <c r="N223" s="178"/>
      <c r="O223" s="178"/>
      <c r="P223" s="178"/>
      <c r="Q223" s="139"/>
      <c r="R223" s="139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24.75" hidden="1" customHeight="1">
      <c r="A224" s="162">
        <v>27.0</v>
      </c>
      <c r="B224" s="229"/>
      <c r="C224" s="200"/>
      <c r="D224" s="200"/>
      <c r="E224" s="200"/>
      <c r="F224" s="200"/>
      <c r="G224" s="200"/>
      <c r="H224" s="200"/>
      <c r="I224" s="200"/>
      <c r="J224" s="195">
        <f t="shared" si="179"/>
        <v>0</v>
      </c>
      <c r="K224" s="178"/>
      <c r="L224" s="178"/>
      <c r="M224" s="178"/>
      <c r="N224" s="178"/>
      <c r="O224" s="178"/>
      <c r="P224" s="178"/>
      <c r="Q224" s="139"/>
      <c r="R224" s="139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hidden="1" customHeight="1">
      <c r="A225" s="162">
        <v>28.0</v>
      </c>
      <c r="B225" s="229"/>
      <c r="C225" s="200"/>
      <c r="D225" s="200"/>
      <c r="E225" s="200"/>
      <c r="F225" s="200"/>
      <c r="G225" s="200"/>
      <c r="H225" s="200"/>
      <c r="I225" s="200"/>
      <c r="J225" s="195">
        <f t="shared" si="179"/>
        <v>0</v>
      </c>
      <c r="K225" s="178"/>
      <c r="L225" s="178"/>
      <c r="M225" s="178"/>
      <c r="N225" s="178"/>
      <c r="O225" s="178"/>
      <c r="P225" s="178"/>
      <c r="Q225" s="139"/>
      <c r="R225" s="139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hidden="1" customHeight="1">
      <c r="A226" s="162">
        <v>29.0</v>
      </c>
      <c r="B226" s="230"/>
      <c r="C226" s="200"/>
      <c r="D226" s="200"/>
      <c r="E226" s="200"/>
      <c r="F226" s="200"/>
      <c r="G226" s="200"/>
      <c r="H226" s="200"/>
      <c r="I226" s="200"/>
      <c r="J226" s="195">
        <f t="shared" si="179"/>
        <v>0</v>
      </c>
      <c r="K226" s="178"/>
      <c r="L226" s="178"/>
      <c r="M226" s="178"/>
      <c r="N226" s="178"/>
      <c r="O226" s="178"/>
      <c r="P226" s="178"/>
      <c r="Q226" s="139"/>
      <c r="R226" s="139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hidden="1" customHeight="1">
      <c r="A227" s="162">
        <v>30.0</v>
      </c>
      <c r="B227" s="230"/>
      <c r="C227" s="200"/>
      <c r="D227" s="200"/>
      <c r="E227" s="200"/>
      <c r="F227" s="200"/>
      <c r="G227" s="200"/>
      <c r="H227" s="227"/>
      <c r="I227" s="200"/>
      <c r="J227" s="195">
        <f t="shared" si="179"/>
        <v>0</v>
      </c>
      <c r="K227" s="178"/>
      <c r="L227" s="178"/>
      <c r="M227" s="178"/>
      <c r="N227" s="178"/>
      <c r="O227" s="178"/>
      <c r="P227" s="178"/>
      <c r="Q227" s="139"/>
      <c r="R227" s="139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hidden="1" customHeight="1">
      <c r="A228" s="162">
        <v>31.0</v>
      </c>
      <c r="B228" s="218"/>
      <c r="C228" s="200"/>
      <c r="D228" s="200"/>
      <c r="E228" s="200"/>
      <c r="F228" s="200"/>
      <c r="G228" s="200"/>
      <c r="H228" s="227"/>
      <c r="I228" s="200"/>
      <c r="J228" s="195">
        <f t="shared" si="179"/>
        <v>0</v>
      </c>
      <c r="K228" s="178"/>
      <c r="L228" s="178"/>
      <c r="M228" s="178"/>
      <c r="N228" s="178"/>
      <c r="O228" s="178"/>
      <c r="P228" s="178"/>
      <c r="Q228" s="139"/>
      <c r="R228" s="139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hidden="1" customHeight="1">
      <c r="A229" s="162">
        <v>32.0</v>
      </c>
      <c r="B229" s="218"/>
      <c r="C229" s="162"/>
      <c r="D229" s="162"/>
      <c r="E229" s="162"/>
      <c r="F229" s="162"/>
      <c r="G229" s="162"/>
      <c r="H229" s="162"/>
      <c r="I229" s="162"/>
      <c r="J229" s="195">
        <f t="shared" si="179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hidden="1" customHeight="1">
      <c r="A230" s="162">
        <v>33.0</v>
      </c>
      <c r="B230" s="230"/>
      <c r="C230" s="162"/>
      <c r="D230" s="162"/>
      <c r="E230" s="162"/>
      <c r="F230" s="162"/>
      <c r="G230" s="162"/>
      <c r="H230" s="162"/>
      <c r="I230" s="162"/>
      <c r="J230" s="195">
        <f t="shared" si="179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hidden="1" customHeight="1">
      <c r="A231" s="162">
        <v>34.0</v>
      </c>
      <c r="B231" s="231"/>
      <c r="C231" s="162"/>
      <c r="D231" s="162"/>
      <c r="E231" s="162"/>
      <c r="F231" s="162"/>
      <c r="G231" s="162"/>
      <c r="H231" s="162"/>
      <c r="I231" s="162"/>
      <c r="J231" s="195">
        <f t="shared" si="179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hidden="1" customHeight="1">
      <c r="A232" s="162">
        <v>35.0</v>
      </c>
      <c r="B232" s="232"/>
      <c r="C232" s="162"/>
      <c r="D232" s="162"/>
      <c r="E232" s="162"/>
      <c r="F232" s="162"/>
      <c r="G232" s="162"/>
      <c r="H232" s="162"/>
      <c r="I232" s="162"/>
      <c r="J232" s="195">
        <f t="shared" si="179"/>
        <v>0</v>
      </c>
      <c r="K232" s="178"/>
      <c r="L232" s="178"/>
      <c r="M232" s="178"/>
      <c r="N232" s="178"/>
      <c r="O232" s="178"/>
      <c r="P232" s="178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18.75" customHeight="1">
      <c r="A233" s="139"/>
      <c r="B233" s="139"/>
      <c r="C233" s="139"/>
      <c r="D233" s="139"/>
      <c r="E233" s="139"/>
      <c r="F233" s="139"/>
      <c r="G233" s="139"/>
      <c r="H233" s="140" t="s">
        <v>38</v>
      </c>
      <c r="I233" s="139"/>
      <c r="J233" s="233">
        <f>SUM(J208:J232)</f>
        <v>338</v>
      </c>
      <c r="K233" s="234"/>
      <c r="L233" s="234"/>
      <c r="M233" s="234"/>
      <c r="N233" s="234"/>
      <c r="O233" s="234"/>
      <c r="P233" s="234"/>
      <c r="Q233" s="234"/>
      <c r="R233" s="139"/>
      <c r="S233" s="224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18.75" customHeight="1">
      <c r="A234" s="144"/>
      <c r="B234" s="144"/>
      <c r="C234" s="144"/>
      <c r="D234" s="144"/>
      <c r="E234" s="144"/>
      <c r="F234" s="144"/>
      <c r="G234" s="144"/>
      <c r="H234" s="145"/>
      <c r="I234" s="175"/>
      <c r="J234" s="206">
        <f>+J233*60%</f>
        <v>202.8</v>
      </c>
      <c r="K234" s="206"/>
      <c r="L234" s="206"/>
      <c r="M234" s="206"/>
      <c r="N234" s="206"/>
      <c r="O234" s="206"/>
      <c r="P234" s="206"/>
      <c r="Q234" s="206">
        <f>+J233*40%</f>
        <v>135.2</v>
      </c>
      <c r="R234" s="139"/>
      <c r="S234" s="224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18.75" customHeight="1">
      <c r="A235" s="139"/>
      <c r="B235" s="139"/>
      <c r="C235" s="139"/>
      <c r="D235" s="139"/>
      <c r="E235" s="139"/>
      <c r="F235" s="139"/>
      <c r="G235" s="139"/>
      <c r="H235" s="140"/>
      <c r="I235" s="139"/>
      <c r="J235" s="139"/>
      <c r="K235" s="139"/>
      <c r="L235" s="139"/>
      <c r="M235" s="139"/>
      <c r="N235" s="139"/>
      <c r="O235" s="139"/>
      <c r="P235" s="139"/>
      <c r="Q235" s="139"/>
      <c r="R235" s="139"/>
      <c r="S235" s="224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18.75" customHeight="1">
      <c r="A236" s="139"/>
      <c r="B236" s="139"/>
      <c r="C236" s="139"/>
      <c r="D236" s="139"/>
      <c r="E236" s="139"/>
      <c r="F236" s="139"/>
      <c r="G236" s="139"/>
      <c r="H236" s="140"/>
      <c r="I236" s="139"/>
      <c r="J236" s="139"/>
      <c r="K236" s="139"/>
      <c r="L236" s="139"/>
      <c r="M236" s="139"/>
      <c r="N236" s="139"/>
      <c r="O236" s="139"/>
      <c r="P236" s="139"/>
      <c r="Q236" s="139"/>
      <c r="R236" s="139"/>
      <c r="S236" s="224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19.5" customHeight="1">
      <c r="A237" s="235" t="s">
        <v>41</v>
      </c>
      <c r="B237" s="139"/>
      <c r="C237" s="139"/>
      <c r="D237" s="139"/>
      <c r="E237" s="139"/>
      <c r="F237" s="139"/>
      <c r="G237" s="139"/>
      <c r="H237" s="140"/>
      <c r="I237" s="139"/>
      <c r="J237" s="139"/>
      <c r="K237" s="139"/>
      <c r="L237" s="139"/>
      <c r="M237" s="139"/>
      <c r="N237" s="139"/>
      <c r="O237" s="139"/>
      <c r="P237" s="139"/>
      <c r="Q237" s="139"/>
      <c r="R237" s="139"/>
      <c r="S237" s="224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57.0" customHeight="1">
      <c r="A238" s="236"/>
      <c r="B238" s="237" t="s">
        <v>42</v>
      </c>
      <c r="C238" s="237" t="s">
        <v>43</v>
      </c>
      <c r="D238" s="237" t="s">
        <v>44</v>
      </c>
      <c r="E238" s="237" t="s">
        <v>45</v>
      </c>
      <c r="F238" s="237"/>
      <c r="G238" s="237"/>
      <c r="H238" s="238" t="s">
        <v>46</v>
      </c>
      <c r="I238" s="239" t="s">
        <v>47</v>
      </c>
      <c r="J238" s="139"/>
      <c r="K238" s="139"/>
      <c r="L238" s="139"/>
      <c r="M238" s="139"/>
      <c r="N238" s="139"/>
      <c r="O238" s="139"/>
      <c r="P238" s="139"/>
      <c r="Q238" s="139"/>
      <c r="R238" s="141"/>
      <c r="S238" s="224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18.75" customHeight="1">
      <c r="A239" s="240" t="s">
        <v>48</v>
      </c>
      <c r="B239" s="241">
        <f>+E20</f>
        <v>40892.6312</v>
      </c>
      <c r="C239" s="242">
        <f>+J180</f>
        <v>37974.33568</v>
      </c>
      <c r="D239" s="242">
        <f>+J201</f>
        <v>0</v>
      </c>
      <c r="E239" s="243">
        <f>J234</f>
        <v>202.8</v>
      </c>
      <c r="F239" s="243"/>
      <c r="G239" s="243"/>
      <c r="H239" s="244">
        <f>+I20</f>
        <v>1565.157998</v>
      </c>
      <c r="I239" s="245">
        <f>+B239-C239-D239-E239-H239</f>
        <v>1150.337527</v>
      </c>
      <c r="J239" s="139"/>
      <c r="K239" s="139"/>
      <c r="L239" s="139"/>
      <c r="M239" s="139"/>
      <c r="N239" s="139"/>
      <c r="O239" s="139"/>
      <c r="P239" s="139"/>
      <c r="Q239" s="139"/>
      <c r="R239" s="141"/>
      <c r="S239" s="224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19.5" customHeight="1">
      <c r="A240" s="246" t="s">
        <v>49</v>
      </c>
      <c r="B240" s="247"/>
      <c r="C240" s="248">
        <f>+C239/B239</f>
        <v>0.9286351736</v>
      </c>
      <c r="D240" s="248">
        <f>+D239/B239</f>
        <v>0</v>
      </c>
      <c r="E240" s="248">
        <f>+E239/B239</f>
        <v>0.004959328712</v>
      </c>
      <c r="F240" s="248"/>
      <c r="G240" s="248"/>
      <c r="H240" s="249">
        <f>+H239/B239</f>
        <v>0.03827481753</v>
      </c>
      <c r="I240" s="250">
        <f>+I239/B239</f>
        <v>0.02813068011</v>
      </c>
      <c r="J240" s="139"/>
      <c r="K240" s="139"/>
      <c r="L240" s="139"/>
      <c r="M240" s="139"/>
      <c r="N240" s="139"/>
      <c r="O240" s="139"/>
      <c r="P240" s="139"/>
      <c r="Q240" s="139"/>
      <c r="R240" s="141"/>
      <c r="S240" s="224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19.5" customHeight="1">
      <c r="A241" s="165"/>
      <c r="B241" s="221"/>
      <c r="C241" s="251"/>
      <c r="D241" s="251"/>
      <c r="E241" s="251"/>
      <c r="F241" s="251"/>
      <c r="G241" s="251"/>
      <c r="H241" s="252"/>
      <c r="I241" s="253"/>
      <c r="J241" s="139"/>
      <c r="K241" s="139"/>
      <c r="L241" s="139"/>
      <c r="M241" s="139"/>
      <c r="N241" s="139"/>
      <c r="O241" s="139"/>
      <c r="P241" s="139"/>
      <c r="Q241" s="139"/>
      <c r="R241" s="141"/>
      <c r="S241" s="224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18.75" customHeight="1">
      <c r="A242" s="254"/>
      <c r="B242" s="255"/>
      <c r="C242" s="255"/>
      <c r="D242" s="255" t="s">
        <v>50</v>
      </c>
      <c r="E242" s="255" t="s">
        <v>48</v>
      </c>
      <c r="F242" s="255"/>
      <c r="G242" s="255"/>
      <c r="H242" s="256">
        <f>+D239+E239+H239+I239</f>
        <v>2918.295525</v>
      </c>
      <c r="I242" s="257"/>
      <c r="J242" s="139"/>
      <c r="K242" s="139"/>
      <c r="L242" s="139"/>
      <c r="M242" s="139"/>
      <c r="N242" s="139"/>
      <c r="O242" s="139"/>
      <c r="P242" s="139"/>
      <c r="Q242" s="139"/>
      <c r="R242" s="141"/>
      <c r="S242" s="140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18.75" customHeight="1">
      <c r="A243" s="258"/>
      <c r="B243" s="139"/>
      <c r="C243" s="139"/>
      <c r="D243" s="139"/>
      <c r="E243" s="139" t="s">
        <v>49</v>
      </c>
      <c r="F243" s="139"/>
      <c r="G243" s="139"/>
      <c r="H243" s="252">
        <f>+H242/B239</f>
        <v>0.07136482636</v>
      </c>
      <c r="I243" s="259"/>
      <c r="J243" s="139"/>
      <c r="K243" s="139"/>
      <c r="L243" s="139"/>
      <c r="M243" s="139"/>
      <c r="N243" s="139"/>
      <c r="O243" s="139"/>
      <c r="P243" s="139"/>
      <c r="Q243" s="139"/>
      <c r="R243" s="141"/>
      <c r="S243" s="140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18.75" customHeight="1">
      <c r="A244" s="258"/>
      <c r="B244" s="139"/>
      <c r="C244" s="139" t="s">
        <v>51</v>
      </c>
      <c r="D244" s="139"/>
      <c r="E244" s="139"/>
      <c r="F244" s="139"/>
      <c r="G244" s="139"/>
      <c r="H244" s="140"/>
      <c r="I244" s="259"/>
      <c r="J244" s="139"/>
      <c r="K244" s="139"/>
      <c r="L244" s="139"/>
      <c r="M244" s="139"/>
      <c r="N244" s="139"/>
      <c r="O244" s="139"/>
      <c r="P244" s="139"/>
      <c r="Q244" s="139"/>
      <c r="R244" s="141"/>
      <c r="S244" s="140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18.75" customHeight="1">
      <c r="A245" s="258"/>
      <c r="B245" s="139"/>
      <c r="C245" s="139"/>
      <c r="D245" s="139" t="s">
        <v>52</v>
      </c>
      <c r="E245" s="139"/>
      <c r="F245" s="139"/>
      <c r="G245" s="139"/>
      <c r="H245" s="140">
        <f>+H244*(H242-H239)</f>
        <v>0</v>
      </c>
      <c r="I245" s="259"/>
      <c r="J245" s="139"/>
      <c r="K245" s="139"/>
      <c r="L245" s="139"/>
      <c r="M245" s="139"/>
      <c r="N245" s="139"/>
      <c r="O245" s="139"/>
      <c r="P245" s="139"/>
      <c r="Q245" s="139"/>
      <c r="R245" s="141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19.5" customHeight="1">
      <c r="A246" s="260"/>
      <c r="B246" s="261"/>
      <c r="C246" s="261"/>
      <c r="D246" s="261"/>
      <c r="E246" s="261"/>
      <c r="F246" s="261"/>
      <c r="G246" s="261"/>
      <c r="H246" s="262"/>
      <c r="I246" s="263"/>
      <c r="J246" s="139"/>
      <c r="K246" s="139"/>
      <c r="L246" s="139"/>
      <c r="M246" s="139"/>
      <c r="N246" s="139"/>
      <c r="O246" s="139"/>
      <c r="P246" s="139"/>
      <c r="Q246" s="139"/>
      <c r="R246" s="141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18.75" customHeight="1">
      <c r="A247" s="139"/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41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18.75" customHeight="1">
      <c r="A248" s="139"/>
      <c r="B248" s="139"/>
      <c r="C248" s="139"/>
      <c r="D248" s="139"/>
      <c r="E248" s="139"/>
      <c r="F248" s="139"/>
      <c r="G248" s="139"/>
      <c r="H248" s="140"/>
      <c r="I248" s="139"/>
      <c r="J248" s="139"/>
      <c r="K248" s="139"/>
      <c r="L248" s="139"/>
      <c r="M248" s="139"/>
      <c r="N248" s="139"/>
      <c r="O248" s="139"/>
      <c r="P248" s="139"/>
      <c r="Q248" s="139"/>
      <c r="R248" s="141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18.75" customHeight="1">
      <c r="A249" s="139"/>
      <c r="B249" s="139"/>
      <c r="C249" s="139"/>
      <c r="D249" s="139"/>
      <c r="E249" s="139"/>
      <c r="F249" s="139"/>
      <c r="G249" s="139"/>
      <c r="H249" s="140"/>
      <c r="I249" s="139"/>
      <c r="J249" s="139"/>
      <c r="K249" s="139"/>
      <c r="L249" s="139"/>
      <c r="M249" s="139"/>
      <c r="N249" s="139"/>
      <c r="O249" s="139"/>
      <c r="P249" s="139"/>
      <c r="Q249" s="139"/>
      <c r="R249" s="141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18.0" customHeight="1">
      <c r="A250" s="7"/>
      <c r="B250" s="7"/>
      <c r="C250" s="7"/>
      <c r="D250" s="7"/>
      <c r="E250" s="7"/>
      <c r="F250" s="7"/>
      <c r="G250" s="7"/>
      <c r="H250" s="264"/>
      <c r="I250" s="7"/>
      <c r="J250" s="7"/>
      <c r="K250" s="7"/>
      <c r="L250" s="7"/>
      <c r="M250" s="7"/>
      <c r="N250" s="7"/>
      <c r="O250" s="7"/>
      <c r="P250" s="7"/>
      <c r="Q250" s="7"/>
      <c r="R250" s="265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</row>
    <row r="251" ht="18.0" customHeight="1">
      <c r="A251" s="7"/>
      <c r="B251" s="7"/>
      <c r="C251" s="7"/>
      <c r="D251" s="7"/>
      <c r="E251" s="7"/>
      <c r="F251" s="7"/>
      <c r="G251" s="7"/>
      <c r="H251" s="264"/>
      <c r="I251" s="7"/>
      <c r="J251" s="7"/>
      <c r="K251" s="7"/>
      <c r="L251" s="7"/>
      <c r="M251" s="7"/>
      <c r="N251" s="7"/>
      <c r="O251" s="7"/>
      <c r="P251" s="7"/>
      <c r="Q251" s="7"/>
      <c r="R251" s="265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</row>
    <row r="252" ht="18.0" customHeight="1">
      <c r="A252" s="7"/>
      <c r="B252" s="7"/>
      <c r="C252" s="7"/>
      <c r="D252" s="7"/>
      <c r="E252" s="7"/>
      <c r="F252" s="7"/>
      <c r="G252" s="7"/>
      <c r="H252" s="264"/>
      <c r="I252" s="7"/>
      <c r="J252" s="7"/>
      <c r="K252" s="7"/>
      <c r="L252" s="7"/>
      <c r="M252" s="7"/>
      <c r="N252" s="7"/>
      <c r="O252" s="7"/>
      <c r="P252" s="7"/>
      <c r="Q252" s="7"/>
      <c r="R252" s="265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</row>
    <row r="253" ht="18.0" customHeight="1">
      <c r="A253" s="7"/>
      <c r="B253" s="7"/>
      <c r="C253" s="7"/>
      <c r="D253" s="7"/>
      <c r="E253" s="7"/>
      <c r="F253" s="7"/>
      <c r="G253" s="7"/>
      <c r="H253" s="264"/>
      <c r="I253" s="7"/>
      <c r="J253" s="7"/>
      <c r="K253" s="7"/>
      <c r="L253" s="7"/>
      <c r="M253" s="7"/>
      <c r="N253" s="7"/>
      <c r="O253" s="7"/>
      <c r="P253" s="7"/>
      <c r="Q253" s="7"/>
      <c r="R253" s="265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</row>
    <row r="254" ht="18.0" customHeight="1">
      <c r="A254" s="7"/>
      <c r="B254" s="7"/>
      <c r="C254" s="7"/>
      <c r="D254" s="7"/>
      <c r="E254" s="7"/>
      <c r="F254" s="7"/>
      <c r="G254" s="7"/>
      <c r="H254" s="264"/>
      <c r="I254" s="7"/>
      <c r="J254" s="7"/>
      <c r="K254" s="7"/>
      <c r="L254" s="7"/>
      <c r="M254" s="7"/>
      <c r="N254" s="7"/>
      <c r="O254" s="7"/>
      <c r="P254" s="7"/>
      <c r="Q254" s="7"/>
      <c r="R254" s="265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</row>
    <row r="255" ht="18.0" customHeight="1">
      <c r="A255" s="7"/>
      <c r="B255" s="7"/>
      <c r="C255" s="7"/>
      <c r="D255" s="7"/>
      <c r="E255" s="7"/>
      <c r="F255" s="7"/>
      <c r="G255" s="7"/>
      <c r="H255" s="264"/>
      <c r="I255" s="7"/>
      <c r="J255" s="7"/>
      <c r="K255" s="7"/>
      <c r="L255" s="7"/>
      <c r="M255" s="7"/>
      <c r="N255" s="7"/>
      <c r="O255" s="7"/>
      <c r="P255" s="7"/>
      <c r="Q255" s="7"/>
      <c r="R255" s="265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</row>
    <row r="256" ht="18.0" customHeight="1">
      <c r="A256" s="7"/>
      <c r="B256" s="7"/>
      <c r="C256" s="7"/>
      <c r="D256" s="7"/>
      <c r="E256" s="7"/>
      <c r="F256" s="7"/>
      <c r="G256" s="7"/>
      <c r="H256" s="264"/>
      <c r="I256" s="7"/>
      <c r="J256" s="7"/>
      <c r="K256" s="7"/>
      <c r="L256" s="7"/>
      <c r="M256" s="7"/>
      <c r="N256" s="7"/>
      <c r="O256" s="7"/>
      <c r="P256" s="7"/>
      <c r="Q256" s="7"/>
      <c r="R256" s="265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</row>
    <row r="257" ht="18.0" customHeight="1">
      <c r="A257" s="7"/>
      <c r="B257" s="7"/>
      <c r="C257" s="7"/>
      <c r="D257" s="7"/>
      <c r="E257" s="7"/>
      <c r="F257" s="7"/>
      <c r="G257" s="7"/>
      <c r="H257" s="264"/>
      <c r="I257" s="7"/>
      <c r="J257" s="7"/>
      <c r="K257" s="7"/>
      <c r="L257" s="7"/>
      <c r="M257" s="7"/>
      <c r="N257" s="7"/>
      <c r="O257" s="7"/>
      <c r="P257" s="7"/>
      <c r="Q257" s="7"/>
      <c r="R257" s="265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</row>
    <row r="258" ht="18.0" customHeight="1">
      <c r="A258" s="7"/>
      <c r="B258" s="7"/>
      <c r="C258" s="7"/>
      <c r="D258" s="7"/>
      <c r="E258" s="7"/>
      <c r="F258" s="7"/>
      <c r="G258" s="7"/>
      <c r="H258" s="264"/>
      <c r="I258" s="7"/>
      <c r="J258" s="7"/>
      <c r="K258" s="7"/>
      <c r="L258" s="7"/>
      <c r="M258" s="7"/>
      <c r="N258" s="7"/>
      <c r="O258" s="7"/>
      <c r="P258" s="7"/>
      <c r="Q258" s="7"/>
      <c r="R258" s="265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</row>
    <row r="259" ht="18.0" customHeight="1">
      <c r="A259" s="7"/>
      <c r="B259" s="7"/>
      <c r="C259" s="7"/>
      <c r="D259" s="7"/>
      <c r="E259" s="7"/>
      <c r="F259" s="7"/>
      <c r="G259" s="7"/>
      <c r="H259" s="264"/>
      <c r="I259" s="7"/>
      <c r="J259" s="7"/>
      <c r="K259" s="7"/>
      <c r="L259" s="7"/>
      <c r="M259" s="7"/>
      <c r="N259" s="7"/>
      <c r="O259" s="7"/>
      <c r="P259" s="7"/>
      <c r="Q259" s="7"/>
      <c r="R259" s="265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0:D20"/>
    <mergeCell ref="E21:H21"/>
    <mergeCell ref="C26:E26"/>
    <mergeCell ref="C186:E186"/>
    <mergeCell ref="C207:E207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46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44557.0</v>
      </c>
      <c r="J4" s="139" t="str">
        <f>+B8&amp;"/"&amp;B9&amp;"/"&amp;B10&amp;"/"&amp;B11&amp;"/"&amp;B12&amp;"/"&amp;B13&amp;"/"&amp;B14&amp;"/"&amp;B15&amp;"/"&amp;B16</f>
        <v>HRD2940/HRD2940/HRD2940/HRD2940/HRD2940/B280/D2080/D1650/D2550GT/D2070CC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180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+I263</f>
        <v>0.04834533527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55</v>
      </c>
      <c r="C8" s="155">
        <v>29.5</v>
      </c>
      <c r="D8" s="156">
        <v>0.0146</v>
      </c>
      <c r="E8" s="157">
        <f>252.8*49.6</f>
        <v>12538.88</v>
      </c>
      <c r="F8" s="157"/>
      <c r="G8" s="157"/>
      <c r="H8" s="158">
        <v>49.6</v>
      </c>
      <c r="I8" s="159">
        <f t="shared" ref="I8:I17" si="1">+D8*E8</f>
        <v>183.067648</v>
      </c>
      <c r="J8" s="160">
        <f t="shared" ref="J8:J17" si="2">E8-I8</f>
        <v>12355.81235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3.0</v>
      </c>
      <c r="B9" s="155" t="s">
        <v>55</v>
      </c>
      <c r="C9" s="155">
        <v>29.5</v>
      </c>
      <c r="D9" s="156">
        <v>0.0146</v>
      </c>
      <c r="E9" s="157">
        <f>245.58*22.1</f>
        <v>5427.318</v>
      </c>
      <c r="F9" s="157"/>
      <c r="G9" s="157"/>
      <c r="H9" s="158">
        <v>22.1</v>
      </c>
      <c r="I9" s="159">
        <f t="shared" si="1"/>
        <v>79.2388428</v>
      </c>
      <c r="J9" s="160">
        <f t="shared" si="2"/>
        <v>5348.079157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/>
      <c r="B10" s="155" t="s">
        <v>55</v>
      </c>
      <c r="C10" s="155">
        <v>29.5</v>
      </c>
      <c r="D10" s="156">
        <v>0.0146</v>
      </c>
      <c r="E10" s="157">
        <f>245.58*1</f>
        <v>245.58</v>
      </c>
      <c r="F10" s="157"/>
      <c r="G10" s="157"/>
      <c r="H10" s="158">
        <v>1.0</v>
      </c>
      <c r="I10" s="159">
        <f t="shared" si="1"/>
        <v>3.585468</v>
      </c>
      <c r="J10" s="160">
        <f t="shared" si="2"/>
        <v>241.994532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55</v>
      </c>
      <c r="C11" s="155">
        <v>29.5</v>
      </c>
      <c r="D11" s="156">
        <v>0.0146</v>
      </c>
      <c r="E11" s="164">
        <f>252.8*51</f>
        <v>12892.8</v>
      </c>
      <c r="F11" s="164"/>
      <c r="G11" s="164"/>
      <c r="H11" s="158">
        <v>51.0</v>
      </c>
      <c r="I11" s="159">
        <f t="shared" si="1"/>
        <v>188.23488</v>
      </c>
      <c r="J11" s="160">
        <f t="shared" si="2"/>
        <v>12704.56512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55" t="s">
        <v>55</v>
      </c>
      <c r="C12" s="155">
        <v>29.5</v>
      </c>
      <c r="D12" s="156">
        <v>0.0146</v>
      </c>
      <c r="E12" s="164">
        <f>252.8*12.4</f>
        <v>3134.72</v>
      </c>
      <c r="F12" s="164"/>
      <c r="G12" s="164"/>
      <c r="H12" s="158">
        <v>12.4</v>
      </c>
      <c r="I12" s="159">
        <f t="shared" si="1"/>
        <v>45.766912</v>
      </c>
      <c r="J12" s="160">
        <f t="shared" si="2"/>
        <v>3088.953088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7.0</v>
      </c>
      <c r="B13" s="162" t="s">
        <v>107</v>
      </c>
      <c r="C13" s="162">
        <v>20.5</v>
      </c>
      <c r="D13" s="163">
        <v>0.0862</v>
      </c>
      <c r="E13" s="164">
        <f>191.67*8.2</f>
        <v>1571.694</v>
      </c>
      <c r="F13" s="164"/>
      <c r="G13" s="164"/>
      <c r="H13" s="158">
        <v>8.2</v>
      </c>
      <c r="I13" s="159">
        <f t="shared" si="1"/>
        <v>135.4800228</v>
      </c>
      <c r="J13" s="160">
        <f t="shared" si="2"/>
        <v>1436.213977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8.0</v>
      </c>
      <c r="B14" s="162" t="s">
        <v>59</v>
      </c>
      <c r="C14" s="162">
        <v>16.5</v>
      </c>
      <c r="D14" s="163">
        <v>0.1057</v>
      </c>
      <c r="E14" s="164">
        <f>176.435*12.7</f>
        <v>2240.7245</v>
      </c>
      <c r="F14" s="164"/>
      <c r="G14" s="164"/>
      <c r="H14" s="158">
        <v>12.7</v>
      </c>
      <c r="I14" s="159">
        <f t="shared" si="1"/>
        <v>236.8445797</v>
      </c>
      <c r="J14" s="160">
        <f t="shared" si="2"/>
        <v>2003.87992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customHeight="1">
      <c r="A15" s="154">
        <v>9.0</v>
      </c>
      <c r="B15" s="162" t="s">
        <v>78</v>
      </c>
      <c r="C15" s="162">
        <v>25.5</v>
      </c>
      <c r="D15" s="163">
        <v>0.0577</v>
      </c>
      <c r="E15" s="164">
        <f>262.916*26.7</f>
        <v>7019.8572</v>
      </c>
      <c r="F15" s="164"/>
      <c r="G15" s="164"/>
      <c r="H15" s="158">
        <v>26.7</v>
      </c>
      <c r="I15" s="159">
        <f t="shared" si="1"/>
        <v>405.0457604</v>
      </c>
      <c r="J15" s="160">
        <f t="shared" si="2"/>
        <v>6614.81144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customHeight="1">
      <c r="A16" s="154">
        <v>10.0</v>
      </c>
      <c r="B16" s="162" t="s">
        <v>105</v>
      </c>
      <c r="C16" s="162">
        <v>20.5</v>
      </c>
      <c r="D16" s="163">
        <v>0.0813</v>
      </c>
      <c r="E16" s="164">
        <f>231.406*27.2</f>
        <v>6294.2432</v>
      </c>
      <c r="F16" s="164"/>
      <c r="G16" s="164"/>
      <c r="H16" s="158">
        <v>27.2</v>
      </c>
      <c r="I16" s="159">
        <f t="shared" si="1"/>
        <v>511.7219722</v>
      </c>
      <c r="J16" s="160">
        <f t="shared" si="2"/>
        <v>5782.521228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customHeight="1">
      <c r="A17" s="154">
        <v>11.0</v>
      </c>
      <c r="B17" s="162" t="s">
        <v>81</v>
      </c>
      <c r="C17" s="162">
        <v>18.5</v>
      </c>
      <c r="D17" s="163">
        <v>0.0999</v>
      </c>
      <c r="E17" s="164">
        <f>212.298*13.2</f>
        <v>2802.3336</v>
      </c>
      <c r="F17" s="164"/>
      <c r="G17" s="164"/>
      <c r="H17" s="158">
        <v>13.2</v>
      </c>
      <c r="I17" s="159">
        <f t="shared" si="1"/>
        <v>279.9531266</v>
      </c>
      <c r="J17" s="160">
        <f t="shared" si="2"/>
        <v>2522.380473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18.75" customHeight="1">
      <c r="A18" s="165"/>
      <c r="B18" s="166"/>
      <c r="C18" s="167"/>
      <c r="D18" s="168"/>
      <c r="E18" s="169">
        <f>SUM(E8:E17)</f>
        <v>54168.1505</v>
      </c>
      <c r="F18" s="170"/>
      <c r="G18" s="170"/>
      <c r="H18" s="171"/>
      <c r="I18" s="172">
        <f t="shared" ref="I18:J18" si="3">SUM(I8:I17)</f>
        <v>2068.939212</v>
      </c>
      <c r="J18" s="173">
        <f t="shared" si="3"/>
        <v>52099.21129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18.75" customHeight="1">
      <c r="A19" s="174"/>
      <c r="B19" s="144"/>
      <c r="C19" s="144"/>
      <c r="D19" s="175"/>
      <c r="E19" s="176"/>
      <c r="F19" s="151"/>
      <c r="G19" s="151"/>
      <c r="H19" s="147"/>
      <c r="I19" s="177"/>
      <c r="J19" s="139"/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18.75" customHeight="1">
      <c r="A20" s="139"/>
      <c r="B20" s="139"/>
      <c r="C20" s="139"/>
      <c r="D20" s="139"/>
      <c r="E20" s="139"/>
      <c r="F20" s="139"/>
      <c r="G20" s="139"/>
      <c r="H20" s="140"/>
      <c r="I20" s="139"/>
      <c r="J20" s="139"/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18.75" customHeight="1">
      <c r="A21" s="139"/>
      <c r="B21" s="139"/>
      <c r="C21" s="139"/>
      <c r="D21" s="139"/>
      <c r="E21" s="139"/>
      <c r="F21" s="139"/>
      <c r="G21" s="139"/>
      <c r="H21" s="140"/>
      <c r="I21" s="139"/>
      <c r="J21" s="139"/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39" t="s">
        <v>11</v>
      </c>
      <c r="B22" s="139"/>
      <c r="C22" s="139"/>
      <c r="D22" s="139"/>
      <c r="E22" s="139"/>
      <c r="F22" s="139"/>
      <c r="G22" s="139"/>
      <c r="H22" s="140"/>
      <c r="I22" s="139"/>
      <c r="J22" s="139"/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39"/>
      <c r="B23" s="139"/>
      <c r="C23" s="139"/>
      <c r="D23" s="139"/>
      <c r="E23" s="139"/>
      <c r="F23" s="139"/>
      <c r="G23" s="139"/>
      <c r="H23" s="140"/>
      <c r="I23" s="139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  <c r="AL23" s="139"/>
      <c r="AM23" s="139"/>
      <c r="AN23" s="139"/>
      <c r="AO23" s="139"/>
      <c r="AP23" s="139"/>
      <c r="AQ23" s="139"/>
      <c r="AR23" s="139"/>
      <c r="AS23" s="139"/>
      <c r="AT23" s="139"/>
    </row>
    <row r="24" ht="40.5" customHeight="1">
      <c r="A24" s="178"/>
      <c r="B24" s="162" t="s">
        <v>12</v>
      </c>
      <c r="C24" s="179" t="s">
        <v>60</v>
      </c>
      <c r="D24" s="52"/>
      <c r="E24" s="53"/>
      <c r="F24" s="180"/>
      <c r="G24" s="180"/>
      <c r="H24" s="181" t="s">
        <v>14</v>
      </c>
      <c r="I24" s="162" t="s">
        <v>15</v>
      </c>
      <c r="J24" s="162" t="s">
        <v>16</v>
      </c>
      <c r="K24" s="139"/>
      <c r="L24" s="162" t="s">
        <v>17</v>
      </c>
      <c r="M24" s="162" t="s">
        <v>15</v>
      </c>
      <c r="N24" s="178" t="s">
        <v>18</v>
      </c>
      <c r="O24" s="139"/>
      <c r="P24" s="139"/>
      <c r="Q24" s="178" t="s">
        <v>61</v>
      </c>
      <c r="R24" s="182"/>
      <c r="S24" s="162" t="s">
        <v>17</v>
      </c>
      <c r="T24" s="162" t="s">
        <v>15</v>
      </c>
      <c r="U24" s="178" t="s">
        <v>18</v>
      </c>
      <c r="V24" s="139"/>
      <c r="W24" s="178" t="s">
        <v>19</v>
      </c>
      <c r="X24" s="178" t="s">
        <v>20</v>
      </c>
      <c r="Y24" s="178" t="s">
        <v>21</v>
      </c>
      <c r="Z24" s="178" t="s">
        <v>181</v>
      </c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  <c r="AL24" s="139"/>
      <c r="AM24" s="139"/>
      <c r="AN24" s="139"/>
      <c r="AO24" s="139"/>
      <c r="AP24" s="139"/>
      <c r="AQ24" s="139"/>
      <c r="AR24" s="139"/>
      <c r="AS24" s="139"/>
      <c r="AT24" s="139"/>
    </row>
    <row r="25" ht="27.0" customHeight="1">
      <c r="A25" s="162">
        <v>1.0</v>
      </c>
      <c r="B25" s="183" t="s">
        <v>63</v>
      </c>
      <c r="C25" s="184">
        <v>89.0</v>
      </c>
      <c r="D25" s="184">
        <v>195.0</v>
      </c>
      <c r="E25" s="184">
        <v>177.0</v>
      </c>
      <c r="F25" s="184">
        <f t="shared" ref="F25:F192" si="5">VALUE(IF(RIGHT(B25, 1)="%", RIGHT(B25, 3), 0))</f>
        <v>0.8</v>
      </c>
      <c r="G25" s="184">
        <f t="shared" ref="G25:G192" si="6">+R25*C25/100*D25/100*E25/100</f>
        <v>92.15505</v>
      </c>
      <c r="H25" s="185">
        <f t="shared" ref="H25:H192" si="7">IF(F25=0, G25, F25*G25)</f>
        <v>73.72404</v>
      </c>
      <c r="I25" s="184">
        <v>1.0</v>
      </c>
      <c r="J25" s="186">
        <f t="shared" ref="J25:J192" si="8">+I25*H25</f>
        <v>73.72404</v>
      </c>
      <c r="K25" s="187"/>
      <c r="L25" s="188">
        <f>D25*25.4/1000</f>
        <v>4.953</v>
      </c>
      <c r="M25" s="189">
        <f>+I25</f>
        <v>1</v>
      </c>
      <c r="N25" s="189">
        <f>M25*L25</f>
        <v>4.953</v>
      </c>
      <c r="O25" s="187"/>
      <c r="P25" s="187"/>
      <c r="Q25" s="188">
        <v>96.0</v>
      </c>
      <c r="R25" s="190">
        <v>30.0</v>
      </c>
      <c r="S25" s="178">
        <f t="shared" ref="S25:S193" si="9">E25/100</f>
        <v>1.77</v>
      </c>
      <c r="T25" s="162">
        <f t="shared" ref="T25:T193" si="10">I25</f>
        <v>1</v>
      </c>
      <c r="U25" s="162">
        <f t="shared" ref="U25:U193" si="11">T25*S25</f>
        <v>1.77</v>
      </c>
      <c r="V25" s="191">
        <f t="shared" ref="V25:V75" si="12">R25*C25/100*D25/100*E25/100</f>
        <v>92.15505</v>
      </c>
      <c r="W25" s="178">
        <f t="shared" ref="W25:X25" si="4">C25/100</f>
        <v>0.89</v>
      </c>
      <c r="X25" s="178">
        <f t="shared" si="4"/>
        <v>1.95</v>
      </c>
      <c r="Y25" s="178">
        <f t="shared" ref="Y25:Y193" si="14">U25</f>
        <v>1.77</v>
      </c>
      <c r="Z25" s="192">
        <f t="shared" ref="Z25:Z193" si="15">W25*X25*Y25</f>
        <v>3.071835</v>
      </c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  <c r="AL25" s="139"/>
      <c r="AM25" s="139"/>
      <c r="AN25" s="139"/>
      <c r="AO25" s="139"/>
      <c r="AP25" s="139"/>
      <c r="AQ25" s="139"/>
      <c r="AR25" s="139"/>
      <c r="AS25" s="139"/>
      <c r="AT25" s="139"/>
    </row>
    <row r="26" ht="27.0" customHeight="1">
      <c r="A26" s="162">
        <v>2.0</v>
      </c>
      <c r="B26" s="193" t="s">
        <v>55</v>
      </c>
      <c r="C26" s="193">
        <v>95.0</v>
      </c>
      <c r="D26" s="193">
        <v>195.0</v>
      </c>
      <c r="E26" s="193">
        <v>192.0</v>
      </c>
      <c r="F26" s="193">
        <f t="shared" si="5"/>
        <v>0</v>
      </c>
      <c r="G26" s="193">
        <f t="shared" si="6"/>
        <v>106.704</v>
      </c>
      <c r="H26" s="194">
        <f t="shared" si="7"/>
        <v>106.704</v>
      </c>
      <c r="I26" s="193">
        <v>1.0</v>
      </c>
      <c r="J26" s="195">
        <f t="shared" si="8"/>
        <v>106.704</v>
      </c>
      <c r="K26" s="139"/>
      <c r="L26" s="178"/>
      <c r="M26" s="162"/>
      <c r="N26" s="162"/>
      <c r="O26" s="139"/>
      <c r="P26" s="139"/>
      <c r="Q26" s="178">
        <v>112.0</v>
      </c>
      <c r="R26" s="190">
        <v>30.0</v>
      </c>
      <c r="S26" s="178">
        <f t="shared" si="9"/>
        <v>1.92</v>
      </c>
      <c r="T26" s="162">
        <f t="shared" si="10"/>
        <v>1</v>
      </c>
      <c r="U26" s="162">
        <f t="shared" si="11"/>
        <v>1.92</v>
      </c>
      <c r="V26" s="191">
        <f t="shared" si="12"/>
        <v>106.704</v>
      </c>
      <c r="W26" s="178">
        <f t="shared" ref="W26:X26" si="13">C26/100</f>
        <v>0.95</v>
      </c>
      <c r="X26" s="178">
        <f t="shared" si="13"/>
        <v>1.95</v>
      </c>
      <c r="Y26" s="178">
        <f t="shared" si="14"/>
        <v>1.92</v>
      </c>
      <c r="Z26" s="192">
        <f t="shared" si="15"/>
        <v>3.5568</v>
      </c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39"/>
      <c r="AM26" s="139"/>
      <c r="AN26" s="139"/>
      <c r="AO26" s="139"/>
      <c r="AP26" s="139"/>
      <c r="AQ26" s="139"/>
      <c r="AR26" s="139"/>
      <c r="AS26" s="139"/>
      <c r="AT26" s="139"/>
    </row>
    <row r="27" ht="27.0" customHeight="1">
      <c r="A27" s="162">
        <v>3.0</v>
      </c>
      <c r="B27" s="193" t="s">
        <v>55</v>
      </c>
      <c r="C27" s="193">
        <v>101.0</v>
      </c>
      <c r="D27" s="193">
        <v>195.0</v>
      </c>
      <c r="E27" s="193">
        <v>2887.0</v>
      </c>
      <c r="F27" s="193">
        <f t="shared" si="5"/>
        <v>0</v>
      </c>
      <c r="G27" s="193">
        <f t="shared" si="6"/>
        <v>1705.78395</v>
      </c>
      <c r="H27" s="194">
        <f t="shared" si="7"/>
        <v>1705.78395</v>
      </c>
      <c r="I27" s="193">
        <v>1.0</v>
      </c>
      <c r="J27" s="195">
        <f t="shared" si="8"/>
        <v>1705.78395</v>
      </c>
      <c r="K27" s="139"/>
      <c r="L27" s="178">
        <f t="shared" ref="L27:L49" si="17">D27*25.4/1000</f>
        <v>4.953</v>
      </c>
      <c r="M27" s="162">
        <f t="shared" ref="M27:M62" si="18">+I27</f>
        <v>1</v>
      </c>
      <c r="N27" s="162">
        <f t="shared" ref="N27:N49" si="19">M27*L27</f>
        <v>4.953</v>
      </c>
      <c r="O27" s="139"/>
      <c r="P27" s="139"/>
      <c r="Q27" s="178">
        <v>1705.0</v>
      </c>
      <c r="R27" s="190">
        <v>30.0</v>
      </c>
      <c r="S27" s="178">
        <f t="shared" si="9"/>
        <v>28.87</v>
      </c>
      <c r="T27" s="162">
        <f t="shared" si="10"/>
        <v>1</v>
      </c>
      <c r="U27" s="162">
        <f t="shared" si="11"/>
        <v>28.87</v>
      </c>
      <c r="V27" s="191">
        <f t="shared" si="12"/>
        <v>1705.78395</v>
      </c>
      <c r="W27" s="178">
        <f t="shared" ref="W27:X27" si="16">C27/100</f>
        <v>1.01</v>
      </c>
      <c r="X27" s="178">
        <f t="shared" si="16"/>
        <v>1.95</v>
      </c>
      <c r="Y27" s="178">
        <f t="shared" si="14"/>
        <v>28.87</v>
      </c>
      <c r="Z27" s="192">
        <f t="shared" si="15"/>
        <v>56.859465</v>
      </c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  <c r="AQ27" s="139"/>
      <c r="AR27" s="139"/>
      <c r="AS27" s="139"/>
      <c r="AT27" s="139"/>
    </row>
    <row r="28" ht="27.0" customHeight="1">
      <c r="A28" s="162">
        <v>4.0</v>
      </c>
      <c r="B28" s="193" t="s">
        <v>55</v>
      </c>
      <c r="C28" s="193">
        <v>101.0</v>
      </c>
      <c r="D28" s="193">
        <v>195.0</v>
      </c>
      <c r="E28" s="193">
        <v>2888.0</v>
      </c>
      <c r="F28" s="193">
        <f t="shared" si="5"/>
        <v>0</v>
      </c>
      <c r="G28" s="193">
        <f t="shared" si="6"/>
        <v>1706.3748</v>
      </c>
      <c r="H28" s="194">
        <f t="shared" si="7"/>
        <v>1706.3748</v>
      </c>
      <c r="I28" s="193">
        <v>1.0</v>
      </c>
      <c r="J28" s="195">
        <f t="shared" si="8"/>
        <v>1706.3748</v>
      </c>
      <c r="K28" s="139"/>
      <c r="L28" s="178">
        <f t="shared" si="17"/>
        <v>4.953</v>
      </c>
      <c r="M28" s="162">
        <f t="shared" si="18"/>
        <v>1</v>
      </c>
      <c r="N28" s="162">
        <f t="shared" si="19"/>
        <v>4.953</v>
      </c>
      <c r="O28" s="139"/>
      <c r="P28" s="139"/>
      <c r="Q28" s="178">
        <v>1715.0</v>
      </c>
      <c r="R28" s="190">
        <v>30.0</v>
      </c>
      <c r="S28" s="178">
        <f t="shared" si="9"/>
        <v>28.88</v>
      </c>
      <c r="T28" s="162">
        <f t="shared" si="10"/>
        <v>1</v>
      </c>
      <c r="U28" s="162">
        <f t="shared" si="11"/>
        <v>28.88</v>
      </c>
      <c r="V28" s="191">
        <f t="shared" si="12"/>
        <v>1706.3748</v>
      </c>
      <c r="W28" s="178">
        <f t="shared" ref="W28:X28" si="20">C28/100</f>
        <v>1.01</v>
      </c>
      <c r="X28" s="178">
        <f t="shared" si="20"/>
        <v>1.95</v>
      </c>
      <c r="Y28" s="178">
        <f t="shared" si="14"/>
        <v>28.88</v>
      </c>
      <c r="Z28" s="192">
        <f t="shared" si="15"/>
        <v>56.87916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  <c r="AQ28" s="139"/>
      <c r="AR28" s="139"/>
      <c r="AS28" s="139"/>
      <c r="AT28" s="139"/>
    </row>
    <row r="29" ht="27.0" customHeight="1">
      <c r="A29" s="162">
        <v>5.0</v>
      </c>
      <c r="B29" s="193" t="s">
        <v>55</v>
      </c>
      <c r="C29" s="193">
        <v>98.0</v>
      </c>
      <c r="D29" s="193">
        <v>195.0</v>
      </c>
      <c r="E29" s="193">
        <v>2878.0</v>
      </c>
      <c r="F29" s="193">
        <f t="shared" si="5"/>
        <v>0</v>
      </c>
      <c r="G29" s="193">
        <f t="shared" si="6"/>
        <v>1649.9574</v>
      </c>
      <c r="H29" s="194">
        <f t="shared" si="7"/>
        <v>1649.9574</v>
      </c>
      <c r="I29" s="193">
        <v>1.0</v>
      </c>
      <c r="J29" s="195">
        <f t="shared" si="8"/>
        <v>1649.9574</v>
      </c>
      <c r="K29" s="139"/>
      <c r="L29" s="178">
        <f t="shared" si="17"/>
        <v>4.953</v>
      </c>
      <c r="M29" s="162">
        <f t="shared" si="18"/>
        <v>1</v>
      </c>
      <c r="N29" s="162">
        <f t="shared" si="19"/>
        <v>4.953</v>
      </c>
      <c r="O29" s="139"/>
      <c r="P29" s="139"/>
      <c r="Q29" s="178">
        <v>1670.0</v>
      </c>
      <c r="R29" s="190">
        <v>30.0</v>
      </c>
      <c r="S29" s="178">
        <f t="shared" si="9"/>
        <v>28.78</v>
      </c>
      <c r="T29" s="162">
        <f t="shared" si="10"/>
        <v>1</v>
      </c>
      <c r="U29" s="162">
        <f t="shared" si="11"/>
        <v>28.78</v>
      </c>
      <c r="V29" s="191">
        <f t="shared" si="12"/>
        <v>1649.9574</v>
      </c>
      <c r="W29" s="178">
        <f t="shared" ref="W29:X29" si="21">C29/100</f>
        <v>0.98</v>
      </c>
      <c r="X29" s="178">
        <f t="shared" si="21"/>
        <v>1.95</v>
      </c>
      <c r="Y29" s="178">
        <f t="shared" si="14"/>
        <v>28.78</v>
      </c>
      <c r="Z29" s="192">
        <f t="shared" si="15"/>
        <v>54.99858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  <c r="AQ29" s="139"/>
      <c r="AR29" s="139"/>
      <c r="AS29" s="139"/>
      <c r="AT29" s="139"/>
    </row>
    <row r="30" ht="27.0" customHeight="1">
      <c r="A30" s="162">
        <v>6.0</v>
      </c>
      <c r="B30" s="193" t="s">
        <v>55</v>
      </c>
      <c r="C30" s="193">
        <v>100.0</v>
      </c>
      <c r="D30" s="193">
        <v>195.0</v>
      </c>
      <c r="E30" s="193">
        <v>2871.0</v>
      </c>
      <c r="F30" s="193">
        <f t="shared" si="5"/>
        <v>0</v>
      </c>
      <c r="G30" s="193">
        <f t="shared" si="6"/>
        <v>1679.535</v>
      </c>
      <c r="H30" s="194">
        <f t="shared" si="7"/>
        <v>1679.535</v>
      </c>
      <c r="I30" s="193">
        <v>1.0</v>
      </c>
      <c r="J30" s="195">
        <f t="shared" si="8"/>
        <v>1679.535</v>
      </c>
      <c r="K30" s="139"/>
      <c r="L30" s="178">
        <f t="shared" si="17"/>
        <v>4.953</v>
      </c>
      <c r="M30" s="162">
        <f t="shared" si="18"/>
        <v>1</v>
      </c>
      <c r="N30" s="162">
        <f t="shared" si="19"/>
        <v>4.953</v>
      </c>
      <c r="O30" s="139"/>
      <c r="P30" s="139"/>
      <c r="Q30" s="178">
        <v>1695.0</v>
      </c>
      <c r="R30" s="190">
        <v>30.0</v>
      </c>
      <c r="S30" s="178">
        <f t="shared" si="9"/>
        <v>28.71</v>
      </c>
      <c r="T30" s="162">
        <f t="shared" si="10"/>
        <v>1</v>
      </c>
      <c r="U30" s="162">
        <f t="shared" si="11"/>
        <v>28.71</v>
      </c>
      <c r="V30" s="191">
        <f t="shared" si="12"/>
        <v>1679.535</v>
      </c>
      <c r="W30" s="178">
        <f t="shared" ref="W30:X30" si="22">C30/100</f>
        <v>1</v>
      </c>
      <c r="X30" s="178">
        <f t="shared" si="22"/>
        <v>1.95</v>
      </c>
      <c r="Y30" s="178">
        <f t="shared" si="14"/>
        <v>28.71</v>
      </c>
      <c r="Z30" s="192">
        <f t="shared" si="15"/>
        <v>55.9845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39"/>
      <c r="AM30" s="139"/>
      <c r="AN30" s="139"/>
      <c r="AO30" s="139"/>
      <c r="AP30" s="139"/>
      <c r="AQ30" s="139"/>
      <c r="AR30" s="139"/>
      <c r="AS30" s="139"/>
      <c r="AT30" s="139"/>
    </row>
    <row r="31" ht="27.0" customHeight="1">
      <c r="A31" s="162">
        <v>7.0</v>
      </c>
      <c r="B31" s="193" t="s">
        <v>55</v>
      </c>
      <c r="C31" s="193">
        <v>93.0</v>
      </c>
      <c r="D31" s="193">
        <v>195.0</v>
      </c>
      <c r="E31" s="193">
        <v>2734.0</v>
      </c>
      <c r="F31" s="193">
        <f t="shared" si="5"/>
        <v>0</v>
      </c>
      <c r="G31" s="193">
        <f t="shared" si="6"/>
        <v>1487.4327</v>
      </c>
      <c r="H31" s="194">
        <f t="shared" si="7"/>
        <v>1487.4327</v>
      </c>
      <c r="I31" s="193">
        <v>1.0</v>
      </c>
      <c r="J31" s="195">
        <f t="shared" si="8"/>
        <v>1487.4327</v>
      </c>
      <c r="K31" s="139"/>
      <c r="L31" s="178">
        <f t="shared" si="17"/>
        <v>4.953</v>
      </c>
      <c r="M31" s="162">
        <f t="shared" si="18"/>
        <v>1</v>
      </c>
      <c r="N31" s="162">
        <f t="shared" si="19"/>
        <v>4.953</v>
      </c>
      <c r="O31" s="139"/>
      <c r="P31" s="139"/>
      <c r="Q31" s="178">
        <v>1580.0</v>
      </c>
      <c r="R31" s="190">
        <v>30.0</v>
      </c>
      <c r="S31" s="178">
        <f t="shared" si="9"/>
        <v>27.34</v>
      </c>
      <c r="T31" s="162">
        <f t="shared" si="10"/>
        <v>1</v>
      </c>
      <c r="U31" s="162">
        <f t="shared" si="11"/>
        <v>27.34</v>
      </c>
      <c r="V31" s="191">
        <f t="shared" si="12"/>
        <v>1487.4327</v>
      </c>
      <c r="W31" s="178">
        <f t="shared" ref="W31:X31" si="23">C31/100</f>
        <v>0.93</v>
      </c>
      <c r="X31" s="178">
        <f t="shared" si="23"/>
        <v>1.95</v>
      </c>
      <c r="Y31" s="178">
        <f t="shared" si="14"/>
        <v>27.34</v>
      </c>
      <c r="Z31" s="192">
        <f t="shared" si="15"/>
        <v>49.58109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  <c r="AT31" s="139"/>
    </row>
    <row r="32" ht="27.0" customHeight="1">
      <c r="A32" s="162">
        <v>8.0</v>
      </c>
      <c r="B32" s="193" t="s">
        <v>55</v>
      </c>
      <c r="C32" s="193">
        <v>94.0</v>
      </c>
      <c r="D32" s="193">
        <v>195.0</v>
      </c>
      <c r="E32" s="193">
        <v>2872.0</v>
      </c>
      <c r="F32" s="193">
        <f t="shared" si="5"/>
        <v>0</v>
      </c>
      <c r="G32" s="193">
        <f t="shared" si="6"/>
        <v>1579.3128</v>
      </c>
      <c r="H32" s="194">
        <f t="shared" si="7"/>
        <v>1579.3128</v>
      </c>
      <c r="I32" s="193">
        <v>1.0</v>
      </c>
      <c r="J32" s="195">
        <f t="shared" si="8"/>
        <v>1579.3128</v>
      </c>
      <c r="K32" s="139"/>
      <c r="L32" s="178">
        <f t="shared" si="17"/>
        <v>4.953</v>
      </c>
      <c r="M32" s="162">
        <f t="shared" si="18"/>
        <v>1</v>
      </c>
      <c r="N32" s="162">
        <f t="shared" si="19"/>
        <v>4.953</v>
      </c>
      <c r="O32" s="139"/>
      <c r="P32" s="139"/>
      <c r="Q32" s="178">
        <v>1665.0</v>
      </c>
      <c r="R32" s="190">
        <v>30.0</v>
      </c>
      <c r="S32" s="178">
        <f t="shared" si="9"/>
        <v>28.72</v>
      </c>
      <c r="T32" s="162">
        <f t="shared" si="10"/>
        <v>1</v>
      </c>
      <c r="U32" s="162">
        <f t="shared" si="11"/>
        <v>28.72</v>
      </c>
      <c r="V32" s="191">
        <f t="shared" si="12"/>
        <v>1579.3128</v>
      </c>
      <c r="W32" s="178">
        <f t="shared" ref="W32:X32" si="24">C32/100</f>
        <v>0.94</v>
      </c>
      <c r="X32" s="178">
        <f t="shared" si="24"/>
        <v>1.95</v>
      </c>
      <c r="Y32" s="178">
        <f t="shared" si="14"/>
        <v>28.72</v>
      </c>
      <c r="Z32" s="192">
        <f t="shared" si="15"/>
        <v>52.64376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</row>
    <row r="33" ht="27.0" customHeight="1">
      <c r="A33" s="162">
        <v>9.0</v>
      </c>
      <c r="B33" s="193" t="s">
        <v>55</v>
      </c>
      <c r="C33" s="193">
        <v>97.0</v>
      </c>
      <c r="D33" s="193">
        <v>195.0</v>
      </c>
      <c r="E33" s="193">
        <v>2870.0</v>
      </c>
      <c r="F33" s="193">
        <f t="shared" si="5"/>
        <v>0</v>
      </c>
      <c r="G33" s="193">
        <f t="shared" si="6"/>
        <v>1628.5815</v>
      </c>
      <c r="H33" s="194">
        <f t="shared" si="7"/>
        <v>1628.5815</v>
      </c>
      <c r="I33" s="193">
        <v>1.0</v>
      </c>
      <c r="J33" s="195">
        <f t="shared" si="8"/>
        <v>1628.5815</v>
      </c>
      <c r="K33" s="139"/>
      <c r="L33" s="178">
        <f t="shared" si="17"/>
        <v>4.953</v>
      </c>
      <c r="M33" s="162">
        <f t="shared" si="18"/>
        <v>1</v>
      </c>
      <c r="N33" s="162">
        <f t="shared" si="19"/>
        <v>4.953</v>
      </c>
      <c r="O33" s="139"/>
      <c r="P33" s="139"/>
      <c r="Q33" s="178">
        <v>1665.0</v>
      </c>
      <c r="R33" s="190">
        <v>30.0</v>
      </c>
      <c r="S33" s="178">
        <f t="shared" si="9"/>
        <v>28.7</v>
      </c>
      <c r="T33" s="162">
        <f t="shared" si="10"/>
        <v>1</v>
      </c>
      <c r="U33" s="162">
        <f t="shared" si="11"/>
        <v>28.7</v>
      </c>
      <c r="V33" s="191">
        <f t="shared" si="12"/>
        <v>1628.5815</v>
      </c>
      <c r="W33" s="178">
        <f t="shared" ref="W33:X33" si="25">C33/100</f>
        <v>0.97</v>
      </c>
      <c r="X33" s="178">
        <f t="shared" si="25"/>
        <v>1.95</v>
      </c>
      <c r="Y33" s="178">
        <f t="shared" si="14"/>
        <v>28.7</v>
      </c>
      <c r="Z33" s="192">
        <f t="shared" si="15"/>
        <v>54.28605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</row>
    <row r="34" ht="27.0" customHeight="1">
      <c r="A34" s="162">
        <v>10.0</v>
      </c>
      <c r="B34" s="183" t="s">
        <v>63</v>
      </c>
      <c r="C34" s="184">
        <v>74.0</v>
      </c>
      <c r="D34" s="184">
        <v>184.0</v>
      </c>
      <c r="E34" s="184">
        <v>180.0</v>
      </c>
      <c r="F34" s="184">
        <f t="shared" si="5"/>
        <v>0.8</v>
      </c>
      <c r="G34" s="184">
        <f t="shared" si="6"/>
        <v>72.30096</v>
      </c>
      <c r="H34" s="185">
        <f t="shared" si="7"/>
        <v>57.840768</v>
      </c>
      <c r="I34" s="184">
        <v>1.0</v>
      </c>
      <c r="J34" s="186">
        <f t="shared" si="8"/>
        <v>57.840768</v>
      </c>
      <c r="K34" s="187"/>
      <c r="L34" s="188">
        <f t="shared" si="17"/>
        <v>4.6736</v>
      </c>
      <c r="M34" s="189">
        <f t="shared" si="18"/>
        <v>1</v>
      </c>
      <c r="N34" s="189">
        <f t="shared" si="19"/>
        <v>4.6736</v>
      </c>
      <c r="O34" s="187"/>
      <c r="P34" s="187"/>
      <c r="Q34" s="188">
        <v>76.0</v>
      </c>
      <c r="R34" s="190">
        <v>29.5</v>
      </c>
      <c r="S34" s="178">
        <f t="shared" si="9"/>
        <v>1.8</v>
      </c>
      <c r="T34" s="162">
        <f t="shared" si="10"/>
        <v>1</v>
      </c>
      <c r="U34" s="162">
        <f t="shared" si="11"/>
        <v>1.8</v>
      </c>
      <c r="V34" s="191">
        <f t="shared" si="12"/>
        <v>72.30096</v>
      </c>
      <c r="W34" s="178">
        <f t="shared" ref="W34:X34" si="26">C34/100</f>
        <v>0.74</v>
      </c>
      <c r="X34" s="178">
        <f t="shared" si="26"/>
        <v>1.84</v>
      </c>
      <c r="Y34" s="178">
        <f t="shared" si="14"/>
        <v>1.8</v>
      </c>
      <c r="Z34" s="192">
        <f t="shared" si="15"/>
        <v>2.45088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</row>
    <row r="35" ht="27.0" customHeight="1">
      <c r="A35" s="162">
        <v>11.0</v>
      </c>
      <c r="B35" s="193" t="s">
        <v>55</v>
      </c>
      <c r="C35" s="193">
        <v>85.0</v>
      </c>
      <c r="D35" s="193">
        <v>184.0</v>
      </c>
      <c r="E35" s="193">
        <v>180.0</v>
      </c>
      <c r="F35" s="193">
        <f t="shared" si="5"/>
        <v>0</v>
      </c>
      <c r="G35" s="193">
        <f t="shared" si="6"/>
        <v>83.0484</v>
      </c>
      <c r="H35" s="194">
        <f t="shared" si="7"/>
        <v>83.0484</v>
      </c>
      <c r="I35" s="193">
        <v>1.0</v>
      </c>
      <c r="J35" s="195">
        <f t="shared" si="8"/>
        <v>83.0484</v>
      </c>
      <c r="K35" s="139"/>
      <c r="L35" s="178">
        <f t="shared" si="17"/>
        <v>4.6736</v>
      </c>
      <c r="M35" s="162">
        <f t="shared" si="18"/>
        <v>1</v>
      </c>
      <c r="N35" s="162">
        <f t="shared" si="19"/>
        <v>4.6736</v>
      </c>
      <c r="O35" s="139"/>
      <c r="P35" s="139"/>
      <c r="Q35" s="178">
        <v>91.0</v>
      </c>
      <c r="R35" s="190">
        <v>29.5</v>
      </c>
      <c r="S35" s="178">
        <f t="shared" si="9"/>
        <v>1.8</v>
      </c>
      <c r="T35" s="162">
        <f t="shared" si="10"/>
        <v>1</v>
      </c>
      <c r="U35" s="162">
        <f t="shared" si="11"/>
        <v>1.8</v>
      </c>
      <c r="V35" s="191">
        <f t="shared" si="12"/>
        <v>83.0484</v>
      </c>
      <c r="W35" s="178">
        <f t="shared" ref="W35:X35" si="27">C35/100</f>
        <v>0.85</v>
      </c>
      <c r="X35" s="178">
        <f t="shared" si="27"/>
        <v>1.84</v>
      </c>
      <c r="Y35" s="178">
        <f t="shared" si="14"/>
        <v>1.8</v>
      </c>
      <c r="Z35" s="192">
        <f t="shared" si="15"/>
        <v>2.8152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</row>
    <row r="36" ht="27.0" customHeight="1">
      <c r="A36" s="162">
        <v>12.0</v>
      </c>
      <c r="B36" s="193" t="s">
        <v>55</v>
      </c>
      <c r="C36" s="193">
        <v>105.0</v>
      </c>
      <c r="D36" s="193">
        <v>184.0</v>
      </c>
      <c r="E36" s="193">
        <v>208.0</v>
      </c>
      <c r="F36" s="193">
        <f t="shared" si="5"/>
        <v>0</v>
      </c>
      <c r="G36" s="193">
        <f t="shared" si="6"/>
        <v>118.54752</v>
      </c>
      <c r="H36" s="194">
        <f t="shared" si="7"/>
        <v>118.54752</v>
      </c>
      <c r="I36" s="193">
        <v>1.0</v>
      </c>
      <c r="J36" s="195">
        <f t="shared" si="8"/>
        <v>118.54752</v>
      </c>
      <c r="K36" s="139"/>
      <c r="L36" s="178">
        <f t="shared" si="17"/>
        <v>4.6736</v>
      </c>
      <c r="M36" s="162">
        <f t="shared" si="18"/>
        <v>1</v>
      </c>
      <c r="N36" s="162">
        <f t="shared" si="19"/>
        <v>4.6736</v>
      </c>
      <c r="O36" s="139"/>
      <c r="P36" s="139"/>
      <c r="Q36" s="178">
        <v>119.0</v>
      </c>
      <c r="R36" s="190">
        <v>29.5</v>
      </c>
      <c r="S36" s="178">
        <f t="shared" si="9"/>
        <v>2.08</v>
      </c>
      <c r="T36" s="162">
        <f t="shared" si="10"/>
        <v>1</v>
      </c>
      <c r="U36" s="162">
        <f t="shared" si="11"/>
        <v>2.08</v>
      </c>
      <c r="V36" s="191">
        <f t="shared" si="12"/>
        <v>118.54752</v>
      </c>
      <c r="W36" s="178">
        <f t="shared" ref="W36:X36" si="28">C36/100</f>
        <v>1.05</v>
      </c>
      <c r="X36" s="178">
        <f t="shared" si="28"/>
        <v>1.84</v>
      </c>
      <c r="Y36" s="178">
        <f t="shared" si="14"/>
        <v>2.08</v>
      </c>
      <c r="Z36" s="192">
        <f t="shared" si="15"/>
        <v>4.01856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  <c r="AL36" s="139"/>
      <c r="AM36" s="139"/>
      <c r="AN36" s="139"/>
      <c r="AO36" s="139"/>
      <c r="AP36" s="139"/>
      <c r="AQ36" s="139"/>
      <c r="AR36" s="139"/>
      <c r="AS36" s="139"/>
      <c r="AT36" s="139"/>
    </row>
    <row r="37" ht="27.0" customHeight="1">
      <c r="A37" s="162">
        <v>13.0</v>
      </c>
      <c r="B37" s="193" t="s">
        <v>55</v>
      </c>
      <c r="C37" s="193">
        <v>48.0</v>
      </c>
      <c r="D37" s="193">
        <v>184.0</v>
      </c>
      <c r="E37" s="193">
        <v>175.0</v>
      </c>
      <c r="F37" s="193">
        <f t="shared" si="5"/>
        <v>0</v>
      </c>
      <c r="G37" s="193">
        <f t="shared" si="6"/>
        <v>45.5952</v>
      </c>
      <c r="H37" s="194">
        <f t="shared" si="7"/>
        <v>45.5952</v>
      </c>
      <c r="I37" s="193">
        <v>1.0</v>
      </c>
      <c r="J37" s="195">
        <f t="shared" si="8"/>
        <v>45.5952</v>
      </c>
      <c r="K37" s="139"/>
      <c r="L37" s="178">
        <f t="shared" si="17"/>
        <v>4.6736</v>
      </c>
      <c r="M37" s="162">
        <f t="shared" si="18"/>
        <v>1</v>
      </c>
      <c r="N37" s="162">
        <f t="shared" si="19"/>
        <v>4.6736</v>
      </c>
      <c r="O37" s="139"/>
      <c r="P37" s="139"/>
      <c r="Q37" s="178">
        <v>49.0</v>
      </c>
      <c r="R37" s="190">
        <v>29.5</v>
      </c>
      <c r="S37" s="178">
        <f t="shared" si="9"/>
        <v>1.75</v>
      </c>
      <c r="T37" s="162">
        <f t="shared" si="10"/>
        <v>1</v>
      </c>
      <c r="U37" s="162">
        <f t="shared" si="11"/>
        <v>1.75</v>
      </c>
      <c r="V37" s="191">
        <f t="shared" si="12"/>
        <v>45.5952</v>
      </c>
      <c r="W37" s="178">
        <f t="shared" ref="W37:X37" si="29">C37/100</f>
        <v>0.48</v>
      </c>
      <c r="X37" s="178">
        <f t="shared" si="29"/>
        <v>1.84</v>
      </c>
      <c r="Y37" s="178">
        <f t="shared" si="14"/>
        <v>1.75</v>
      </c>
      <c r="Z37" s="192">
        <f t="shared" si="15"/>
        <v>1.5456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</row>
    <row r="38" ht="27.0" customHeight="1">
      <c r="A38" s="162">
        <v>14.0</v>
      </c>
      <c r="B38" s="193" t="s">
        <v>55</v>
      </c>
      <c r="C38" s="193">
        <v>104.0</v>
      </c>
      <c r="D38" s="193">
        <v>184.0</v>
      </c>
      <c r="E38" s="193">
        <v>2872.0</v>
      </c>
      <c r="F38" s="193">
        <f t="shared" si="5"/>
        <v>0</v>
      </c>
      <c r="G38" s="193">
        <f t="shared" si="6"/>
        <v>1621.278464</v>
      </c>
      <c r="H38" s="194">
        <f t="shared" si="7"/>
        <v>1621.278464</v>
      </c>
      <c r="I38" s="193">
        <v>1.0</v>
      </c>
      <c r="J38" s="195">
        <f t="shared" si="8"/>
        <v>1621.278464</v>
      </c>
      <c r="K38" s="139"/>
      <c r="L38" s="178">
        <f t="shared" si="17"/>
        <v>4.6736</v>
      </c>
      <c r="M38" s="162">
        <f t="shared" si="18"/>
        <v>1</v>
      </c>
      <c r="N38" s="162">
        <f t="shared" si="19"/>
        <v>4.6736</v>
      </c>
      <c r="O38" s="139"/>
      <c r="P38" s="139"/>
      <c r="Q38" s="178">
        <v>1650.0</v>
      </c>
      <c r="R38" s="190">
        <v>29.5</v>
      </c>
      <c r="S38" s="178">
        <f t="shared" si="9"/>
        <v>28.72</v>
      </c>
      <c r="T38" s="162">
        <f t="shared" si="10"/>
        <v>1</v>
      </c>
      <c r="U38" s="162">
        <f t="shared" si="11"/>
        <v>28.72</v>
      </c>
      <c r="V38" s="191">
        <f t="shared" si="12"/>
        <v>1621.278464</v>
      </c>
      <c r="W38" s="178">
        <f t="shared" ref="W38:X38" si="30">C38/100</f>
        <v>1.04</v>
      </c>
      <c r="X38" s="178">
        <f t="shared" si="30"/>
        <v>1.84</v>
      </c>
      <c r="Y38" s="178">
        <f t="shared" si="14"/>
        <v>28.72</v>
      </c>
      <c r="Z38" s="192">
        <f t="shared" si="15"/>
        <v>54.958592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</row>
    <row r="39" ht="27.0" customHeight="1">
      <c r="A39" s="162">
        <v>15.0</v>
      </c>
      <c r="B39" s="193" t="s">
        <v>55</v>
      </c>
      <c r="C39" s="193">
        <v>104.0</v>
      </c>
      <c r="D39" s="193">
        <v>184.0</v>
      </c>
      <c r="E39" s="193">
        <v>2873.0</v>
      </c>
      <c r="F39" s="193">
        <f t="shared" si="5"/>
        <v>0</v>
      </c>
      <c r="G39" s="193">
        <f t="shared" si="6"/>
        <v>1621.842976</v>
      </c>
      <c r="H39" s="194">
        <f t="shared" si="7"/>
        <v>1621.842976</v>
      </c>
      <c r="I39" s="193">
        <v>1.0</v>
      </c>
      <c r="J39" s="195">
        <f t="shared" si="8"/>
        <v>1621.842976</v>
      </c>
      <c r="K39" s="139"/>
      <c r="L39" s="178">
        <f t="shared" si="17"/>
        <v>4.6736</v>
      </c>
      <c r="M39" s="162">
        <f t="shared" si="18"/>
        <v>1</v>
      </c>
      <c r="N39" s="162">
        <f t="shared" si="19"/>
        <v>4.6736</v>
      </c>
      <c r="O39" s="139"/>
      <c r="P39" s="139"/>
      <c r="Q39" s="178">
        <v>1655.0</v>
      </c>
      <c r="R39" s="190">
        <v>29.5</v>
      </c>
      <c r="S39" s="178">
        <f t="shared" si="9"/>
        <v>28.73</v>
      </c>
      <c r="T39" s="162">
        <f t="shared" si="10"/>
        <v>1</v>
      </c>
      <c r="U39" s="162">
        <f t="shared" si="11"/>
        <v>28.73</v>
      </c>
      <c r="V39" s="191">
        <f t="shared" si="12"/>
        <v>1621.842976</v>
      </c>
      <c r="W39" s="178">
        <f t="shared" ref="W39:X39" si="31">C39/100</f>
        <v>1.04</v>
      </c>
      <c r="X39" s="178">
        <f t="shared" si="31"/>
        <v>1.84</v>
      </c>
      <c r="Y39" s="178">
        <f t="shared" si="14"/>
        <v>28.73</v>
      </c>
      <c r="Z39" s="192">
        <f t="shared" si="15"/>
        <v>54.977728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</row>
    <row r="40" ht="27.0" customHeight="1">
      <c r="A40" s="162">
        <v>16.0</v>
      </c>
      <c r="B40" s="193" t="s">
        <v>55</v>
      </c>
      <c r="C40" s="193">
        <v>104.0</v>
      </c>
      <c r="D40" s="193">
        <v>184.0</v>
      </c>
      <c r="E40" s="193">
        <v>2744.0</v>
      </c>
      <c r="F40" s="193">
        <f t="shared" si="5"/>
        <v>0</v>
      </c>
      <c r="G40" s="193">
        <f t="shared" si="6"/>
        <v>1549.020928</v>
      </c>
      <c r="H40" s="194">
        <f t="shared" si="7"/>
        <v>1549.020928</v>
      </c>
      <c r="I40" s="193">
        <v>1.0</v>
      </c>
      <c r="J40" s="195">
        <f t="shared" si="8"/>
        <v>1549.020928</v>
      </c>
      <c r="K40" s="139"/>
      <c r="L40" s="178">
        <f t="shared" si="17"/>
        <v>4.6736</v>
      </c>
      <c r="M40" s="162">
        <f t="shared" si="18"/>
        <v>1</v>
      </c>
      <c r="N40" s="162">
        <f t="shared" si="19"/>
        <v>4.6736</v>
      </c>
      <c r="O40" s="139"/>
      <c r="P40" s="139"/>
      <c r="Q40" s="178">
        <v>1555.0</v>
      </c>
      <c r="R40" s="190">
        <v>29.5</v>
      </c>
      <c r="S40" s="178">
        <f t="shared" si="9"/>
        <v>27.44</v>
      </c>
      <c r="T40" s="162">
        <f t="shared" si="10"/>
        <v>1</v>
      </c>
      <c r="U40" s="162">
        <f t="shared" si="11"/>
        <v>27.44</v>
      </c>
      <c r="V40" s="191">
        <f t="shared" si="12"/>
        <v>1549.020928</v>
      </c>
      <c r="W40" s="178">
        <f t="shared" ref="W40:X40" si="32">C40/100</f>
        <v>1.04</v>
      </c>
      <c r="X40" s="178">
        <f t="shared" si="32"/>
        <v>1.84</v>
      </c>
      <c r="Y40" s="178">
        <f t="shared" si="14"/>
        <v>27.44</v>
      </c>
      <c r="Z40" s="192">
        <f t="shared" si="15"/>
        <v>52.509184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</row>
    <row r="41" ht="27.0" customHeight="1">
      <c r="A41" s="162">
        <v>17.0</v>
      </c>
      <c r="B41" s="183" t="s">
        <v>63</v>
      </c>
      <c r="C41" s="184">
        <v>89.0</v>
      </c>
      <c r="D41" s="184">
        <v>202.0</v>
      </c>
      <c r="E41" s="184">
        <v>173.0</v>
      </c>
      <c r="F41" s="184">
        <f t="shared" si="5"/>
        <v>0.8</v>
      </c>
      <c r="G41" s="184">
        <f t="shared" si="6"/>
        <v>93.30582</v>
      </c>
      <c r="H41" s="185">
        <f t="shared" si="7"/>
        <v>74.644656</v>
      </c>
      <c r="I41" s="184">
        <v>1.0</v>
      </c>
      <c r="J41" s="186">
        <f t="shared" si="8"/>
        <v>74.644656</v>
      </c>
      <c r="K41" s="187"/>
      <c r="L41" s="188">
        <f t="shared" si="17"/>
        <v>5.1308</v>
      </c>
      <c r="M41" s="189">
        <f t="shared" si="18"/>
        <v>1</v>
      </c>
      <c r="N41" s="189">
        <f t="shared" si="19"/>
        <v>5.1308</v>
      </c>
      <c r="O41" s="187"/>
      <c r="P41" s="187"/>
      <c r="Q41" s="188">
        <v>95.0</v>
      </c>
      <c r="R41" s="190">
        <v>30.0</v>
      </c>
      <c r="S41" s="178">
        <f t="shared" si="9"/>
        <v>1.73</v>
      </c>
      <c r="T41" s="162">
        <f t="shared" si="10"/>
        <v>1</v>
      </c>
      <c r="U41" s="162">
        <f t="shared" si="11"/>
        <v>1.73</v>
      </c>
      <c r="V41" s="191">
        <f t="shared" si="12"/>
        <v>93.30582</v>
      </c>
      <c r="W41" s="178">
        <f t="shared" ref="W41:X41" si="33">C41/100</f>
        <v>0.89</v>
      </c>
      <c r="X41" s="178">
        <f t="shared" si="33"/>
        <v>2.02</v>
      </c>
      <c r="Y41" s="178">
        <f t="shared" si="14"/>
        <v>1.73</v>
      </c>
      <c r="Z41" s="192">
        <f t="shared" si="15"/>
        <v>3.110194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</row>
    <row r="42" ht="27.0" customHeight="1">
      <c r="A42" s="162">
        <v>18.0</v>
      </c>
      <c r="B42" s="193" t="s">
        <v>55</v>
      </c>
      <c r="C42" s="193">
        <v>102.0</v>
      </c>
      <c r="D42" s="193">
        <v>202.0</v>
      </c>
      <c r="E42" s="193">
        <v>189.0</v>
      </c>
      <c r="F42" s="193">
        <f t="shared" si="5"/>
        <v>0</v>
      </c>
      <c r="G42" s="193">
        <f t="shared" si="6"/>
        <v>116.82468</v>
      </c>
      <c r="H42" s="194">
        <f t="shared" si="7"/>
        <v>116.82468</v>
      </c>
      <c r="I42" s="193">
        <v>1.0</v>
      </c>
      <c r="J42" s="195">
        <f t="shared" si="8"/>
        <v>116.82468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116.0</v>
      </c>
      <c r="R42" s="190">
        <v>30.0</v>
      </c>
      <c r="S42" s="178">
        <f t="shared" si="9"/>
        <v>1.89</v>
      </c>
      <c r="T42" s="162">
        <f t="shared" si="10"/>
        <v>1</v>
      </c>
      <c r="U42" s="162">
        <f t="shared" si="11"/>
        <v>1.89</v>
      </c>
      <c r="V42" s="191">
        <f t="shared" si="12"/>
        <v>116.82468</v>
      </c>
      <c r="W42" s="178">
        <f t="shared" ref="W42:X42" si="34">C42/100</f>
        <v>1.02</v>
      </c>
      <c r="X42" s="178">
        <f t="shared" si="34"/>
        <v>2.02</v>
      </c>
      <c r="Y42" s="178">
        <f t="shared" si="14"/>
        <v>1.89</v>
      </c>
      <c r="Z42" s="192">
        <f t="shared" si="15"/>
        <v>3.894156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</row>
    <row r="43" ht="27.0" customHeight="1">
      <c r="A43" s="162">
        <v>19.0</v>
      </c>
      <c r="B43" s="193" t="s">
        <v>55</v>
      </c>
      <c r="C43" s="193">
        <v>102.0</v>
      </c>
      <c r="D43" s="193">
        <v>202.0</v>
      </c>
      <c r="E43" s="193">
        <v>2884.0</v>
      </c>
      <c r="F43" s="193">
        <f t="shared" si="5"/>
        <v>0</v>
      </c>
      <c r="G43" s="193">
        <f t="shared" si="6"/>
        <v>1782.65808</v>
      </c>
      <c r="H43" s="194">
        <f t="shared" si="7"/>
        <v>1782.65808</v>
      </c>
      <c r="I43" s="193">
        <v>1.0</v>
      </c>
      <c r="J43" s="195">
        <f t="shared" si="8"/>
        <v>1782.65808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1765.0</v>
      </c>
      <c r="R43" s="190">
        <v>30.0</v>
      </c>
      <c r="S43" s="178">
        <f t="shared" si="9"/>
        <v>28.84</v>
      </c>
      <c r="T43" s="162">
        <f t="shared" si="10"/>
        <v>1</v>
      </c>
      <c r="U43" s="162">
        <f t="shared" si="11"/>
        <v>28.84</v>
      </c>
      <c r="V43" s="191">
        <f t="shared" si="12"/>
        <v>1782.65808</v>
      </c>
      <c r="W43" s="178">
        <f t="shared" ref="W43:X43" si="35">C43/100</f>
        <v>1.02</v>
      </c>
      <c r="X43" s="178">
        <f t="shared" si="35"/>
        <v>2.02</v>
      </c>
      <c r="Y43" s="178">
        <f t="shared" si="14"/>
        <v>28.84</v>
      </c>
      <c r="Z43" s="192">
        <f t="shared" si="15"/>
        <v>59.421936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</row>
    <row r="44" ht="27.0" customHeight="1">
      <c r="A44" s="162">
        <v>20.0</v>
      </c>
      <c r="B44" s="193" t="s">
        <v>55</v>
      </c>
      <c r="C44" s="193">
        <v>102.0</v>
      </c>
      <c r="D44" s="193">
        <v>202.0</v>
      </c>
      <c r="E44" s="193">
        <v>2883.0</v>
      </c>
      <c r="F44" s="193">
        <f t="shared" si="5"/>
        <v>0</v>
      </c>
      <c r="G44" s="193">
        <f t="shared" si="6"/>
        <v>1782.03996</v>
      </c>
      <c r="H44" s="194">
        <f t="shared" si="7"/>
        <v>1782.03996</v>
      </c>
      <c r="I44" s="193">
        <v>1.0</v>
      </c>
      <c r="J44" s="195">
        <f t="shared" si="8"/>
        <v>1782.03996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1770.0</v>
      </c>
      <c r="R44" s="190">
        <v>30.0</v>
      </c>
      <c r="S44" s="178">
        <f t="shared" si="9"/>
        <v>28.83</v>
      </c>
      <c r="T44" s="162">
        <f t="shared" si="10"/>
        <v>1</v>
      </c>
      <c r="U44" s="162">
        <f t="shared" si="11"/>
        <v>28.83</v>
      </c>
      <c r="V44" s="191">
        <f t="shared" si="12"/>
        <v>1782.03996</v>
      </c>
      <c r="W44" s="178">
        <f t="shared" ref="W44:X44" si="36">C44/100</f>
        <v>1.02</v>
      </c>
      <c r="X44" s="178">
        <f t="shared" si="36"/>
        <v>2.02</v>
      </c>
      <c r="Y44" s="178">
        <f t="shared" si="14"/>
        <v>28.83</v>
      </c>
      <c r="Z44" s="192">
        <f t="shared" si="15"/>
        <v>59.401332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</row>
    <row r="45" ht="27.0" customHeight="1">
      <c r="A45" s="162">
        <v>21.0</v>
      </c>
      <c r="B45" s="196" t="s">
        <v>55</v>
      </c>
      <c r="C45" s="193">
        <v>98.0</v>
      </c>
      <c r="D45" s="193">
        <v>202.0</v>
      </c>
      <c r="E45" s="193">
        <v>2875.0</v>
      </c>
      <c r="F45" s="193">
        <f t="shared" si="5"/>
        <v>0</v>
      </c>
      <c r="G45" s="193">
        <f t="shared" si="6"/>
        <v>1707.405</v>
      </c>
      <c r="H45" s="194">
        <f t="shared" si="7"/>
        <v>1707.405</v>
      </c>
      <c r="I45" s="193">
        <v>1.0</v>
      </c>
      <c r="J45" s="195">
        <f t="shared" si="8"/>
        <v>1707.405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1710.0</v>
      </c>
      <c r="R45" s="190">
        <v>30.0</v>
      </c>
      <c r="S45" s="178">
        <f t="shared" si="9"/>
        <v>28.75</v>
      </c>
      <c r="T45" s="162">
        <f t="shared" si="10"/>
        <v>1</v>
      </c>
      <c r="U45" s="162">
        <f t="shared" si="11"/>
        <v>28.75</v>
      </c>
      <c r="V45" s="191">
        <f t="shared" si="12"/>
        <v>1707.405</v>
      </c>
      <c r="W45" s="178">
        <f t="shared" ref="W45:X45" si="37">C45/100</f>
        <v>0.98</v>
      </c>
      <c r="X45" s="178">
        <f t="shared" si="37"/>
        <v>2.02</v>
      </c>
      <c r="Y45" s="178">
        <f t="shared" si="14"/>
        <v>28.75</v>
      </c>
      <c r="Z45" s="192">
        <f t="shared" si="15"/>
        <v>56.9135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</row>
    <row r="46" ht="27.0" customHeight="1">
      <c r="A46" s="162">
        <v>22.0</v>
      </c>
      <c r="B46" s="193" t="s">
        <v>55</v>
      </c>
      <c r="C46" s="193">
        <v>101.0</v>
      </c>
      <c r="D46" s="193">
        <v>202.0</v>
      </c>
      <c r="E46" s="193">
        <v>2885.0</v>
      </c>
      <c r="F46" s="193">
        <f t="shared" si="5"/>
        <v>0</v>
      </c>
      <c r="G46" s="193">
        <f t="shared" si="6"/>
        <v>1765.7931</v>
      </c>
      <c r="H46" s="194">
        <f t="shared" si="7"/>
        <v>1765.7931</v>
      </c>
      <c r="I46" s="193">
        <v>1.0</v>
      </c>
      <c r="J46" s="195">
        <f t="shared" si="8"/>
        <v>1765.7931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1715.0</v>
      </c>
      <c r="R46" s="190">
        <v>30.0</v>
      </c>
      <c r="S46" s="178">
        <f t="shared" si="9"/>
        <v>28.85</v>
      </c>
      <c r="T46" s="162">
        <f t="shared" si="10"/>
        <v>1</v>
      </c>
      <c r="U46" s="162">
        <f t="shared" si="11"/>
        <v>28.85</v>
      </c>
      <c r="V46" s="191">
        <f t="shared" si="12"/>
        <v>1765.7931</v>
      </c>
      <c r="W46" s="178">
        <f t="shared" ref="W46:X46" si="38">C46/100</f>
        <v>1.01</v>
      </c>
      <c r="X46" s="178">
        <f t="shared" si="38"/>
        <v>2.02</v>
      </c>
      <c r="Y46" s="178">
        <f t="shared" si="14"/>
        <v>28.85</v>
      </c>
      <c r="Z46" s="192">
        <f t="shared" si="15"/>
        <v>58.85977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</row>
    <row r="47" ht="27.0" customHeight="1">
      <c r="A47" s="162">
        <v>23.0</v>
      </c>
      <c r="B47" s="193" t="s">
        <v>55</v>
      </c>
      <c r="C47" s="193">
        <v>96.0</v>
      </c>
      <c r="D47" s="193">
        <v>202.0</v>
      </c>
      <c r="E47" s="193">
        <v>2874.0</v>
      </c>
      <c r="F47" s="193">
        <f t="shared" si="5"/>
        <v>0</v>
      </c>
      <c r="G47" s="193">
        <f t="shared" si="6"/>
        <v>1671.97824</v>
      </c>
      <c r="H47" s="194">
        <f t="shared" si="7"/>
        <v>1671.97824</v>
      </c>
      <c r="I47" s="193">
        <v>1.0</v>
      </c>
      <c r="J47" s="195">
        <f t="shared" si="8"/>
        <v>1671.97824</v>
      </c>
      <c r="K47" s="139"/>
      <c r="L47" s="178">
        <f t="shared" si="17"/>
        <v>5.1308</v>
      </c>
      <c r="M47" s="162">
        <f t="shared" si="18"/>
        <v>1</v>
      </c>
      <c r="N47" s="162">
        <f t="shared" si="19"/>
        <v>5.1308</v>
      </c>
      <c r="O47" s="139"/>
      <c r="P47" s="139"/>
      <c r="Q47" s="178">
        <v>1710.0</v>
      </c>
      <c r="R47" s="190">
        <v>30.0</v>
      </c>
      <c r="S47" s="178">
        <f t="shared" si="9"/>
        <v>28.74</v>
      </c>
      <c r="T47" s="162">
        <f t="shared" si="10"/>
        <v>1</v>
      </c>
      <c r="U47" s="162">
        <f t="shared" si="11"/>
        <v>28.74</v>
      </c>
      <c r="V47" s="191">
        <f t="shared" si="12"/>
        <v>1671.97824</v>
      </c>
      <c r="W47" s="178">
        <f t="shared" ref="W47:X47" si="39">C47/100</f>
        <v>0.96</v>
      </c>
      <c r="X47" s="178">
        <f t="shared" si="39"/>
        <v>2.02</v>
      </c>
      <c r="Y47" s="178">
        <f t="shared" si="14"/>
        <v>28.74</v>
      </c>
      <c r="Z47" s="192">
        <f t="shared" si="15"/>
        <v>55.732608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</row>
    <row r="48" ht="27.0" customHeight="1">
      <c r="A48" s="162">
        <v>24.0</v>
      </c>
      <c r="B48" s="193" t="s">
        <v>55</v>
      </c>
      <c r="C48" s="193">
        <v>98.0</v>
      </c>
      <c r="D48" s="193">
        <v>202.0</v>
      </c>
      <c r="E48" s="193">
        <v>2875.0</v>
      </c>
      <c r="F48" s="193">
        <f t="shared" si="5"/>
        <v>0</v>
      </c>
      <c r="G48" s="193">
        <f t="shared" si="6"/>
        <v>1707.405</v>
      </c>
      <c r="H48" s="194">
        <f t="shared" si="7"/>
        <v>1707.405</v>
      </c>
      <c r="I48" s="193">
        <v>1.0</v>
      </c>
      <c r="J48" s="195">
        <f t="shared" si="8"/>
        <v>1707.405</v>
      </c>
      <c r="K48" s="139"/>
      <c r="L48" s="178">
        <f t="shared" si="17"/>
        <v>5.1308</v>
      </c>
      <c r="M48" s="162">
        <f t="shared" si="18"/>
        <v>1</v>
      </c>
      <c r="N48" s="162">
        <f t="shared" si="19"/>
        <v>5.1308</v>
      </c>
      <c r="O48" s="139"/>
      <c r="P48" s="139"/>
      <c r="Q48" s="178">
        <v>1705.0</v>
      </c>
      <c r="R48" s="190">
        <v>30.0</v>
      </c>
      <c r="S48" s="178">
        <f t="shared" si="9"/>
        <v>28.75</v>
      </c>
      <c r="T48" s="162">
        <f t="shared" si="10"/>
        <v>1</v>
      </c>
      <c r="U48" s="162">
        <f t="shared" si="11"/>
        <v>28.75</v>
      </c>
      <c r="V48" s="191">
        <f t="shared" si="12"/>
        <v>1707.405</v>
      </c>
      <c r="W48" s="178">
        <f t="shared" ref="W48:X48" si="40">C48/100</f>
        <v>0.98</v>
      </c>
      <c r="X48" s="178">
        <f t="shared" si="40"/>
        <v>2.02</v>
      </c>
      <c r="Y48" s="178">
        <f t="shared" si="14"/>
        <v>28.75</v>
      </c>
      <c r="Z48" s="192">
        <f t="shared" si="15"/>
        <v>56.9135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</row>
    <row r="49" ht="27.0" customHeight="1">
      <c r="A49" s="162">
        <v>25.0</v>
      </c>
      <c r="B49" s="193" t="s">
        <v>55</v>
      </c>
      <c r="C49" s="193">
        <v>95.0</v>
      </c>
      <c r="D49" s="193">
        <v>202.0</v>
      </c>
      <c r="E49" s="193">
        <v>2877.0</v>
      </c>
      <c r="F49" s="193">
        <f t="shared" si="5"/>
        <v>0</v>
      </c>
      <c r="G49" s="193">
        <f t="shared" si="6"/>
        <v>1656.2889</v>
      </c>
      <c r="H49" s="194">
        <f t="shared" si="7"/>
        <v>1656.2889</v>
      </c>
      <c r="I49" s="193">
        <v>1.0</v>
      </c>
      <c r="J49" s="195">
        <f t="shared" si="8"/>
        <v>1656.2889</v>
      </c>
      <c r="K49" s="139"/>
      <c r="L49" s="178">
        <f t="shared" si="17"/>
        <v>5.1308</v>
      </c>
      <c r="M49" s="162">
        <f t="shared" si="18"/>
        <v>1</v>
      </c>
      <c r="N49" s="162">
        <f t="shared" si="19"/>
        <v>5.1308</v>
      </c>
      <c r="O49" s="139"/>
      <c r="P49" s="139"/>
      <c r="Q49" s="178">
        <v>1725.0</v>
      </c>
      <c r="R49" s="190">
        <v>30.0</v>
      </c>
      <c r="S49" s="178">
        <f t="shared" si="9"/>
        <v>28.77</v>
      </c>
      <c r="T49" s="162">
        <f t="shared" si="10"/>
        <v>1</v>
      </c>
      <c r="U49" s="162">
        <f t="shared" si="11"/>
        <v>28.77</v>
      </c>
      <c r="V49" s="191">
        <f t="shared" si="12"/>
        <v>1656.2889</v>
      </c>
      <c r="W49" s="178">
        <f t="shared" ref="W49:X49" si="41">C49/100</f>
        <v>0.95</v>
      </c>
      <c r="X49" s="178">
        <f t="shared" si="41"/>
        <v>2.02</v>
      </c>
      <c r="Y49" s="178">
        <f t="shared" si="14"/>
        <v>28.77</v>
      </c>
      <c r="Z49" s="192">
        <f t="shared" si="15"/>
        <v>55.20963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</row>
    <row r="50" ht="27.0" customHeight="1">
      <c r="A50" s="162">
        <v>26.0</v>
      </c>
      <c r="B50" s="196" t="s">
        <v>55</v>
      </c>
      <c r="C50" s="193">
        <v>92.0</v>
      </c>
      <c r="D50" s="193">
        <v>206.0</v>
      </c>
      <c r="E50" s="193">
        <v>202.0</v>
      </c>
      <c r="F50" s="193">
        <f t="shared" si="5"/>
        <v>0</v>
      </c>
      <c r="G50" s="193">
        <f t="shared" si="6"/>
        <v>114.84912</v>
      </c>
      <c r="H50" s="194">
        <f t="shared" si="7"/>
        <v>114.84912</v>
      </c>
      <c r="I50" s="193">
        <v>1.0</v>
      </c>
      <c r="J50" s="195">
        <f t="shared" si="8"/>
        <v>114.84912</v>
      </c>
      <c r="K50" s="139"/>
      <c r="L50" s="197"/>
      <c r="M50" s="198">
        <f t="shared" si="18"/>
        <v>1</v>
      </c>
      <c r="N50" s="198"/>
      <c r="O50" s="139"/>
      <c r="P50" s="139"/>
      <c r="Q50" s="178">
        <v>121.0</v>
      </c>
      <c r="R50" s="190">
        <v>30.0</v>
      </c>
      <c r="S50" s="178">
        <f t="shared" si="9"/>
        <v>2.02</v>
      </c>
      <c r="T50" s="162">
        <f t="shared" si="10"/>
        <v>1</v>
      </c>
      <c r="U50" s="162">
        <f t="shared" si="11"/>
        <v>2.02</v>
      </c>
      <c r="V50" s="191">
        <f t="shared" si="12"/>
        <v>114.84912</v>
      </c>
      <c r="W50" s="178">
        <f t="shared" ref="W50:X50" si="42">C50/100</f>
        <v>0.92</v>
      </c>
      <c r="X50" s="178">
        <f t="shared" si="42"/>
        <v>2.06</v>
      </c>
      <c r="Y50" s="178">
        <f t="shared" si="14"/>
        <v>2.02</v>
      </c>
      <c r="Z50" s="192">
        <f t="shared" si="15"/>
        <v>3.828304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</row>
    <row r="51" ht="27.0" customHeight="1">
      <c r="A51" s="162">
        <v>27.0</v>
      </c>
      <c r="B51" s="193" t="s">
        <v>55</v>
      </c>
      <c r="C51" s="193">
        <v>92.0</v>
      </c>
      <c r="D51" s="193">
        <v>206.0</v>
      </c>
      <c r="E51" s="193">
        <v>2116.0</v>
      </c>
      <c r="F51" s="193">
        <f t="shared" si="5"/>
        <v>0</v>
      </c>
      <c r="G51" s="193">
        <f t="shared" si="6"/>
        <v>1203.07296</v>
      </c>
      <c r="H51" s="194">
        <f t="shared" si="7"/>
        <v>1203.07296</v>
      </c>
      <c r="I51" s="193">
        <v>1.0</v>
      </c>
      <c r="J51" s="195">
        <f t="shared" si="8"/>
        <v>1203.07296</v>
      </c>
      <c r="K51" s="139"/>
      <c r="L51" s="197"/>
      <c r="M51" s="198">
        <f t="shared" si="18"/>
        <v>1</v>
      </c>
      <c r="N51" s="198"/>
      <c r="O51" s="139"/>
      <c r="P51" s="139"/>
      <c r="Q51" s="178">
        <v>1270.0</v>
      </c>
      <c r="R51" s="190">
        <v>30.0</v>
      </c>
      <c r="S51" s="178">
        <f t="shared" si="9"/>
        <v>21.16</v>
      </c>
      <c r="T51" s="162">
        <f t="shared" si="10"/>
        <v>1</v>
      </c>
      <c r="U51" s="162">
        <f t="shared" si="11"/>
        <v>21.16</v>
      </c>
      <c r="V51" s="191">
        <f t="shared" si="12"/>
        <v>1203.07296</v>
      </c>
      <c r="W51" s="178">
        <f t="shared" ref="W51:X51" si="43">C51/100</f>
        <v>0.92</v>
      </c>
      <c r="X51" s="178">
        <f t="shared" si="43"/>
        <v>2.06</v>
      </c>
      <c r="Y51" s="178">
        <f t="shared" si="14"/>
        <v>21.16</v>
      </c>
      <c r="Z51" s="192">
        <f t="shared" si="15"/>
        <v>40.102432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</row>
    <row r="52" ht="27.0" customHeight="1">
      <c r="A52" s="162">
        <v>28.0</v>
      </c>
      <c r="B52" s="193" t="s">
        <v>55</v>
      </c>
      <c r="C52" s="193">
        <v>93.0</v>
      </c>
      <c r="D52" s="193">
        <v>206.0</v>
      </c>
      <c r="E52" s="193">
        <v>2873.0</v>
      </c>
      <c r="F52" s="193">
        <f t="shared" si="5"/>
        <v>0</v>
      </c>
      <c r="G52" s="193">
        <f t="shared" si="6"/>
        <v>1651.22802</v>
      </c>
      <c r="H52" s="194">
        <f t="shared" si="7"/>
        <v>1651.22802</v>
      </c>
      <c r="I52" s="193">
        <v>1.0</v>
      </c>
      <c r="J52" s="195">
        <f t="shared" si="8"/>
        <v>1651.22802</v>
      </c>
      <c r="K52" s="139"/>
      <c r="L52" s="197"/>
      <c r="M52" s="198">
        <f t="shared" si="18"/>
        <v>1</v>
      </c>
      <c r="N52" s="198"/>
      <c r="O52" s="139"/>
      <c r="P52" s="139"/>
      <c r="Q52" s="178">
        <v>1745.0</v>
      </c>
      <c r="R52" s="190">
        <v>30.0</v>
      </c>
      <c r="S52" s="178">
        <f t="shared" si="9"/>
        <v>28.73</v>
      </c>
      <c r="T52" s="162">
        <f t="shared" si="10"/>
        <v>1</v>
      </c>
      <c r="U52" s="162">
        <f t="shared" si="11"/>
        <v>28.73</v>
      </c>
      <c r="V52" s="191">
        <f t="shared" si="12"/>
        <v>1651.22802</v>
      </c>
      <c r="W52" s="178">
        <f t="shared" ref="W52:X52" si="44">C52/100</f>
        <v>0.93</v>
      </c>
      <c r="X52" s="178">
        <f t="shared" si="44"/>
        <v>2.06</v>
      </c>
      <c r="Y52" s="178">
        <f t="shared" si="14"/>
        <v>28.73</v>
      </c>
      <c r="Z52" s="192">
        <f t="shared" si="15"/>
        <v>55.040934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</row>
    <row r="53" ht="27.0" customHeight="1">
      <c r="A53" s="162">
        <v>29.0</v>
      </c>
      <c r="B53" s="183" t="s">
        <v>110</v>
      </c>
      <c r="C53" s="184">
        <v>73.0</v>
      </c>
      <c r="D53" s="184">
        <v>198.0</v>
      </c>
      <c r="E53" s="184">
        <v>175.0</v>
      </c>
      <c r="F53" s="184">
        <f t="shared" si="5"/>
        <v>0.8</v>
      </c>
      <c r="G53" s="184">
        <f t="shared" si="6"/>
        <v>51.853725</v>
      </c>
      <c r="H53" s="185">
        <f t="shared" si="7"/>
        <v>41.48298</v>
      </c>
      <c r="I53" s="184">
        <v>1.0</v>
      </c>
      <c r="J53" s="186">
        <f t="shared" si="8"/>
        <v>41.48298</v>
      </c>
      <c r="K53" s="187"/>
      <c r="L53" s="188"/>
      <c r="M53" s="189">
        <f t="shared" si="18"/>
        <v>1</v>
      </c>
      <c r="N53" s="189"/>
      <c r="O53" s="187"/>
      <c r="P53" s="187"/>
      <c r="Q53" s="188">
        <v>58.0</v>
      </c>
      <c r="R53" s="190">
        <v>20.5</v>
      </c>
      <c r="S53" s="178">
        <f t="shared" si="9"/>
        <v>1.75</v>
      </c>
      <c r="T53" s="162">
        <f t="shared" si="10"/>
        <v>1</v>
      </c>
      <c r="U53" s="162">
        <f t="shared" si="11"/>
        <v>1.75</v>
      </c>
      <c r="V53" s="191">
        <f t="shared" si="12"/>
        <v>51.853725</v>
      </c>
      <c r="W53" s="178">
        <f t="shared" ref="W53:X53" si="45">C53/100</f>
        <v>0.73</v>
      </c>
      <c r="X53" s="178">
        <f t="shared" si="45"/>
        <v>1.98</v>
      </c>
      <c r="Y53" s="178">
        <f t="shared" si="14"/>
        <v>1.75</v>
      </c>
      <c r="Z53" s="192">
        <f t="shared" si="15"/>
        <v>2.52945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</row>
    <row r="54" ht="27.0" customHeight="1">
      <c r="A54" s="162">
        <v>30.0</v>
      </c>
      <c r="B54" s="193" t="s">
        <v>111</v>
      </c>
      <c r="C54" s="193">
        <v>98.0</v>
      </c>
      <c r="D54" s="193">
        <v>198.0</v>
      </c>
      <c r="E54" s="193">
        <v>223.0</v>
      </c>
      <c r="F54" s="193">
        <f t="shared" si="5"/>
        <v>0</v>
      </c>
      <c r="G54" s="193">
        <f t="shared" si="6"/>
        <v>88.705386</v>
      </c>
      <c r="H54" s="194">
        <f t="shared" si="7"/>
        <v>88.705386</v>
      </c>
      <c r="I54" s="193">
        <v>1.0</v>
      </c>
      <c r="J54" s="195">
        <f t="shared" si="8"/>
        <v>88.705386</v>
      </c>
      <c r="K54" s="139"/>
      <c r="L54" s="197"/>
      <c r="M54" s="198">
        <f t="shared" si="18"/>
        <v>1</v>
      </c>
      <c r="N54" s="198"/>
      <c r="O54" s="139"/>
      <c r="P54" s="139"/>
      <c r="Q54" s="178">
        <v>92.0</v>
      </c>
      <c r="R54" s="190">
        <v>20.5</v>
      </c>
      <c r="S54" s="178">
        <f t="shared" si="9"/>
        <v>2.23</v>
      </c>
      <c r="T54" s="162">
        <f t="shared" si="10"/>
        <v>1</v>
      </c>
      <c r="U54" s="162">
        <f t="shared" si="11"/>
        <v>2.23</v>
      </c>
      <c r="V54" s="191">
        <f t="shared" si="12"/>
        <v>88.705386</v>
      </c>
      <c r="W54" s="178">
        <f t="shared" ref="W54:X54" si="46">C54/100</f>
        <v>0.98</v>
      </c>
      <c r="X54" s="178">
        <f t="shared" si="46"/>
        <v>1.98</v>
      </c>
      <c r="Y54" s="178">
        <f t="shared" si="14"/>
        <v>2.23</v>
      </c>
      <c r="Z54" s="192">
        <f t="shared" si="15"/>
        <v>4.327092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</row>
    <row r="55" ht="27.0" customHeight="1">
      <c r="A55" s="162">
        <v>31.0</v>
      </c>
      <c r="B55" s="193" t="s">
        <v>111</v>
      </c>
      <c r="C55" s="193">
        <v>99.0</v>
      </c>
      <c r="D55" s="193">
        <v>198.0</v>
      </c>
      <c r="E55" s="193">
        <v>2986.0</v>
      </c>
      <c r="F55" s="193">
        <f t="shared" si="5"/>
        <v>0</v>
      </c>
      <c r="G55" s="193">
        <f t="shared" si="6"/>
        <v>1199.897226</v>
      </c>
      <c r="H55" s="194">
        <f t="shared" si="7"/>
        <v>1199.897226</v>
      </c>
      <c r="I55" s="193">
        <v>1.0</v>
      </c>
      <c r="J55" s="195">
        <f t="shared" si="8"/>
        <v>1199.897226</v>
      </c>
      <c r="K55" s="139"/>
      <c r="L55" s="197"/>
      <c r="M55" s="198">
        <f t="shared" si="18"/>
        <v>1</v>
      </c>
      <c r="N55" s="198"/>
      <c r="O55" s="139"/>
      <c r="P55" s="139"/>
      <c r="Q55" s="178">
        <v>1195.0</v>
      </c>
      <c r="R55" s="190">
        <v>20.5</v>
      </c>
      <c r="S55" s="178">
        <f t="shared" si="9"/>
        <v>29.86</v>
      </c>
      <c r="T55" s="162">
        <f t="shared" si="10"/>
        <v>1</v>
      </c>
      <c r="U55" s="162">
        <f t="shared" si="11"/>
        <v>29.86</v>
      </c>
      <c r="V55" s="191">
        <f t="shared" si="12"/>
        <v>1199.897226</v>
      </c>
      <c r="W55" s="178">
        <f t="shared" ref="W55:X55" si="47">C55/100</f>
        <v>0.99</v>
      </c>
      <c r="X55" s="178">
        <f t="shared" si="47"/>
        <v>1.98</v>
      </c>
      <c r="Y55" s="178">
        <f t="shared" si="14"/>
        <v>29.86</v>
      </c>
      <c r="Z55" s="192">
        <f t="shared" si="15"/>
        <v>58.531572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</row>
    <row r="56" ht="27.0" customHeight="1">
      <c r="A56" s="162">
        <v>32.0</v>
      </c>
      <c r="B56" s="183" t="s">
        <v>67</v>
      </c>
      <c r="C56" s="184">
        <v>84.0</v>
      </c>
      <c r="D56" s="184">
        <v>191.0</v>
      </c>
      <c r="E56" s="184">
        <v>189.0</v>
      </c>
      <c r="F56" s="184">
        <f t="shared" si="5"/>
        <v>0.8</v>
      </c>
      <c r="G56" s="184">
        <f t="shared" si="6"/>
        <v>48.517056</v>
      </c>
      <c r="H56" s="185">
        <f t="shared" si="7"/>
        <v>38.8136448</v>
      </c>
      <c r="I56" s="184">
        <v>1.0</v>
      </c>
      <c r="J56" s="186">
        <f t="shared" si="8"/>
        <v>38.8136448</v>
      </c>
      <c r="K56" s="187"/>
      <c r="L56" s="188"/>
      <c r="M56" s="189">
        <f t="shared" si="18"/>
        <v>1</v>
      </c>
      <c r="N56" s="189"/>
      <c r="O56" s="187"/>
      <c r="P56" s="187"/>
      <c r="Q56" s="188">
        <v>54.0</v>
      </c>
      <c r="R56" s="190">
        <v>16.0</v>
      </c>
      <c r="S56" s="178">
        <f t="shared" si="9"/>
        <v>1.89</v>
      </c>
      <c r="T56" s="162">
        <f t="shared" si="10"/>
        <v>1</v>
      </c>
      <c r="U56" s="162">
        <f t="shared" si="11"/>
        <v>1.89</v>
      </c>
      <c r="V56" s="191">
        <f t="shared" si="12"/>
        <v>48.517056</v>
      </c>
      <c r="W56" s="178">
        <f t="shared" ref="W56:X56" si="48">C56/100</f>
        <v>0.84</v>
      </c>
      <c r="X56" s="178">
        <f t="shared" si="48"/>
        <v>1.91</v>
      </c>
      <c r="Y56" s="178">
        <f t="shared" si="14"/>
        <v>1.89</v>
      </c>
      <c r="Z56" s="192">
        <f t="shared" si="15"/>
        <v>3.032316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</row>
    <row r="57" ht="27.0" customHeight="1">
      <c r="A57" s="162">
        <v>33.0</v>
      </c>
      <c r="B57" s="193" t="s">
        <v>59</v>
      </c>
      <c r="C57" s="193">
        <v>93.0</v>
      </c>
      <c r="D57" s="193">
        <v>191.0</v>
      </c>
      <c r="E57" s="193">
        <v>166.0</v>
      </c>
      <c r="F57" s="193">
        <f t="shared" si="5"/>
        <v>0</v>
      </c>
      <c r="G57" s="193">
        <f t="shared" si="6"/>
        <v>47.178528</v>
      </c>
      <c r="H57" s="194">
        <f t="shared" si="7"/>
        <v>47.178528</v>
      </c>
      <c r="I57" s="193">
        <v>1.0</v>
      </c>
      <c r="J57" s="195">
        <f t="shared" si="8"/>
        <v>47.178528</v>
      </c>
      <c r="K57" s="139"/>
      <c r="L57" s="197"/>
      <c r="M57" s="198">
        <f t="shared" si="18"/>
        <v>1</v>
      </c>
      <c r="N57" s="198"/>
      <c r="O57" s="139"/>
      <c r="P57" s="139"/>
      <c r="Q57" s="178">
        <v>49.0</v>
      </c>
      <c r="R57" s="190">
        <v>16.0</v>
      </c>
      <c r="S57" s="178">
        <f t="shared" si="9"/>
        <v>1.66</v>
      </c>
      <c r="T57" s="162">
        <f t="shared" si="10"/>
        <v>1</v>
      </c>
      <c r="U57" s="162">
        <f t="shared" si="11"/>
        <v>1.66</v>
      </c>
      <c r="V57" s="191">
        <f t="shared" si="12"/>
        <v>47.178528</v>
      </c>
      <c r="W57" s="178">
        <f t="shared" ref="W57:X57" si="49">C57/100</f>
        <v>0.93</v>
      </c>
      <c r="X57" s="178">
        <f t="shared" si="49"/>
        <v>1.91</v>
      </c>
      <c r="Y57" s="178">
        <f t="shared" si="14"/>
        <v>1.66</v>
      </c>
      <c r="Z57" s="192">
        <f t="shared" si="15"/>
        <v>2.948658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</row>
    <row r="58" ht="27.0" customHeight="1">
      <c r="A58" s="162">
        <v>34.0</v>
      </c>
      <c r="B58" s="193" t="s">
        <v>59</v>
      </c>
      <c r="C58" s="193">
        <v>104.0</v>
      </c>
      <c r="D58" s="193">
        <v>191.0</v>
      </c>
      <c r="E58" s="193">
        <v>2730.0</v>
      </c>
      <c r="F58" s="193">
        <f t="shared" si="5"/>
        <v>0</v>
      </c>
      <c r="G58" s="193">
        <f t="shared" si="6"/>
        <v>867.65952</v>
      </c>
      <c r="H58" s="194">
        <f t="shared" si="7"/>
        <v>867.65952</v>
      </c>
      <c r="I58" s="193">
        <v>1.0</v>
      </c>
      <c r="J58" s="195">
        <f t="shared" si="8"/>
        <v>867.65952</v>
      </c>
      <c r="K58" s="139"/>
      <c r="L58" s="197"/>
      <c r="M58" s="198">
        <f t="shared" si="18"/>
        <v>1</v>
      </c>
      <c r="N58" s="198"/>
      <c r="O58" s="139"/>
      <c r="P58" s="139"/>
      <c r="Q58" s="178">
        <v>870.0</v>
      </c>
      <c r="R58" s="190">
        <v>16.0</v>
      </c>
      <c r="S58" s="178">
        <f t="shared" si="9"/>
        <v>27.3</v>
      </c>
      <c r="T58" s="162">
        <f t="shared" si="10"/>
        <v>1</v>
      </c>
      <c r="U58" s="162">
        <f t="shared" si="11"/>
        <v>27.3</v>
      </c>
      <c r="V58" s="191">
        <f t="shared" si="12"/>
        <v>867.65952</v>
      </c>
      <c r="W58" s="178">
        <f t="shared" ref="W58:X58" si="50">C58/100</f>
        <v>1.04</v>
      </c>
      <c r="X58" s="178">
        <f t="shared" si="50"/>
        <v>1.91</v>
      </c>
      <c r="Y58" s="178">
        <f t="shared" si="14"/>
        <v>27.3</v>
      </c>
      <c r="Z58" s="192">
        <f t="shared" si="15"/>
        <v>54.22872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</row>
    <row r="59" ht="27.0" customHeight="1">
      <c r="A59" s="162">
        <v>35.0</v>
      </c>
      <c r="B59" s="193" t="s">
        <v>59</v>
      </c>
      <c r="C59" s="193">
        <v>106.0</v>
      </c>
      <c r="D59" s="193">
        <v>191.0</v>
      </c>
      <c r="E59" s="193">
        <v>2850.0</v>
      </c>
      <c r="F59" s="193">
        <f t="shared" si="5"/>
        <v>0</v>
      </c>
      <c r="G59" s="193">
        <f t="shared" si="6"/>
        <v>923.2176</v>
      </c>
      <c r="H59" s="194">
        <f t="shared" si="7"/>
        <v>923.2176</v>
      </c>
      <c r="I59" s="193">
        <v>1.0</v>
      </c>
      <c r="J59" s="195">
        <f t="shared" si="8"/>
        <v>923.2176</v>
      </c>
      <c r="K59" s="139"/>
      <c r="L59" s="197"/>
      <c r="M59" s="198">
        <f t="shared" si="18"/>
        <v>1</v>
      </c>
      <c r="N59" s="198"/>
      <c r="O59" s="139"/>
      <c r="P59" s="139"/>
      <c r="Q59" s="178">
        <v>925.0</v>
      </c>
      <c r="R59" s="190">
        <v>16.0</v>
      </c>
      <c r="S59" s="178">
        <f t="shared" si="9"/>
        <v>28.5</v>
      </c>
      <c r="T59" s="162">
        <f t="shared" si="10"/>
        <v>1</v>
      </c>
      <c r="U59" s="162">
        <f t="shared" si="11"/>
        <v>28.5</v>
      </c>
      <c r="V59" s="191">
        <f t="shared" si="12"/>
        <v>923.2176</v>
      </c>
      <c r="W59" s="178">
        <f t="shared" ref="W59:X59" si="51">C59/100</f>
        <v>1.06</v>
      </c>
      <c r="X59" s="178">
        <f t="shared" si="51"/>
        <v>1.91</v>
      </c>
      <c r="Y59" s="178">
        <f t="shared" si="14"/>
        <v>28.5</v>
      </c>
      <c r="Z59" s="192">
        <f t="shared" si="15"/>
        <v>57.7011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</row>
    <row r="60" ht="27.0" customHeight="1">
      <c r="A60" s="162">
        <v>36.0</v>
      </c>
      <c r="B60" s="183" t="s">
        <v>85</v>
      </c>
      <c r="C60" s="184">
        <v>86.0</v>
      </c>
      <c r="D60" s="184">
        <v>215.0</v>
      </c>
      <c r="E60" s="184">
        <v>175.0</v>
      </c>
      <c r="F60" s="184">
        <f t="shared" si="5"/>
        <v>0.8</v>
      </c>
      <c r="G60" s="184">
        <f t="shared" si="6"/>
        <v>77.658</v>
      </c>
      <c r="H60" s="185">
        <f t="shared" si="7"/>
        <v>62.1264</v>
      </c>
      <c r="I60" s="184">
        <v>1.0</v>
      </c>
      <c r="J60" s="186">
        <f t="shared" si="8"/>
        <v>62.1264</v>
      </c>
      <c r="K60" s="187"/>
      <c r="L60" s="188"/>
      <c r="M60" s="189">
        <f t="shared" si="18"/>
        <v>1</v>
      </c>
      <c r="N60" s="189"/>
      <c r="O60" s="187"/>
      <c r="P60" s="187"/>
      <c r="Q60" s="188">
        <v>88.0</v>
      </c>
      <c r="R60" s="190">
        <v>24.0</v>
      </c>
      <c r="S60" s="178">
        <f t="shared" si="9"/>
        <v>1.75</v>
      </c>
      <c r="T60" s="162">
        <f t="shared" si="10"/>
        <v>1</v>
      </c>
      <c r="U60" s="162">
        <f t="shared" si="11"/>
        <v>1.75</v>
      </c>
      <c r="V60" s="191">
        <f t="shared" si="12"/>
        <v>77.658</v>
      </c>
      <c r="W60" s="178">
        <f t="shared" ref="W60:X60" si="52">C60/100</f>
        <v>0.86</v>
      </c>
      <c r="X60" s="178">
        <f t="shared" si="52"/>
        <v>2.15</v>
      </c>
      <c r="Y60" s="178">
        <f t="shared" si="14"/>
        <v>1.75</v>
      </c>
      <c r="Z60" s="192">
        <f t="shared" si="15"/>
        <v>3.23575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</row>
    <row r="61" ht="27.0" customHeight="1">
      <c r="A61" s="162">
        <v>37.0</v>
      </c>
      <c r="B61" s="193" t="s">
        <v>78</v>
      </c>
      <c r="C61" s="193">
        <v>95.0</v>
      </c>
      <c r="D61" s="193">
        <v>215.0</v>
      </c>
      <c r="E61" s="193">
        <v>176.0</v>
      </c>
      <c r="F61" s="193">
        <f t="shared" si="5"/>
        <v>0</v>
      </c>
      <c r="G61" s="193">
        <f t="shared" si="6"/>
        <v>86.2752</v>
      </c>
      <c r="H61" s="194">
        <f t="shared" si="7"/>
        <v>86.2752</v>
      </c>
      <c r="I61" s="193">
        <v>1.0</v>
      </c>
      <c r="J61" s="195">
        <f t="shared" si="8"/>
        <v>86.2752</v>
      </c>
      <c r="K61" s="139"/>
      <c r="L61" s="197"/>
      <c r="M61" s="198">
        <f t="shared" si="18"/>
        <v>1</v>
      </c>
      <c r="N61" s="198"/>
      <c r="O61" s="139"/>
      <c r="P61" s="139"/>
      <c r="Q61" s="178">
        <v>90.0</v>
      </c>
      <c r="R61" s="190">
        <v>24.0</v>
      </c>
      <c r="S61" s="178">
        <f t="shared" si="9"/>
        <v>1.76</v>
      </c>
      <c r="T61" s="162">
        <f t="shared" si="10"/>
        <v>1</v>
      </c>
      <c r="U61" s="162">
        <f t="shared" si="11"/>
        <v>1.76</v>
      </c>
      <c r="V61" s="191">
        <f t="shared" si="12"/>
        <v>86.2752</v>
      </c>
      <c r="W61" s="178">
        <f t="shared" ref="W61:X61" si="53">C61/100</f>
        <v>0.95</v>
      </c>
      <c r="X61" s="178">
        <f t="shared" si="53"/>
        <v>2.15</v>
      </c>
      <c r="Y61" s="178">
        <f t="shared" si="14"/>
        <v>1.76</v>
      </c>
      <c r="Z61" s="192">
        <f t="shared" si="15"/>
        <v>3.5948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</row>
    <row r="62" ht="27.0" customHeight="1">
      <c r="A62" s="162">
        <v>38.0</v>
      </c>
      <c r="B62" s="193" t="s">
        <v>78</v>
      </c>
      <c r="C62" s="193">
        <v>102.0</v>
      </c>
      <c r="D62" s="193">
        <v>215.0</v>
      </c>
      <c r="E62" s="193">
        <v>2875.0</v>
      </c>
      <c r="F62" s="193">
        <f t="shared" si="5"/>
        <v>0</v>
      </c>
      <c r="G62" s="193">
        <f t="shared" si="6"/>
        <v>1513.17</v>
      </c>
      <c r="H62" s="194">
        <f t="shared" si="7"/>
        <v>1513.17</v>
      </c>
      <c r="I62" s="193">
        <v>1.0</v>
      </c>
      <c r="J62" s="195">
        <f t="shared" si="8"/>
        <v>1513.17</v>
      </c>
      <c r="K62" s="139"/>
      <c r="L62" s="197"/>
      <c r="M62" s="198">
        <f t="shared" si="18"/>
        <v>1</v>
      </c>
      <c r="N62" s="198"/>
      <c r="O62" s="139"/>
      <c r="P62" s="139"/>
      <c r="Q62" s="178">
        <v>1585.0</v>
      </c>
      <c r="R62" s="190">
        <v>24.0</v>
      </c>
      <c r="S62" s="178">
        <f t="shared" si="9"/>
        <v>28.75</v>
      </c>
      <c r="T62" s="162">
        <f t="shared" si="10"/>
        <v>1</v>
      </c>
      <c r="U62" s="162">
        <f t="shared" si="11"/>
        <v>28.75</v>
      </c>
      <c r="V62" s="191">
        <f t="shared" si="12"/>
        <v>1513.17</v>
      </c>
      <c r="W62" s="178">
        <f t="shared" ref="W62:X62" si="54">C62/100</f>
        <v>1.02</v>
      </c>
      <c r="X62" s="178">
        <f t="shared" si="54"/>
        <v>2.15</v>
      </c>
      <c r="Y62" s="178">
        <f t="shared" si="14"/>
        <v>28.75</v>
      </c>
      <c r="Z62" s="192">
        <f t="shared" si="15"/>
        <v>63.04875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</row>
    <row r="63" ht="27.0" customHeight="1">
      <c r="A63" s="162">
        <v>39.0</v>
      </c>
      <c r="B63" s="193" t="s">
        <v>78</v>
      </c>
      <c r="C63" s="193">
        <v>102.0</v>
      </c>
      <c r="D63" s="193">
        <v>215.0</v>
      </c>
      <c r="E63" s="193">
        <v>2875.0</v>
      </c>
      <c r="F63" s="193">
        <f t="shared" si="5"/>
        <v>0</v>
      </c>
      <c r="G63" s="193">
        <f t="shared" si="6"/>
        <v>1513.17</v>
      </c>
      <c r="H63" s="194">
        <f t="shared" si="7"/>
        <v>1513.17</v>
      </c>
      <c r="I63" s="193">
        <v>1.0</v>
      </c>
      <c r="J63" s="195">
        <f t="shared" si="8"/>
        <v>1513.17</v>
      </c>
      <c r="K63" s="139"/>
      <c r="L63" s="197"/>
      <c r="M63" s="198"/>
      <c r="N63" s="198"/>
      <c r="O63" s="139"/>
      <c r="P63" s="139"/>
      <c r="Q63" s="178">
        <v>1560.0</v>
      </c>
      <c r="R63" s="190">
        <v>24.0</v>
      </c>
      <c r="S63" s="178">
        <f t="shared" si="9"/>
        <v>28.75</v>
      </c>
      <c r="T63" s="162">
        <f t="shared" si="10"/>
        <v>1</v>
      </c>
      <c r="U63" s="162">
        <f t="shared" si="11"/>
        <v>28.75</v>
      </c>
      <c r="V63" s="191">
        <f t="shared" si="12"/>
        <v>1513.17</v>
      </c>
      <c r="W63" s="178">
        <f t="shared" ref="W63:X63" si="55">C63/100</f>
        <v>1.02</v>
      </c>
      <c r="X63" s="178">
        <f t="shared" si="55"/>
        <v>2.15</v>
      </c>
      <c r="Y63" s="178">
        <f t="shared" si="14"/>
        <v>28.75</v>
      </c>
      <c r="Z63" s="192">
        <f t="shared" si="15"/>
        <v>63.04875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</row>
    <row r="64" ht="27.0" customHeight="1">
      <c r="A64" s="162">
        <v>40.0</v>
      </c>
      <c r="B64" s="193" t="s">
        <v>78</v>
      </c>
      <c r="C64" s="193">
        <v>103.0</v>
      </c>
      <c r="D64" s="193">
        <v>215.0</v>
      </c>
      <c r="E64" s="193">
        <v>2739.0</v>
      </c>
      <c r="F64" s="193">
        <f t="shared" si="5"/>
        <v>0</v>
      </c>
      <c r="G64" s="193">
        <f t="shared" si="6"/>
        <v>1455.72372</v>
      </c>
      <c r="H64" s="194">
        <f t="shared" si="7"/>
        <v>1455.72372</v>
      </c>
      <c r="I64" s="193">
        <v>1.0</v>
      </c>
      <c r="J64" s="195">
        <f t="shared" si="8"/>
        <v>1455.72372</v>
      </c>
      <c r="K64" s="139"/>
      <c r="L64" s="197"/>
      <c r="M64" s="198"/>
      <c r="N64" s="198"/>
      <c r="O64" s="139"/>
      <c r="P64" s="139"/>
      <c r="Q64" s="178">
        <v>1510.0</v>
      </c>
      <c r="R64" s="190">
        <v>24.0</v>
      </c>
      <c r="S64" s="178">
        <f t="shared" si="9"/>
        <v>27.39</v>
      </c>
      <c r="T64" s="162">
        <f t="shared" si="10"/>
        <v>1</v>
      </c>
      <c r="U64" s="162">
        <f t="shared" si="11"/>
        <v>27.39</v>
      </c>
      <c r="V64" s="191">
        <f t="shared" si="12"/>
        <v>1455.72372</v>
      </c>
      <c r="W64" s="178">
        <f t="shared" ref="W64:X64" si="56">C64/100</f>
        <v>1.03</v>
      </c>
      <c r="X64" s="178">
        <f t="shared" si="56"/>
        <v>2.15</v>
      </c>
      <c r="Y64" s="178">
        <f t="shared" si="14"/>
        <v>27.39</v>
      </c>
      <c r="Z64" s="192">
        <f t="shared" si="15"/>
        <v>60.655155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</row>
    <row r="65" ht="27.0" customHeight="1">
      <c r="A65" s="162">
        <v>41.0</v>
      </c>
      <c r="B65" s="193" t="s">
        <v>78</v>
      </c>
      <c r="C65" s="193">
        <v>103.0</v>
      </c>
      <c r="D65" s="193">
        <v>215.0</v>
      </c>
      <c r="E65" s="193">
        <v>2870.0</v>
      </c>
      <c r="F65" s="193">
        <f t="shared" si="5"/>
        <v>0</v>
      </c>
      <c r="G65" s="193">
        <f t="shared" si="6"/>
        <v>1525.3476</v>
      </c>
      <c r="H65" s="194">
        <f t="shared" si="7"/>
        <v>1525.3476</v>
      </c>
      <c r="I65" s="193">
        <v>1.0</v>
      </c>
      <c r="J65" s="195">
        <f t="shared" si="8"/>
        <v>1525.3476</v>
      </c>
      <c r="K65" s="139"/>
      <c r="L65" s="197"/>
      <c r="M65" s="198"/>
      <c r="N65" s="198"/>
      <c r="O65" s="139"/>
      <c r="P65" s="139"/>
      <c r="Q65" s="178">
        <v>1590.0</v>
      </c>
      <c r="R65" s="190">
        <v>24.0</v>
      </c>
      <c r="S65" s="178">
        <f t="shared" si="9"/>
        <v>28.7</v>
      </c>
      <c r="T65" s="162">
        <f t="shared" si="10"/>
        <v>1</v>
      </c>
      <c r="U65" s="162">
        <f t="shared" si="11"/>
        <v>28.7</v>
      </c>
      <c r="V65" s="191">
        <f t="shared" si="12"/>
        <v>1525.3476</v>
      </c>
      <c r="W65" s="178">
        <f t="shared" ref="W65:X65" si="57">C65/100</f>
        <v>1.03</v>
      </c>
      <c r="X65" s="178">
        <f t="shared" si="57"/>
        <v>2.15</v>
      </c>
      <c r="Y65" s="178">
        <f t="shared" si="14"/>
        <v>28.7</v>
      </c>
      <c r="Z65" s="192">
        <f t="shared" si="15"/>
        <v>63.55615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</row>
    <row r="66" ht="27.0" customHeight="1">
      <c r="A66" s="162">
        <v>42.0</v>
      </c>
      <c r="B66" s="183" t="s">
        <v>109</v>
      </c>
      <c r="C66" s="184">
        <v>79.0</v>
      </c>
      <c r="D66" s="184">
        <v>216.0</v>
      </c>
      <c r="E66" s="184">
        <v>200.0</v>
      </c>
      <c r="F66" s="184">
        <f t="shared" si="5"/>
        <v>0.8</v>
      </c>
      <c r="G66" s="184">
        <f t="shared" si="6"/>
        <v>71.6688</v>
      </c>
      <c r="H66" s="185">
        <f t="shared" si="7"/>
        <v>57.33504</v>
      </c>
      <c r="I66" s="184">
        <v>1.0</v>
      </c>
      <c r="J66" s="186">
        <f t="shared" si="8"/>
        <v>57.33504</v>
      </c>
      <c r="K66" s="187"/>
      <c r="L66" s="188"/>
      <c r="M66" s="189"/>
      <c r="N66" s="189"/>
      <c r="O66" s="187"/>
      <c r="P66" s="187"/>
      <c r="Q66" s="188">
        <v>84.0</v>
      </c>
      <c r="R66" s="190">
        <v>21.0</v>
      </c>
      <c r="S66" s="178">
        <f t="shared" si="9"/>
        <v>2</v>
      </c>
      <c r="T66" s="162">
        <f t="shared" si="10"/>
        <v>1</v>
      </c>
      <c r="U66" s="162">
        <f t="shared" si="11"/>
        <v>2</v>
      </c>
      <c r="V66" s="191">
        <f t="shared" si="12"/>
        <v>71.6688</v>
      </c>
      <c r="W66" s="178">
        <f t="shared" ref="W66:X66" si="58">C66/100</f>
        <v>0.79</v>
      </c>
      <c r="X66" s="178">
        <f t="shared" si="58"/>
        <v>2.16</v>
      </c>
      <c r="Y66" s="178">
        <f t="shared" si="14"/>
        <v>2</v>
      </c>
      <c r="Z66" s="192">
        <f t="shared" si="15"/>
        <v>3.4128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</row>
    <row r="67" ht="27.0" customHeight="1">
      <c r="A67" s="162">
        <v>43.0</v>
      </c>
      <c r="B67" s="193" t="s">
        <v>105</v>
      </c>
      <c r="C67" s="193">
        <v>97.0</v>
      </c>
      <c r="D67" s="193">
        <v>216.0</v>
      </c>
      <c r="E67" s="193">
        <v>199.0</v>
      </c>
      <c r="F67" s="193">
        <f t="shared" si="5"/>
        <v>0</v>
      </c>
      <c r="G67" s="193">
        <f t="shared" si="6"/>
        <v>87.558408</v>
      </c>
      <c r="H67" s="194">
        <f t="shared" si="7"/>
        <v>87.558408</v>
      </c>
      <c r="I67" s="193">
        <v>1.0</v>
      </c>
      <c r="J67" s="195">
        <f t="shared" si="8"/>
        <v>87.558408</v>
      </c>
      <c r="K67" s="139"/>
      <c r="L67" s="197"/>
      <c r="M67" s="198"/>
      <c r="N67" s="198"/>
      <c r="O67" s="139"/>
      <c r="P67" s="139"/>
      <c r="Q67" s="178">
        <v>88.0</v>
      </c>
      <c r="R67" s="190">
        <v>21.0</v>
      </c>
      <c r="S67" s="178">
        <f t="shared" si="9"/>
        <v>1.99</v>
      </c>
      <c r="T67" s="162">
        <f t="shared" si="10"/>
        <v>1</v>
      </c>
      <c r="U67" s="162">
        <f t="shared" si="11"/>
        <v>1.99</v>
      </c>
      <c r="V67" s="191">
        <f t="shared" si="12"/>
        <v>87.558408</v>
      </c>
      <c r="W67" s="178">
        <f t="shared" ref="W67:X67" si="59">C67/100</f>
        <v>0.97</v>
      </c>
      <c r="X67" s="178">
        <f t="shared" si="59"/>
        <v>2.16</v>
      </c>
      <c r="Y67" s="178">
        <f t="shared" si="14"/>
        <v>1.99</v>
      </c>
      <c r="Z67" s="192">
        <f t="shared" si="15"/>
        <v>4.169448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</row>
    <row r="68" ht="27.0" customHeight="1">
      <c r="A68" s="162">
        <v>44.0</v>
      </c>
      <c r="B68" s="193" t="s">
        <v>105</v>
      </c>
      <c r="C68" s="193">
        <v>103.0</v>
      </c>
      <c r="D68" s="193">
        <v>216.0</v>
      </c>
      <c r="E68" s="193">
        <v>2873.0</v>
      </c>
      <c r="F68" s="193">
        <f t="shared" si="5"/>
        <v>0</v>
      </c>
      <c r="G68" s="193">
        <f t="shared" si="6"/>
        <v>1342.288584</v>
      </c>
      <c r="H68" s="194">
        <f t="shared" si="7"/>
        <v>1342.288584</v>
      </c>
      <c r="I68" s="193">
        <v>1.0</v>
      </c>
      <c r="J68" s="195">
        <f t="shared" si="8"/>
        <v>1342.288584</v>
      </c>
      <c r="K68" s="139"/>
      <c r="L68" s="197"/>
      <c r="M68" s="198"/>
      <c r="N68" s="198"/>
      <c r="O68" s="139"/>
      <c r="P68" s="139"/>
      <c r="Q68" s="178">
        <v>1385.0</v>
      </c>
      <c r="R68" s="190">
        <v>21.0</v>
      </c>
      <c r="S68" s="178">
        <f t="shared" si="9"/>
        <v>28.73</v>
      </c>
      <c r="T68" s="162">
        <f t="shared" si="10"/>
        <v>1</v>
      </c>
      <c r="U68" s="162">
        <f t="shared" si="11"/>
        <v>28.73</v>
      </c>
      <c r="V68" s="191">
        <f t="shared" si="12"/>
        <v>1342.288584</v>
      </c>
      <c r="W68" s="178">
        <f t="shared" ref="W68:X68" si="60">C68/100</f>
        <v>1.03</v>
      </c>
      <c r="X68" s="178">
        <f t="shared" si="60"/>
        <v>2.16</v>
      </c>
      <c r="Y68" s="178">
        <f t="shared" si="14"/>
        <v>28.73</v>
      </c>
      <c r="Z68" s="192">
        <f t="shared" si="15"/>
        <v>63.918504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</row>
    <row r="69" ht="27.0" customHeight="1">
      <c r="A69" s="162">
        <v>45.0</v>
      </c>
      <c r="B69" s="193" t="s">
        <v>105</v>
      </c>
      <c r="C69" s="193">
        <v>103.0</v>
      </c>
      <c r="D69" s="193">
        <v>216.0</v>
      </c>
      <c r="E69" s="193">
        <v>2870.0</v>
      </c>
      <c r="F69" s="193">
        <f t="shared" si="5"/>
        <v>0</v>
      </c>
      <c r="G69" s="193">
        <f t="shared" si="6"/>
        <v>1340.88696</v>
      </c>
      <c r="H69" s="194">
        <f t="shared" si="7"/>
        <v>1340.88696</v>
      </c>
      <c r="I69" s="193">
        <v>1.0</v>
      </c>
      <c r="J69" s="195">
        <f t="shared" si="8"/>
        <v>1340.88696</v>
      </c>
      <c r="K69" s="139"/>
      <c r="L69" s="197"/>
      <c r="M69" s="198"/>
      <c r="N69" s="198"/>
      <c r="O69" s="139"/>
      <c r="P69" s="139"/>
      <c r="Q69" s="178">
        <v>1370.0</v>
      </c>
      <c r="R69" s="190">
        <v>21.0</v>
      </c>
      <c r="S69" s="178">
        <f t="shared" si="9"/>
        <v>28.7</v>
      </c>
      <c r="T69" s="162">
        <f t="shared" si="10"/>
        <v>1</v>
      </c>
      <c r="U69" s="162">
        <f t="shared" si="11"/>
        <v>28.7</v>
      </c>
      <c r="V69" s="191">
        <f t="shared" si="12"/>
        <v>1340.88696</v>
      </c>
      <c r="W69" s="178">
        <f t="shared" ref="W69:X69" si="61">C69/100</f>
        <v>1.03</v>
      </c>
      <c r="X69" s="178">
        <f t="shared" si="61"/>
        <v>2.16</v>
      </c>
      <c r="Y69" s="178">
        <f t="shared" si="14"/>
        <v>28.7</v>
      </c>
      <c r="Z69" s="192">
        <f t="shared" si="15"/>
        <v>63.85176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</row>
    <row r="70" ht="27.0" customHeight="1">
      <c r="A70" s="162">
        <v>46.0</v>
      </c>
      <c r="B70" s="193" t="s">
        <v>105</v>
      </c>
      <c r="C70" s="193">
        <v>104.0</v>
      </c>
      <c r="D70" s="193">
        <v>216.0</v>
      </c>
      <c r="E70" s="193">
        <v>2698.0</v>
      </c>
      <c r="F70" s="193">
        <f t="shared" si="5"/>
        <v>0</v>
      </c>
      <c r="G70" s="193">
        <f t="shared" si="6"/>
        <v>1272.765312</v>
      </c>
      <c r="H70" s="194">
        <f t="shared" si="7"/>
        <v>1272.765312</v>
      </c>
      <c r="I70" s="193">
        <v>1.0</v>
      </c>
      <c r="J70" s="195">
        <f t="shared" si="8"/>
        <v>1272.765312</v>
      </c>
      <c r="K70" s="139"/>
      <c r="L70" s="197"/>
      <c r="M70" s="198"/>
      <c r="N70" s="198"/>
      <c r="O70" s="139"/>
      <c r="P70" s="139"/>
      <c r="Q70" s="178">
        <v>1275.0</v>
      </c>
      <c r="R70" s="190">
        <v>21.0</v>
      </c>
      <c r="S70" s="178">
        <f t="shared" si="9"/>
        <v>26.98</v>
      </c>
      <c r="T70" s="162">
        <f t="shared" si="10"/>
        <v>1</v>
      </c>
      <c r="U70" s="162">
        <f t="shared" si="11"/>
        <v>26.98</v>
      </c>
      <c r="V70" s="191">
        <f t="shared" si="12"/>
        <v>1272.765312</v>
      </c>
      <c r="W70" s="178">
        <f t="shared" ref="W70:X70" si="62">C70/100</f>
        <v>1.04</v>
      </c>
      <c r="X70" s="178">
        <f t="shared" si="62"/>
        <v>2.16</v>
      </c>
      <c r="Y70" s="178">
        <f t="shared" si="14"/>
        <v>26.98</v>
      </c>
      <c r="Z70" s="192">
        <f t="shared" si="15"/>
        <v>60.607872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</row>
    <row r="71" ht="27.0" customHeight="1">
      <c r="A71" s="162">
        <v>47.0</v>
      </c>
      <c r="B71" s="193" t="s">
        <v>105</v>
      </c>
      <c r="C71" s="193">
        <v>104.0</v>
      </c>
      <c r="D71" s="193">
        <v>216.0</v>
      </c>
      <c r="E71" s="193">
        <v>2870.0</v>
      </c>
      <c r="F71" s="193">
        <f t="shared" si="5"/>
        <v>0</v>
      </c>
      <c r="G71" s="193">
        <f t="shared" si="6"/>
        <v>1353.90528</v>
      </c>
      <c r="H71" s="194">
        <f t="shared" si="7"/>
        <v>1353.90528</v>
      </c>
      <c r="I71" s="193">
        <v>1.0</v>
      </c>
      <c r="J71" s="195">
        <f t="shared" si="8"/>
        <v>1353.90528</v>
      </c>
      <c r="K71" s="139"/>
      <c r="L71" s="197"/>
      <c r="M71" s="198"/>
      <c r="N71" s="198"/>
      <c r="O71" s="139"/>
      <c r="P71" s="139"/>
      <c r="Q71" s="178">
        <v>1380.0</v>
      </c>
      <c r="R71" s="190">
        <v>21.0</v>
      </c>
      <c r="S71" s="178">
        <f t="shared" si="9"/>
        <v>28.7</v>
      </c>
      <c r="T71" s="162">
        <f t="shared" si="10"/>
        <v>1</v>
      </c>
      <c r="U71" s="162">
        <f t="shared" si="11"/>
        <v>28.7</v>
      </c>
      <c r="V71" s="191">
        <f t="shared" si="12"/>
        <v>1353.90528</v>
      </c>
      <c r="W71" s="178">
        <f t="shared" ref="W71:X71" si="63">C71/100</f>
        <v>1.04</v>
      </c>
      <c r="X71" s="178">
        <f t="shared" si="63"/>
        <v>2.16</v>
      </c>
      <c r="Y71" s="178">
        <f t="shared" si="14"/>
        <v>28.7</v>
      </c>
      <c r="Z71" s="192">
        <f t="shared" si="15"/>
        <v>64.47168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</row>
    <row r="72" ht="27.0" customHeight="1">
      <c r="A72" s="162">
        <v>48.0</v>
      </c>
      <c r="B72" s="183" t="s">
        <v>88</v>
      </c>
      <c r="C72" s="184">
        <v>80.0</v>
      </c>
      <c r="D72" s="184">
        <v>216.0</v>
      </c>
      <c r="E72" s="184">
        <v>176.0</v>
      </c>
      <c r="F72" s="184">
        <f t="shared" si="5"/>
        <v>0.8</v>
      </c>
      <c r="G72" s="184">
        <f t="shared" si="6"/>
        <v>53.2224</v>
      </c>
      <c r="H72" s="185">
        <f t="shared" si="7"/>
        <v>42.57792</v>
      </c>
      <c r="I72" s="184">
        <v>1.0</v>
      </c>
      <c r="J72" s="186">
        <f t="shared" si="8"/>
        <v>42.57792</v>
      </c>
      <c r="K72" s="187"/>
      <c r="L72" s="188"/>
      <c r="M72" s="189"/>
      <c r="N72" s="189"/>
      <c r="O72" s="187"/>
      <c r="P72" s="187"/>
      <c r="Q72" s="188">
        <v>58.0</v>
      </c>
      <c r="R72" s="141">
        <v>17.5</v>
      </c>
      <c r="S72" s="178">
        <f t="shared" si="9"/>
        <v>1.76</v>
      </c>
      <c r="T72" s="162">
        <f t="shared" si="10"/>
        <v>1</v>
      </c>
      <c r="U72" s="162">
        <f t="shared" si="11"/>
        <v>1.76</v>
      </c>
      <c r="V72" s="191">
        <f t="shared" si="12"/>
        <v>53.2224</v>
      </c>
      <c r="W72" s="178">
        <f t="shared" ref="W72:X72" si="64">C72/100</f>
        <v>0.8</v>
      </c>
      <c r="X72" s="178">
        <f t="shared" si="64"/>
        <v>2.16</v>
      </c>
      <c r="Y72" s="178">
        <f t="shared" si="14"/>
        <v>1.76</v>
      </c>
      <c r="Z72" s="192">
        <f t="shared" si="15"/>
        <v>3.04128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</row>
    <row r="73" ht="27.0" customHeight="1">
      <c r="A73" s="162">
        <v>49.0</v>
      </c>
      <c r="B73" s="193" t="s">
        <v>81</v>
      </c>
      <c r="C73" s="193">
        <v>97.0</v>
      </c>
      <c r="D73" s="193">
        <v>216.0</v>
      </c>
      <c r="E73" s="193">
        <v>197.0</v>
      </c>
      <c r="F73" s="193">
        <f t="shared" si="5"/>
        <v>0</v>
      </c>
      <c r="G73" s="193">
        <f t="shared" si="6"/>
        <v>72.23202</v>
      </c>
      <c r="H73" s="194">
        <f t="shared" si="7"/>
        <v>72.23202</v>
      </c>
      <c r="I73" s="193">
        <v>1.0</v>
      </c>
      <c r="J73" s="195">
        <f t="shared" si="8"/>
        <v>72.23202</v>
      </c>
      <c r="K73" s="139"/>
      <c r="L73" s="197"/>
      <c r="M73" s="198"/>
      <c r="N73" s="198"/>
      <c r="O73" s="139"/>
      <c r="P73" s="139"/>
      <c r="Q73" s="178">
        <v>77.0</v>
      </c>
      <c r="R73" s="141">
        <v>17.5</v>
      </c>
      <c r="S73" s="178">
        <f t="shared" si="9"/>
        <v>1.97</v>
      </c>
      <c r="T73" s="162">
        <f t="shared" si="10"/>
        <v>1</v>
      </c>
      <c r="U73" s="162">
        <f t="shared" si="11"/>
        <v>1.97</v>
      </c>
      <c r="V73" s="191">
        <f t="shared" si="12"/>
        <v>72.23202</v>
      </c>
      <c r="W73" s="178">
        <f t="shared" ref="W73:X73" si="65">C73/100</f>
        <v>0.97</v>
      </c>
      <c r="X73" s="178">
        <f t="shared" si="65"/>
        <v>2.16</v>
      </c>
      <c r="Y73" s="178">
        <f t="shared" si="14"/>
        <v>1.97</v>
      </c>
      <c r="Z73" s="192">
        <f t="shared" si="15"/>
        <v>4.127544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</row>
    <row r="74" ht="27.0" customHeight="1">
      <c r="A74" s="162">
        <v>50.0</v>
      </c>
      <c r="B74" s="193" t="s">
        <v>81</v>
      </c>
      <c r="C74" s="193">
        <v>104.0</v>
      </c>
      <c r="D74" s="193">
        <v>216.0</v>
      </c>
      <c r="E74" s="193">
        <v>2744.0</v>
      </c>
      <c r="F74" s="193">
        <f t="shared" si="5"/>
        <v>0</v>
      </c>
      <c r="G74" s="193">
        <f t="shared" si="6"/>
        <v>1078.72128</v>
      </c>
      <c r="H74" s="194">
        <f t="shared" si="7"/>
        <v>1078.72128</v>
      </c>
      <c r="I74" s="193">
        <v>1.0</v>
      </c>
      <c r="J74" s="195">
        <f t="shared" si="8"/>
        <v>1078.72128</v>
      </c>
      <c r="K74" s="139"/>
      <c r="L74" s="197"/>
      <c r="M74" s="198"/>
      <c r="N74" s="198"/>
      <c r="O74" s="139"/>
      <c r="P74" s="139"/>
      <c r="Q74" s="178">
        <v>1085.0</v>
      </c>
      <c r="R74" s="141">
        <v>17.5</v>
      </c>
      <c r="S74" s="178">
        <f t="shared" si="9"/>
        <v>27.44</v>
      </c>
      <c r="T74" s="162">
        <f t="shared" si="10"/>
        <v>1</v>
      </c>
      <c r="U74" s="162">
        <f t="shared" si="11"/>
        <v>27.44</v>
      </c>
      <c r="V74" s="191">
        <f t="shared" si="12"/>
        <v>1078.72128</v>
      </c>
      <c r="W74" s="178">
        <f t="shared" ref="W74:X74" si="66">C74/100</f>
        <v>1.04</v>
      </c>
      <c r="X74" s="178">
        <f t="shared" si="66"/>
        <v>2.16</v>
      </c>
      <c r="Y74" s="178">
        <f t="shared" si="14"/>
        <v>27.44</v>
      </c>
      <c r="Z74" s="192">
        <f t="shared" si="15"/>
        <v>61.641216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</row>
    <row r="75" ht="27.0" customHeight="1">
      <c r="A75" s="162">
        <v>51.0</v>
      </c>
      <c r="B75" s="193" t="s">
        <v>81</v>
      </c>
      <c r="C75" s="193">
        <v>103.0</v>
      </c>
      <c r="D75" s="193">
        <v>216.0</v>
      </c>
      <c r="E75" s="193">
        <v>2868.0</v>
      </c>
      <c r="F75" s="193">
        <f t="shared" si="5"/>
        <v>0</v>
      </c>
      <c r="G75" s="193">
        <f t="shared" si="6"/>
        <v>1116.62712</v>
      </c>
      <c r="H75" s="194">
        <f t="shared" si="7"/>
        <v>1116.62712</v>
      </c>
      <c r="I75" s="193">
        <v>1.0</v>
      </c>
      <c r="J75" s="195">
        <f t="shared" si="8"/>
        <v>1116.62712</v>
      </c>
      <c r="K75" s="139"/>
      <c r="L75" s="197"/>
      <c r="M75" s="198"/>
      <c r="N75" s="198"/>
      <c r="O75" s="139"/>
      <c r="P75" s="139"/>
      <c r="Q75" s="178">
        <v>1125.0</v>
      </c>
      <c r="R75" s="141">
        <v>17.5</v>
      </c>
      <c r="S75" s="178">
        <f t="shared" si="9"/>
        <v>28.68</v>
      </c>
      <c r="T75" s="162">
        <f t="shared" si="10"/>
        <v>1</v>
      </c>
      <c r="U75" s="162">
        <f t="shared" si="11"/>
        <v>28.68</v>
      </c>
      <c r="V75" s="191">
        <f t="shared" si="12"/>
        <v>1116.62712</v>
      </c>
      <c r="W75" s="178">
        <f t="shared" ref="W75:X75" si="67">C75/100</f>
        <v>1.03</v>
      </c>
      <c r="X75" s="178">
        <f t="shared" si="67"/>
        <v>2.16</v>
      </c>
      <c r="Y75" s="178">
        <f t="shared" si="14"/>
        <v>28.68</v>
      </c>
      <c r="Z75" s="192">
        <f t="shared" si="15"/>
        <v>63.807264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</row>
    <row r="76" ht="27.0" hidden="1" customHeight="1">
      <c r="A76" s="162">
        <v>101.0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8">C76/100</f>
        <v>0</v>
      </c>
      <c r="X76" s="199">
        <f t="shared" si="68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</row>
    <row r="77" ht="27.0" hidden="1" customHeight="1">
      <c r="A77" s="162">
        <v>102.0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9">C77/100</f>
        <v>0</v>
      </c>
      <c r="X77" s="199">
        <f t="shared" si="69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</row>
    <row r="78" ht="27.0" hidden="1" customHeight="1">
      <c r="A78" s="162">
        <v>103.0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70">C78/100</f>
        <v>0</v>
      </c>
      <c r="X78" s="199">
        <f t="shared" si="70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</row>
    <row r="79" ht="27.0" hidden="1" customHeight="1">
      <c r="A79" s="162">
        <v>104.0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71">C79/100</f>
        <v>0</v>
      </c>
      <c r="X79" s="199">
        <f t="shared" si="71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</row>
    <row r="80" ht="27.0" hidden="1" customHeight="1">
      <c r="A80" s="162">
        <v>105.0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72">C80/100</f>
        <v>0</v>
      </c>
      <c r="X80" s="199">
        <f t="shared" si="72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</row>
    <row r="81" ht="27.0" hidden="1" customHeight="1">
      <c r="A81" s="162">
        <v>106.0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73">C81/100</f>
        <v>0</v>
      </c>
      <c r="X81" s="199">
        <f t="shared" si="73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</row>
    <row r="82" ht="27.0" hidden="1" customHeight="1">
      <c r="A82" s="162">
        <v>107.0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4">C82/100</f>
        <v>0</v>
      </c>
      <c r="X82" s="199">
        <f t="shared" si="74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</row>
    <row r="83" ht="27.0" hidden="1" customHeight="1">
      <c r="A83" s="162">
        <v>108.0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5">C83/100</f>
        <v>0</v>
      </c>
      <c r="X83" s="199">
        <f t="shared" si="75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</row>
    <row r="84" ht="27.0" hidden="1" customHeight="1">
      <c r="A84" s="162">
        <v>109.0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6">C84/100</f>
        <v>0</v>
      </c>
      <c r="X84" s="199">
        <f t="shared" si="76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</row>
    <row r="85" ht="27.0" hidden="1" customHeight="1">
      <c r="A85" s="162">
        <v>110.0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7">C85/100</f>
        <v>0</v>
      </c>
      <c r="X85" s="199">
        <f t="shared" si="77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</row>
    <row r="86" ht="27.0" hidden="1" customHeight="1">
      <c r="A86" s="162">
        <v>111.0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8">C86/100</f>
        <v>0</v>
      </c>
      <c r="X86" s="199">
        <f t="shared" si="78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</row>
    <row r="87" ht="27.0" hidden="1" customHeight="1">
      <c r="A87" s="162">
        <v>112.0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9">C87/100</f>
        <v>0</v>
      </c>
      <c r="X87" s="199">
        <f t="shared" si="79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</row>
    <row r="88" ht="27.0" hidden="1" customHeight="1">
      <c r="A88" s="162">
        <v>113.0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80">C88/100</f>
        <v>0</v>
      </c>
      <c r="X88" s="199">
        <f t="shared" si="80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</row>
    <row r="89" ht="27.0" hidden="1" customHeight="1">
      <c r="A89" s="162">
        <v>114.0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81">C89/100</f>
        <v>0</v>
      </c>
      <c r="X89" s="199">
        <f t="shared" si="81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</row>
    <row r="90" ht="27.0" hidden="1" customHeight="1">
      <c r="A90" s="162">
        <v>115.0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82">C90/100</f>
        <v>0</v>
      </c>
      <c r="X90" s="199">
        <f t="shared" si="82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</row>
    <row r="91" ht="27.0" hidden="1" customHeight="1">
      <c r="A91" s="162">
        <v>116.0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83">C91/100</f>
        <v>0</v>
      </c>
      <c r="X91" s="199">
        <f t="shared" si="83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</row>
    <row r="92" ht="27.0" hidden="1" customHeight="1">
      <c r="A92" s="162">
        <v>117.0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4">C92/100</f>
        <v>0</v>
      </c>
      <c r="X92" s="199">
        <f t="shared" si="84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</row>
    <row r="93" ht="27.0" hidden="1" customHeight="1">
      <c r="A93" s="162">
        <v>118.0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5">C93/100</f>
        <v>0</v>
      </c>
      <c r="X93" s="199">
        <f t="shared" si="85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</row>
    <row r="94" ht="27.0" hidden="1" customHeight="1">
      <c r="A94" s="162">
        <v>119.0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6">C94/100</f>
        <v>0</v>
      </c>
      <c r="X94" s="199">
        <f t="shared" si="86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</row>
    <row r="95" ht="27.0" hidden="1" customHeight="1">
      <c r="A95" s="162">
        <v>120.0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7">C95/100</f>
        <v>0</v>
      </c>
      <c r="X95" s="199">
        <f t="shared" si="87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</row>
    <row r="96" ht="27.0" hidden="1" customHeight="1">
      <c r="A96" s="162">
        <v>121.0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8">C96/100</f>
        <v>0</v>
      </c>
      <c r="X96" s="199">
        <f t="shared" si="88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</row>
    <row r="97" ht="27.0" hidden="1" customHeight="1">
      <c r="A97" s="162">
        <v>122.0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9">C97/100</f>
        <v>0</v>
      </c>
      <c r="X97" s="199">
        <f t="shared" si="89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</row>
    <row r="98" ht="27.0" hidden="1" customHeight="1">
      <c r="A98" s="162">
        <v>123.0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90">C98/100</f>
        <v>0</v>
      </c>
      <c r="X98" s="199">
        <f t="shared" si="90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</row>
    <row r="99" ht="27.0" hidden="1" customHeight="1">
      <c r="A99" s="162">
        <v>124.0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91">C99/100</f>
        <v>0</v>
      </c>
      <c r="X99" s="199">
        <f t="shared" si="91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</row>
    <row r="100" ht="27.0" hidden="1" customHeight="1">
      <c r="A100" s="162">
        <v>125.0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92">C100/100</f>
        <v>0</v>
      </c>
      <c r="X100" s="199">
        <f t="shared" si="92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</row>
    <row r="101" ht="27.0" hidden="1" customHeight="1">
      <c r="A101" s="162">
        <v>126.0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93">C101/100</f>
        <v>0</v>
      </c>
      <c r="X101" s="199">
        <f t="shared" si="93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</row>
    <row r="102" ht="27.0" hidden="1" customHeight="1">
      <c r="A102" s="162">
        <v>127.0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4">C102/100</f>
        <v>0</v>
      </c>
      <c r="X102" s="199">
        <f t="shared" si="94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</row>
    <row r="103" ht="27.0" hidden="1" customHeight="1">
      <c r="A103" s="162">
        <v>128.0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5">C103/100</f>
        <v>0</v>
      </c>
      <c r="X103" s="199">
        <f t="shared" si="95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</row>
    <row r="104" ht="27.0" hidden="1" customHeight="1">
      <c r="A104" s="162">
        <v>129.0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6">C104/100</f>
        <v>0</v>
      </c>
      <c r="X104" s="199">
        <f t="shared" si="96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</row>
    <row r="105" ht="27.0" hidden="1" customHeight="1">
      <c r="A105" s="162">
        <v>130.0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7">C105/100</f>
        <v>0</v>
      </c>
      <c r="X105" s="199">
        <f t="shared" si="97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</row>
    <row r="106" ht="27.0" hidden="1" customHeight="1">
      <c r="A106" s="162">
        <v>131.0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8">C106/100</f>
        <v>0</v>
      </c>
      <c r="X106" s="199">
        <f t="shared" si="98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</row>
    <row r="107" ht="27.0" hidden="1" customHeight="1">
      <c r="A107" s="162">
        <v>132.0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9">C107/100</f>
        <v>0</v>
      </c>
      <c r="X107" s="199">
        <f t="shared" si="99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</row>
    <row r="108" ht="27.0" hidden="1" customHeight="1">
      <c r="A108" s="162">
        <v>133.0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100">C108/100</f>
        <v>0</v>
      </c>
      <c r="X108" s="199">
        <f t="shared" si="100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</row>
    <row r="109" ht="27.0" hidden="1" customHeight="1">
      <c r="A109" s="162">
        <v>134.0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101">C109/100</f>
        <v>0</v>
      </c>
      <c r="X109" s="199">
        <f t="shared" si="101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</row>
    <row r="110" ht="27.0" hidden="1" customHeight="1">
      <c r="A110" s="162">
        <v>135.0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102">C110/100</f>
        <v>0</v>
      </c>
      <c r="X110" s="199">
        <f t="shared" si="102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</row>
    <row r="111" ht="27.0" hidden="1" customHeight="1">
      <c r="A111" s="162">
        <v>136.0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103">C111/100</f>
        <v>0</v>
      </c>
      <c r="X111" s="199">
        <f t="shared" si="103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</row>
    <row r="112" ht="27.0" hidden="1" customHeight="1">
      <c r="A112" s="162">
        <v>137.0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4">C112/100</f>
        <v>0</v>
      </c>
      <c r="X112" s="199">
        <f t="shared" si="104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</row>
    <row r="113" ht="27.0" hidden="1" customHeight="1">
      <c r="A113" s="162">
        <v>138.0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5">C113/100</f>
        <v>0</v>
      </c>
      <c r="X113" s="199">
        <f t="shared" si="105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</row>
    <row r="114" ht="27.0" hidden="1" customHeight="1">
      <c r="A114" s="162">
        <v>139.0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6">C114/100</f>
        <v>0</v>
      </c>
      <c r="X114" s="199">
        <f t="shared" si="106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</row>
    <row r="115" ht="27.0" hidden="1" customHeight="1">
      <c r="A115" s="162">
        <v>140.0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7">C115/100</f>
        <v>0</v>
      </c>
      <c r="X115" s="199">
        <f t="shared" si="107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</row>
    <row r="116" ht="27.0" hidden="1" customHeight="1">
      <c r="A116" s="162">
        <v>141.0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8">C116/100</f>
        <v>0</v>
      </c>
      <c r="X116" s="199">
        <f t="shared" si="108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</row>
    <row r="117" ht="27.0" hidden="1" customHeight="1">
      <c r="A117" s="162">
        <v>142.0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9">C117/100</f>
        <v>0</v>
      </c>
      <c r="X117" s="199">
        <f t="shared" si="109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</row>
    <row r="118" ht="27.0" hidden="1" customHeight="1">
      <c r="A118" s="162">
        <v>143.0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10">C118/100</f>
        <v>0</v>
      </c>
      <c r="X118" s="199">
        <f t="shared" si="110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</row>
    <row r="119" ht="27.0" hidden="1" customHeight="1">
      <c r="A119" s="162">
        <v>144.0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11">C119/100</f>
        <v>0</v>
      </c>
      <c r="X119" s="199">
        <f t="shared" si="111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</row>
    <row r="120" ht="27.0" hidden="1" customHeight="1">
      <c r="A120" s="162">
        <v>145.0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12">C120/100</f>
        <v>0</v>
      </c>
      <c r="X120" s="199">
        <f t="shared" si="112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</row>
    <row r="121" ht="27.0" hidden="1" customHeight="1">
      <c r="A121" s="162">
        <v>146.0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13">C121/100</f>
        <v>0</v>
      </c>
      <c r="X121" s="199">
        <f t="shared" si="113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</row>
    <row r="122" ht="27.0" hidden="1" customHeight="1">
      <c r="A122" s="162">
        <v>147.0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4">C122/100</f>
        <v>0</v>
      </c>
      <c r="X122" s="199">
        <f t="shared" si="114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</row>
    <row r="123" ht="27.0" hidden="1" customHeight="1">
      <c r="A123" s="162">
        <v>148.0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5">C123/100</f>
        <v>0</v>
      </c>
      <c r="X123" s="199">
        <f t="shared" si="115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</row>
    <row r="124" ht="27.0" hidden="1" customHeight="1">
      <c r="A124" s="162">
        <v>149.0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6">C124/100</f>
        <v>0</v>
      </c>
      <c r="X124" s="199">
        <f t="shared" si="116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</row>
    <row r="125" ht="27.0" hidden="1" customHeight="1">
      <c r="A125" s="162">
        <v>150.0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7">C125/100</f>
        <v>0</v>
      </c>
      <c r="X125" s="199">
        <f t="shared" si="117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</row>
    <row r="126" ht="27.0" hidden="1" customHeight="1">
      <c r="A126" s="162">
        <v>151.0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8">C126/100</f>
        <v>0</v>
      </c>
      <c r="X126" s="199">
        <f t="shared" si="118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</row>
    <row r="127" ht="27.0" hidden="1" customHeight="1">
      <c r="A127" s="162">
        <v>152.0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9">C127/100</f>
        <v>0</v>
      </c>
      <c r="X127" s="199">
        <f t="shared" si="119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</row>
    <row r="128" ht="27.0" hidden="1" customHeight="1">
      <c r="A128" s="162">
        <v>153.0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20">C128/100</f>
        <v>0</v>
      </c>
      <c r="X128" s="199">
        <f t="shared" si="120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</row>
    <row r="129" ht="27.0" hidden="1" customHeight="1">
      <c r="A129" s="162">
        <v>154.0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21">C129/100</f>
        <v>0</v>
      </c>
      <c r="X129" s="199">
        <f t="shared" si="121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</row>
    <row r="130" ht="27.0" hidden="1" customHeight="1">
      <c r="A130" s="162">
        <v>155.0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22">C130/100</f>
        <v>0</v>
      </c>
      <c r="X130" s="199">
        <f t="shared" si="122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</row>
    <row r="131" ht="27.0" hidden="1" customHeight="1">
      <c r="A131" s="162">
        <v>156.0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23">C131/100</f>
        <v>0</v>
      </c>
      <c r="X131" s="199">
        <f t="shared" si="123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</row>
    <row r="132" ht="27.0" hidden="1" customHeight="1">
      <c r="A132" s="162">
        <v>157.0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4">C132/100</f>
        <v>0</v>
      </c>
      <c r="X132" s="199">
        <f t="shared" si="124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</row>
    <row r="133" ht="27.0" hidden="1" customHeight="1">
      <c r="A133" s="162">
        <v>158.0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5">C133/100</f>
        <v>0</v>
      </c>
      <c r="X133" s="199">
        <f t="shared" si="125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</row>
    <row r="134" ht="27.0" hidden="1" customHeight="1">
      <c r="A134" s="162">
        <v>159.0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6">C134/100</f>
        <v>0</v>
      </c>
      <c r="X134" s="199">
        <f t="shared" si="126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</row>
    <row r="135" ht="27.0" hidden="1" customHeight="1">
      <c r="A135" s="162">
        <v>160.0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7">C135/100</f>
        <v>0</v>
      </c>
      <c r="X135" s="199">
        <f t="shared" si="127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</row>
    <row r="136" ht="27.0" hidden="1" customHeight="1">
      <c r="A136" s="162">
        <v>161.0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8">C136/100</f>
        <v>0</v>
      </c>
      <c r="X136" s="199">
        <f t="shared" si="128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</row>
    <row r="137" ht="27.0" hidden="1" customHeight="1">
      <c r="A137" s="162">
        <v>162.0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9">C137/100</f>
        <v>0</v>
      </c>
      <c r="X137" s="199">
        <f t="shared" si="129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</row>
    <row r="138" ht="27.0" hidden="1" customHeight="1">
      <c r="A138" s="162">
        <v>163.0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30">C138/100</f>
        <v>0</v>
      </c>
      <c r="X138" s="199">
        <f t="shared" si="130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</row>
    <row r="139" ht="27.0" hidden="1" customHeight="1">
      <c r="A139" s="162">
        <v>164.0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31">C139/100</f>
        <v>0</v>
      </c>
      <c r="X139" s="199">
        <f t="shared" si="131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</row>
    <row r="140" ht="27.0" hidden="1" customHeight="1">
      <c r="A140" s="162">
        <v>165.0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32">C140/100</f>
        <v>0</v>
      </c>
      <c r="X140" s="199">
        <f t="shared" si="132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</row>
    <row r="141" ht="27.0" hidden="1" customHeight="1">
      <c r="A141" s="162">
        <v>166.0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33">C141/100</f>
        <v>0</v>
      </c>
      <c r="X141" s="199">
        <f t="shared" si="133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</row>
    <row r="142" ht="27.0" hidden="1" customHeight="1">
      <c r="A142" s="162">
        <v>167.0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4">C142/100</f>
        <v>0</v>
      </c>
      <c r="X142" s="199">
        <f t="shared" si="134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</row>
    <row r="143" ht="27.0" hidden="1" customHeight="1">
      <c r="A143" s="162">
        <v>168.0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5">C143/100</f>
        <v>0</v>
      </c>
      <c r="X143" s="199">
        <f t="shared" si="135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</row>
    <row r="144" ht="27.0" hidden="1" customHeight="1">
      <c r="A144" s="162">
        <v>169.0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6">C144/100</f>
        <v>0</v>
      </c>
      <c r="X144" s="199">
        <f t="shared" si="136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</row>
    <row r="145" ht="27.0" hidden="1" customHeight="1">
      <c r="A145" s="162">
        <v>170.0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7">C145/100</f>
        <v>0</v>
      </c>
      <c r="X145" s="199">
        <f t="shared" si="137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</row>
    <row r="146" ht="27.0" hidden="1" customHeight="1">
      <c r="A146" s="162">
        <v>171.0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8">C146/100</f>
        <v>0</v>
      </c>
      <c r="X146" s="199">
        <f t="shared" si="138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</row>
    <row r="147" ht="27.0" hidden="1" customHeight="1">
      <c r="A147" s="162">
        <v>172.0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9">C147/100</f>
        <v>0</v>
      </c>
      <c r="X147" s="199">
        <f t="shared" si="139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</row>
    <row r="148" ht="27.0" hidden="1" customHeight="1">
      <c r="A148" s="162">
        <v>173.0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40">C148/100</f>
        <v>0</v>
      </c>
      <c r="X148" s="199">
        <f t="shared" si="140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</row>
    <row r="149" ht="27.0" hidden="1" customHeight="1">
      <c r="A149" s="162">
        <v>174.0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41">C149/100</f>
        <v>0</v>
      </c>
      <c r="X149" s="199">
        <f t="shared" si="141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</row>
    <row r="150" ht="27.0" hidden="1" customHeight="1">
      <c r="A150" s="162">
        <v>175.0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42">C150/100</f>
        <v>0</v>
      </c>
      <c r="X150" s="199">
        <f t="shared" si="142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</row>
    <row r="151" ht="27.0" hidden="1" customHeight="1">
      <c r="A151" s="162">
        <v>176.0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43">C151/100</f>
        <v>0</v>
      </c>
      <c r="X151" s="199">
        <f t="shared" si="143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</row>
    <row r="152" ht="27.0" hidden="1" customHeight="1">
      <c r="A152" s="162">
        <v>177.0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4">C152/100</f>
        <v>0</v>
      </c>
      <c r="X152" s="199">
        <f t="shared" si="144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</row>
    <row r="153" ht="27.0" hidden="1" customHeight="1">
      <c r="A153" s="162">
        <v>178.0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5">C153/100</f>
        <v>0</v>
      </c>
      <c r="X153" s="199">
        <f t="shared" si="145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</row>
    <row r="154" ht="27.0" hidden="1" customHeight="1">
      <c r="A154" s="162">
        <v>179.0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6">C154/100</f>
        <v>0</v>
      </c>
      <c r="X154" s="199">
        <f t="shared" si="146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</row>
    <row r="155" ht="27.0" hidden="1" customHeight="1">
      <c r="A155" s="162">
        <v>180.0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7">C155/100</f>
        <v>0</v>
      </c>
      <c r="X155" s="199">
        <f t="shared" si="147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</row>
    <row r="156" ht="27.0" hidden="1" customHeight="1">
      <c r="A156" s="162">
        <v>181.0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8">C156/100</f>
        <v>0</v>
      </c>
      <c r="X156" s="199">
        <f t="shared" si="148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</row>
    <row r="157" ht="27.0" hidden="1" customHeight="1">
      <c r="A157" s="162">
        <v>182.0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9">C157/100</f>
        <v>0</v>
      </c>
      <c r="X157" s="199">
        <f t="shared" si="149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</row>
    <row r="158" ht="27.0" hidden="1" customHeight="1">
      <c r="A158" s="162">
        <v>183.0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50">C158/100</f>
        <v>0</v>
      </c>
      <c r="X158" s="199">
        <f t="shared" si="150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</row>
    <row r="159" ht="27.0" hidden="1" customHeight="1">
      <c r="A159" s="162">
        <v>184.0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51">C159/100</f>
        <v>0</v>
      </c>
      <c r="X159" s="199">
        <f t="shared" si="151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</row>
    <row r="160" ht="27.0" hidden="1" customHeight="1">
      <c r="A160" s="162">
        <v>185.0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52">C160/100</f>
        <v>0</v>
      </c>
      <c r="X160" s="199">
        <f t="shared" si="152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</row>
    <row r="161" ht="27.0" hidden="1" customHeight="1">
      <c r="A161" s="162">
        <v>186.0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53">C161/100</f>
        <v>0</v>
      </c>
      <c r="X161" s="199">
        <f t="shared" si="153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</row>
    <row r="162" ht="27.0" hidden="1" customHeight="1">
      <c r="A162" s="162">
        <v>187.0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4">C162/100</f>
        <v>0</v>
      </c>
      <c r="X162" s="199">
        <f t="shared" si="154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</row>
    <row r="163" ht="27.0" hidden="1" customHeight="1">
      <c r="A163" s="162">
        <v>188.0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5">C163/100</f>
        <v>0</v>
      </c>
      <c r="X163" s="199">
        <f t="shared" si="155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</row>
    <row r="164" ht="27.0" hidden="1" customHeight="1">
      <c r="A164" s="162">
        <v>189.0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6">C164/100</f>
        <v>0</v>
      </c>
      <c r="X164" s="199">
        <f t="shared" si="156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</row>
    <row r="165" ht="27.0" hidden="1" customHeight="1">
      <c r="A165" s="162">
        <v>190.0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7">C165/100</f>
        <v>0</v>
      </c>
      <c r="X165" s="199">
        <f t="shared" si="157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</row>
    <row r="166" ht="27.0" hidden="1" customHeight="1">
      <c r="A166" s="162">
        <v>191.0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8">C166/100</f>
        <v>0</v>
      </c>
      <c r="X166" s="199">
        <f t="shared" si="158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</row>
    <row r="167" ht="27.0" hidden="1" customHeight="1">
      <c r="A167" s="162">
        <v>192.0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9">C167/100</f>
        <v>0</v>
      </c>
      <c r="X167" s="199">
        <f t="shared" si="159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</row>
    <row r="168" ht="27.0" hidden="1" customHeight="1">
      <c r="A168" s="162">
        <v>193.0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60">C168/100</f>
        <v>0</v>
      </c>
      <c r="X168" s="199">
        <f t="shared" si="160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</row>
    <row r="169" ht="27.0" hidden="1" customHeight="1">
      <c r="A169" s="162">
        <v>194.0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61">C169/100</f>
        <v>0</v>
      </c>
      <c r="X169" s="199">
        <f t="shared" si="161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</row>
    <row r="170" ht="27.0" hidden="1" customHeight="1">
      <c r="A170" s="162">
        <v>195.0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62">C170/100</f>
        <v>0</v>
      </c>
      <c r="X170" s="199">
        <f t="shared" si="162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</row>
    <row r="171" ht="27.0" hidden="1" customHeight="1">
      <c r="A171" s="162">
        <v>196.0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63">C171/100</f>
        <v>0</v>
      </c>
      <c r="X171" s="199">
        <f t="shared" si="163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</row>
    <row r="172" ht="27.0" hidden="1" customHeight="1">
      <c r="A172" s="162">
        <v>197.0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4">C172/100</f>
        <v>0</v>
      </c>
      <c r="X172" s="199">
        <f t="shared" si="164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</row>
    <row r="173" ht="27.0" hidden="1" customHeight="1">
      <c r="A173" s="162">
        <v>198.0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5">C173/100</f>
        <v>0</v>
      </c>
      <c r="X173" s="199">
        <f t="shared" si="165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</row>
    <row r="174" ht="27.0" hidden="1" customHeight="1">
      <c r="A174" s="162">
        <v>199.0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6">C174/100</f>
        <v>0</v>
      </c>
      <c r="X174" s="199">
        <f t="shared" si="166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</row>
    <row r="175" ht="27.0" hidden="1" customHeight="1">
      <c r="A175" s="162">
        <v>200.0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7">C175/100</f>
        <v>0</v>
      </c>
      <c r="X175" s="199">
        <f t="shared" si="167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</row>
    <row r="176" ht="27.0" hidden="1" customHeight="1">
      <c r="A176" s="162">
        <v>201.0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8">C176/100</f>
        <v>0</v>
      </c>
      <c r="X176" s="199">
        <f t="shared" si="168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</row>
    <row r="177" ht="27.0" hidden="1" customHeight="1">
      <c r="A177" s="162">
        <v>202.0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9">C177/100</f>
        <v>0</v>
      </c>
      <c r="X177" s="199">
        <f t="shared" si="169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</row>
    <row r="178" ht="27.0" hidden="1" customHeight="1">
      <c r="A178" s="162">
        <v>203.0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70">C178/100</f>
        <v>0</v>
      </c>
      <c r="X178" s="199">
        <f t="shared" si="170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</row>
    <row r="179" ht="27.0" hidden="1" customHeight="1">
      <c r="A179" s="162">
        <v>204.0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71">C179/100</f>
        <v>0</v>
      </c>
      <c r="X179" s="199">
        <f t="shared" si="171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</row>
    <row r="180" ht="27.0" hidden="1" customHeight="1">
      <c r="A180" s="162">
        <v>205.0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72">C180/100</f>
        <v>0</v>
      </c>
      <c r="X180" s="199">
        <f t="shared" si="172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</row>
    <row r="181" ht="27.0" hidden="1" customHeight="1">
      <c r="A181" s="162">
        <v>206.0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73">C181/100</f>
        <v>0</v>
      </c>
      <c r="X181" s="199">
        <f t="shared" si="173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</row>
    <row r="182" ht="27.0" hidden="1" customHeight="1">
      <c r="A182" s="162">
        <v>207.0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4">C182/100</f>
        <v>0</v>
      </c>
      <c r="X182" s="199">
        <f t="shared" si="174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</row>
    <row r="183" ht="27.0" hidden="1" customHeight="1">
      <c r="A183" s="162">
        <v>208.0</v>
      </c>
      <c r="B183" s="193"/>
      <c r="C183" s="193"/>
      <c r="D183" s="193"/>
      <c r="E183" s="193"/>
      <c r="F183" s="193">
        <f t="shared" si="5"/>
        <v>0</v>
      </c>
      <c r="G183" s="193">
        <f t="shared" si="6"/>
        <v>0</v>
      </c>
      <c r="H183" s="194">
        <f t="shared" si="7"/>
        <v>0</v>
      </c>
      <c r="I183" s="193"/>
      <c r="J183" s="195">
        <f t="shared" si="8"/>
        <v>0</v>
      </c>
      <c r="K183" s="139"/>
      <c r="L183" s="197"/>
      <c r="M183" s="198"/>
      <c r="N183" s="198"/>
      <c r="O183" s="139"/>
      <c r="P183" s="139"/>
      <c r="Q183" s="195"/>
      <c r="R183" s="141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5">C183/100</f>
        <v>0</v>
      </c>
      <c r="X183" s="199">
        <f t="shared" si="175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</row>
    <row r="184" ht="27.0" hidden="1" customHeight="1">
      <c r="A184" s="162">
        <v>209.0</v>
      </c>
      <c r="B184" s="193"/>
      <c r="C184" s="193"/>
      <c r="D184" s="193"/>
      <c r="E184" s="193"/>
      <c r="F184" s="193">
        <f t="shared" si="5"/>
        <v>0</v>
      </c>
      <c r="G184" s="193">
        <f t="shared" si="6"/>
        <v>0</v>
      </c>
      <c r="H184" s="194">
        <f t="shared" si="7"/>
        <v>0</v>
      </c>
      <c r="I184" s="193"/>
      <c r="J184" s="195">
        <f t="shared" si="8"/>
        <v>0</v>
      </c>
      <c r="K184" s="139"/>
      <c r="L184" s="197"/>
      <c r="M184" s="198"/>
      <c r="N184" s="198"/>
      <c r="O184" s="139"/>
      <c r="P184" s="139"/>
      <c r="Q184" s="195"/>
      <c r="R184" s="141"/>
      <c r="S184" s="199">
        <f t="shared" si="9"/>
        <v>0</v>
      </c>
      <c r="T184" s="200" t="str">
        <f t="shared" si="10"/>
        <v/>
      </c>
      <c r="U184" s="200">
        <f t="shared" si="11"/>
        <v>0</v>
      </c>
      <c r="V184" s="203"/>
      <c r="W184" s="199">
        <f t="shared" ref="W184:X184" si="176">C184/100</f>
        <v>0</v>
      </c>
      <c r="X184" s="199">
        <f t="shared" si="176"/>
        <v>0</v>
      </c>
      <c r="Y184" s="199">
        <f t="shared" si="14"/>
        <v>0</v>
      </c>
      <c r="Z184" s="202">
        <f t="shared" si="15"/>
        <v>0</v>
      </c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</row>
    <row r="185" ht="27.0" hidden="1" customHeight="1">
      <c r="A185" s="162">
        <v>210.0</v>
      </c>
      <c r="B185" s="193"/>
      <c r="C185" s="193"/>
      <c r="D185" s="193"/>
      <c r="E185" s="193"/>
      <c r="F185" s="193">
        <f t="shared" si="5"/>
        <v>0</v>
      </c>
      <c r="G185" s="193">
        <f t="shared" si="6"/>
        <v>0</v>
      </c>
      <c r="H185" s="194">
        <f t="shared" si="7"/>
        <v>0</v>
      </c>
      <c r="I185" s="193"/>
      <c r="J185" s="195">
        <f t="shared" si="8"/>
        <v>0</v>
      </c>
      <c r="K185" s="139"/>
      <c r="L185" s="197"/>
      <c r="M185" s="198"/>
      <c r="N185" s="198"/>
      <c r="O185" s="139"/>
      <c r="P185" s="139"/>
      <c r="Q185" s="195"/>
      <c r="R185" s="141"/>
      <c r="S185" s="199">
        <f t="shared" si="9"/>
        <v>0</v>
      </c>
      <c r="T185" s="200" t="str">
        <f t="shared" si="10"/>
        <v/>
      </c>
      <c r="U185" s="200">
        <f t="shared" si="11"/>
        <v>0</v>
      </c>
      <c r="V185" s="203"/>
      <c r="W185" s="199">
        <f t="shared" ref="W185:X185" si="177">C185/100</f>
        <v>0</v>
      </c>
      <c r="X185" s="199">
        <f t="shared" si="177"/>
        <v>0</v>
      </c>
      <c r="Y185" s="199">
        <f t="shared" si="14"/>
        <v>0</v>
      </c>
      <c r="Z185" s="202">
        <f t="shared" si="15"/>
        <v>0</v>
      </c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</row>
    <row r="186" ht="27.0" hidden="1" customHeight="1">
      <c r="A186" s="162">
        <v>211.0</v>
      </c>
      <c r="B186" s="193"/>
      <c r="C186" s="193"/>
      <c r="D186" s="193"/>
      <c r="E186" s="193"/>
      <c r="F186" s="193">
        <f t="shared" si="5"/>
        <v>0</v>
      </c>
      <c r="G186" s="193">
        <f t="shared" si="6"/>
        <v>0</v>
      </c>
      <c r="H186" s="194">
        <f t="shared" si="7"/>
        <v>0</v>
      </c>
      <c r="I186" s="193"/>
      <c r="J186" s="195">
        <f t="shared" si="8"/>
        <v>0</v>
      </c>
      <c r="K186" s="139"/>
      <c r="L186" s="197"/>
      <c r="M186" s="198"/>
      <c r="N186" s="198"/>
      <c r="O186" s="139"/>
      <c r="P186" s="139"/>
      <c r="Q186" s="195"/>
      <c r="R186" s="141"/>
      <c r="S186" s="199">
        <f t="shared" si="9"/>
        <v>0</v>
      </c>
      <c r="T186" s="200" t="str">
        <f t="shared" si="10"/>
        <v/>
      </c>
      <c r="U186" s="200">
        <f t="shared" si="11"/>
        <v>0</v>
      </c>
      <c r="V186" s="203"/>
      <c r="W186" s="199">
        <f t="shared" ref="W186:X186" si="178">C186/100</f>
        <v>0</v>
      </c>
      <c r="X186" s="199">
        <f t="shared" si="178"/>
        <v>0</v>
      </c>
      <c r="Y186" s="199">
        <f t="shared" si="14"/>
        <v>0</v>
      </c>
      <c r="Z186" s="202">
        <f t="shared" si="15"/>
        <v>0</v>
      </c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</row>
    <row r="187" ht="27.0" hidden="1" customHeight="1">
      <c r="A187" s="162">
        <v>212.0</v>
      </c>
      <c r="B187" s="193"/>
      <c r="C187" s="193"/>
      <c r="D187" s="193"/>
      <c r="E187" s="193"/>
      <c r="F187" s="193">
        <f t="shared" si="5"/>
        <v>0</v>
      </c>
      <c r="G187" s="193">
        <f t="shared" si="6"/>
        <v>0</v>
      </c>
      <c r="H187" s="194">
        <f t="shared" si="7"/>
        <v>0</v>
      </c>
      <c r="I187" s="193"/>
      <c r="J187" s="195">
        <f t="shared" si="8"/>
        <v>0</v>
      </c>
      <c r="K187" s="139"/>
      <c r="L187" s="197"/>
      <c r="M187" s="198"/>
      <c r="N187" s="198"/>
      <c r="O187" s="139"/>
      <c r="P187" s="139"/>
      <c r="Q187" s="195"/>
      <c r="R187" s="141"/>
      <c r="S187" s="199">
        <f t="shared" si="9"/>
        <v>0</v>
      </c>
      <c r="T187" s="200" t="str">
        <f t="shared" si="10"/>
        <v/>
      </c>
      <c r="U187" s="200">
        <f t="shared" si="11"/>
        <v>0</v>
      </c>
      <c r="V187" s="203"/>
      <c r="W187" s="199">
        <f t="shared" ref="W187:X187" si="179">C187/100</f>
        <v>0</v>
      </c>
      <c r="X187" s="199">
        <f t="shared" si="179"/>
        <v>0</v>
      </c>
      <c r="Y187" s="199">
        <f t="shared" si="14"/>
        <v>0</v>
      </c>
      <c r="Z187" s="202">
        <f t="shared" si="15"/>
        <v>0</v>
      </c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</row>
    <row r="188" ht="27.0" hidden="1" customHeight="1">
      <c r="A188" s="162">
        <v>213.0</v>
      </c>
      <c r="B188" s="193"/>
      <c r="C188" s="193"/>
      <c r="D188" s="193"/>
      <c r="E188" s="193"/>
      <c r="F188" s="193">
        <f t="shared" si="5"/>
        <v>0</v>
      </c>
      <c r="G188" s="193">
        <f t="shared" si="6"/>
        <v>0</v>
      </c>
      <c r="H188" s="194">
        <f t="shared" si="7"/>
        <v>0</v>
      </c>
      <c r="I188" s="193"/>
      <c r="J188" s="195">
        <f t="shared" si="8"/>
        <v>0</v>
      </c>
      <c r="K188" s="139"/>
      <c r="L188" s="197"/>
      <c r="M188" s="198"/>
      <c r="N188" s="198"/>
      <c r="O188" s="139"/>
      <c r="P188" s="139"/>
      <c r="Q188" s="195"/>
      <c r="R188" s="141"/>
      <c r="S188" s="199">
        <f t="shared" si="9"/>
        <v>0</v>
      </c>
      <c r="T188" s="200" t="str">
        <f t="shared" si="10"/>
        <v/>
      </c>
      <c r="U188" s="200">
        <f t="shared" si="11"/>
        <v>0</v>
      </c>
      <c r="V188" s="203"/>
      <c r="W188" s="199">
        <f t="shared" ref="W188:X188" si="180">C188/100</f>
        <v>0</v>
      </c>
      <c r="X188" s="199">
        <f t="shared" si="180"/>
        <v>0</v>
      </c>
      <c r="Y188" s="199">
        <f t="shared" si="14"/>
        <v>0</v>
      </c>
      <c r="Z188" s="202">
        <f t="shared" si="15"/>
        <v>0</v>
      </c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</row>
    <row r="189" ht="27.0" hidden="1" customHeight="1">
      <c r="A189" s="162">
        <v>214.0</v>
      </c>
      <c r="B189" s="193"/>
      <c r="C189" s="193"/>
      <c r="D189" s="193"/>
      <c r="E189" s="193"/>
      <c r="F189" s="193">
        <f t="shared" si="5"/>
        <v>0</v>
      </c>
      <c r="G189" s="193">
        <f t="shared" si="6"/>
        <v>0</v>
      </c>
      <c r="H189" s="194">
        <f t="shared" si="7"/>
        <v>0</v>
      </c>
      <c r="I189" s="193"/>
      <c r="J189" s="195">
        <f t="shared" si="8"/>
        <v>0</v>
      </c>
      <c r="K189" s="139"/>
      <c r="L189" s="197"/>
      <c r="M189" s="198"/>
      <c r="N189" s="198"/>
      <c r="O189" s="139"/>
      <c r="P189" s="139"/>
      <c r="Q189" s="195"/>
      <c r="R189" s="141"/>
      <c r="S189" s="199">
        <f t="shared" si="9"/>
        <v>0</v>
      </c>
      <c r="T189" s="200" t="str">
        <f t="shared" si="10"/>
        <v/>
      </c>
      <c r="U189" s="200">
        <f t="shared" si="11"/>
        <v>0</v>
      </c>
      <c r="V189" s="203"/>
      <c r="W189" s="199">
        <f t="shared" ref="W189:X189" si="181">C189/100</f>
        <v>0</v>
      </c>
      <c r="X189" s="199">
        <f t="shared" si="181"/>
        <v>0</v>
      </c>
      <c r="Y189" s="199">
        <f t="shared" si="14"/>
        <v>0</v>
      </c>
      <c r="Z189" s="202">
        <f t="shared" si="15"/>
        <v>0</v>
      </c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</row>
    <row r="190" ht="27.0" hidden="1" customHeight="1">
      <c r="A190" s="162">
        <v>215.0</v>
      </c>
      <c r="B190" s="193"/>
      <c r="C190" s="193"/>
      <c r="D190" s="193"/>
      <c r="E190" s="193"/>
      <c r="F190" s="193">
        <f t="shared" si="5"/>
        <v>0</v>
      </c>
      <c r="G190" s="193">
        <f t="shared" si="6"/>
        <v>0</v>
      </c>
      <c r="H190" s="194">
        <f t="shared" si="7"/>
        <v>0</v>
      </c>
      <c r="I190" s="193"/>
      <c r="J190" s="195">
        <f t="shared" si="8"/>
        <v>0</v>
      </c>
      <c r="K190" s="139"/>
      <c r="L190" s="197"/>
      <c r="M190" s="198"/>
      <c r="N190" s="198"/>
      <c r="O190" s="139"/>
      <c r="P190" s="139"/>
      <c r="Q190" s="195"/>
      <c r="R190" s="141"/>
      <c r="S190" s="199">
        <f t="shared" si="9"/>
        <v>0</v>
      </c>
      <c r="T190" s="200" t="str">
        <f t="shared" si="10"/>
        <v/>
      </c>
      <c r="U190" s="200">
        <f t="shared" si="11"/>
        <v>0</v>
      </c>
      <c r="V190" s="203"/>
      <c r="W190" s="199">
        <f t="shared" ref="W190:X190" si="182">C190/100</f>
        <v>0</v>
      </c>
      <c r="X190" s="199">
        <f t="shared" si="182"/>
        <v>0</v>
      </c>
      <c r="Y190" s="199">
        <f t="shared" si="14"/>
        <v>0</v>
      </c>
      <c r="Z190" s="202">
        <f t="shared" si="15"/>
        <v>0</v>
      </c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</row>
    <row r="191" ht="27.0" hidden="1" customHeight="1">
      <c r="A191" s="162">
        <v>216.0</v>
      </c>
      <c r="B191" s="193"/>
      <c r="C191" s="193"/>
      <c r="D191" s="193"/>
      <c r="E191" s="193"/>
      <c r="F191" s="193">
        <f t="shared" si="5"/>
        <v>0</v>
      </c>
      <c r="G191" s="193">
        <f t="shared" si="6"/>
        <v>0</v>
      </c>
      <c r="H191" s="194">
        <f t="shared" si="7"/>
        <v>0</v>
      </c>
      <c r="I191" s="193"/>
      <c r="J191" s="195">
        <f t="shared" si="8"/>
        <v>0</v>
      </c>
      <c r="K191" s="139"/>
      <c r="L191" s="197"/>
      <c r="M191" s="198"/>
      <c r="N191" s="198"/>
      <c r="O191" s="139"/>
      <c r="P191" s="139"/>
      <c r="Q191" s="195"/>
      <c r="R191" s="141"/>
      <c r="S191" s="199">
        <f t="shared" si="9"/>
        <v>0</v>
      </c>
      <c r="T191" s="200" t="str">
        <f t="shared" si="10"/>
        <v/>
      </c>
      <c r="U191" s="200">
        <f t="shared" si="11"/>
        <v>0</v>
      </c>
      <c r="V191" s="203"/>
      <c r="W191" s="199">
        <f t="shared" ref="W191:X191" si="183">C191/100</f>
        <v>0</v>
      </c>
      <c r="X191" s="199">
        <f t="shared" si="183"/>
        <v>0</v>
      </c>
      <c r="Y191" s="199">
        <f t="shared" si="14"/>
        <v>0</v>
      </c>
      <c r="Z191" s="202">
        <f t="shared" si="15"/>
        <v>0</v>
      </c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</row>
    <row r="192" ht="27.0" hidden="1" customHeight="1">
      <c r="A192" s="162">
        <v>217.0</v>
      </c>
      <c r="B192" s="193"/>
      <c r="C192" s="193"/>
      <c r="D192" s="193"/>
      <c r="E192" s="193"/>
      <c r="F192" s="193">
        <f t="shared" si="5"/>
        <v>0</v>
      </c>
      <c r="G192" s="193">
        <f t="shared" si="6"/>
        <v>0</v>
      </c>
      <c r="H192" s="194">
        <f t="shared" si="7"/>
        <v>0</v>
      </c>
      <c r="I192" s="193"/>
      <c r="J192" s="195">
        <f t="shared" si="8"/>
        <v>0</v>
      </c>
      <c r="K192" s="139"/>
      <c r="L192" s="197"/>
      <c r="M192" s="198"/>
      <c r="N192" s="198"/>
      <c r="O192" s="139"/>
      <c r="P192" s="139"/>
      <c r="Q192" s="195"/>
      <c r="R192" s="141"/>
      <c r="S192" s="199">
        <f t="shared" si="9"/>
        <v>0</v>
      </c>
      <c r="T192" s="200" t="str">
        <f t="shared" si="10"/>
        <v/>
      </c>
      <c r="U192" s="200">
        <f t="shared" si="11"/>
        <v>0</v>
      </c>
      <c r="V192" s="203"/>
      <c r="W192" s="199">
        <f t="shared" ref="W192:X192" si="184">C192/100</f>
        <v>0</v>
      </c>
      <c r="X192" s="199">
        <f t="shared" si="184"/>
        <v>0</v>
      </c>
      <c r="Y192" s="199">
        <f t="shared" si="14"/>
        <v>0</v>
      </c>
      <c r="Z192" s="202">
        <f t="shared" si="15"/>
        <v>0</v>
      </c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</row>
    <row r="193" ht="27.0" customHeight="1">
      <c r="A193" s="162"/>
      <c r="B193" s="178"/>
      <c r="C193" s="178"/>
      <c r="D193" s="178"/>
      <c r="E193" s="178"/>
      <c r="F193" s="178"/>
      <c r="G193" s="178"/>
      <c r="H193" s="181"/>
      <c r="I193" s="162"/>
      <c r="J193" s="204">
        <f>+Q257</f>
        <v>161.6</v>
      </c>
      <c r="K193" s="139"/>
      <c r="L193" s="139"/>
      <c r="M193" s="139"/>
      <c r="N193" s="139"/>
      <c r="O193" s="139"/>
      <c r="P193" s="139"/>
      <c r="Q193" s="139"/>
      <c r="R193" s="205"/>
      <c r="S193" s="199">
        <f t="shared" si="9"/>
        <v>0</v>
      </c>
      <c r="T193" s="200" t="str">
        <f t="shared" si="10"/>
        <v/>
      </c>
      <c r="U193" s="200">
        <f t="shared" si="11"/>
        <v>0</v>
      </c>
      <c r="V193" s="203"/>
      <c r="W193" s="199">
        <f t="shared" ref="W193:X193" si="185">C193/100</f>
        <v>0</v>
      </c>
      <c r="X193" s="199">
        <f t="shared" si="185"/>
        <v>0</v>
      </c>
      <c r="Y193" s="199">
        <f t="shared" si="14"/>
        <v>0</v>
      </c>
      <c r="Z193" s="202">
        <f t="shared" si="15"/>
        <v>0</v>
      </c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</row>
    <row r="194" ht="27.0" customHeight="1">
      <c r="A194" s="162"/>
      <c r="B194" s="206"/>
      <c r="C194" s="206"/>
      <c r="D194" s="206"/>
      <c r="E194" s="206"/>
      <c r="F194" s="206"/>
      <c r="G194" s="206"/>
      <c r="H194" s="207"/>
      <c r="I194" s="208">
        <f>SUM(I25:I192)</f>
        <v>51</v>
      </c>
      <c r="J194" s="209">
        <f>SUM(J25:J193)</f>
        <v>49238.03389</v>
      </c>
      <c r="K194" s="210"/>
      <c r="L194" s="210"/>
      <c r="M194" s="210"/>
      <c r="N194" s="210"/>
      <c r="O194" s="210"/>
      <c r="P194" s="210"/>
      <c r="Q194" s="210"/>
      <c r="R194" s="141"/>
      <c r="S194" s="210">
        <f>SUMIFS($T$25:$T$192,$S$25:$S$192,"&gt;=3")</f>
        <v>32</v>
      </c>
      <c r="T194" s="210">
        <f t="shared" ref="T194:U194" si="186">SUM(T25:T192)</f>
        <v>51</v>
      </c>
      <c r="U194" s="210">
        <f t="shared" si="186"/>
        <v>940.31</v>
      </c>
      <c r="V194" s="210"/>
      <c r="W194" s="210"/>
      <c r="X194" s="210"/>
      <c r="Y194" s="210"/>
      <c r="Z194" s="211">
        <f>SUM(Z25:Z193)</f>
        <v>1903.052911</v>
      </c>
      <c r="AA194" s="210"/>
      <c r="AB194" s="210"/>
      <c r="AC194" s="210"/>
      <c r="AD194" s="210"/>
      <c r="AE194" s="210"/>
      <c r="AF194" s="210"/>
      <c r="AG194" s="210"/>
      <c r="AH194" s="210"/>
      <c r="AI194" s="210"/>
      <c r="AJ194" s="210"/>
      <c r="AK194" s="210"/>
      <c r="AL194" s="210"/>
      <c r="AM194" s="210"/>
      <c r="AN194" s="210"/>
      <c r="AO194" s="210"/>
      <c r="AP194" s="210"/>
      <c r="AQ194" s="210"/>
      <c r="AR194" s="210"/>
      <c r="AS194" s="210"/>
      <c r="AT194" s="210"/>
    </row>
    <row r="195" ht="29.25" customHeight="1">
      <c r="A195" s="139"/>
      <c r="B195" s="139"/>
      <c r="C195" s="139"/>
      <c r="D195" s="139"/>
      <c r="E195" s="139"/>
      <c r="F195" s="139"/>
      <c r="G195" s="139"/>
      <c r="H195" s="140"/>
      <c r="I195" s="139"/>
      <c r="J195" s="139"/>
      <c r="K195" s="139"/>
      <c r="L195" s="139"/>
      <c r="M195" s="139"/>
      <c r="N195" s="139"/>
      <c r="O195" s="139"/>
      <c r="P195" s="139"/>
      <c r="Q195" s="139"/>
      <c r="R195" s="141"/>
      <c r="S195" s="203"/>
      <c r="T195" s="139">
        <f>+T194-S194</f>
        <v>19</v>
      </c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</row>
    <row r="196" ht="29.25" customHeight="1">
      <c r="A196" s="139"/>
      <c r="B196" s="139"/>
      <c r="C196" s="139"/>
      <c r="D196" s="139"/>
      <c r="E196" s="139"/>
      <c r="F196" s="139"/>
      <c r="G196" s="139"/>
      <c r="H196" s="140"/>
      <c r="I196" s="139"/>
      <c r="J196" s="139"/>
      <c r="K196" s="139"/>
      <c r="L196" s="139"/>
      <c r="M196" s="139"/>
      <c r="N196" s="139"/>
      <c r="O196" s="139"/>
      <c r="P196" s="139"/>
      <c r="Q196" s="139"/>
      <c r="R196" s="205"/>
      <c r="S196" s="139"/>
      <c r="T196" s="139" t="s">
        <v>48</v>
      </c>
      <c r="U196" s="139" t="s">
        <v>68</v>
      </c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</row>
    <row r="197" ht="29.25" customHeight="1">
      <c r="A197" s="139"/>
      <c r="B197" s="139"/>
      <c r="C197" s="139"/>
      <c r="D197" s="139"/>
      <c r="E197" s="139"/>
      <c r="F197" s="139"/>
      <c r="G197" s="139"/>
      <c r="H197" s="140"/>
      <c r="I197" s="139"/>
      <c r="J197" s="139"/>
      <c r="K197" s="139"/>
      <c r="L197" s="139"/>
      <c r="M197" s="139"/>
      <c r="N197" s="139"/>
      <c r="O197" s="139"/>
      <c r="P197" s="139"/>
      <c r="Q197" s="139"/>
      <c r="R197" s="141"/>
      <c r="S197" s="139" t="s">
        <v>31</v>
      </c>
      <c r="T197" s="212">
        <f>SUMIFS($J$25:$J$192,$S$25:$S$192,"&gt;=3")</f>
        <v>47660.36998</v>
      </c>
      <c r="U197" s="213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</row>
    <row r="198" ht="29.25" customHeight="1">
      <c r="A198" s="139" t="s">
        <v>32</v>
      </c>
      <c r="B198" s="139"/>
      <c r="C198" s="139"/>
      <c r="D198" s="139" t="s">
        <v>33</v>
      </c>
      <c r="E198" s="139"/>
      <c r="F198" s="139"/>
      <c r="G198" s="139"/>
      <c r="H198" s="140"/>
      <c r="I198" s="139"/>
      <c r="J198" s="139"/>
      <c r="K198" s="139"/>
      <c r="L198" s="139"/>
      <c r="M198" s="139"/>
      <c r="N198" s="139"/>
      <c r="O198" s="139"/>
      <c r="P198" s="139"/>
      <c r="Q198" s="139"/>
      <c r="R198" s="141"/>
      <c r="S198" s="139" t="s">
        <v>34</v>
      </c>
      <c r="T198" s="266">
        <f>J194-T197</f>
        <v>1577.663911</v>
      </c>
      <c r="U198" s="213">
        <f>+SUMIFS($U$25:$U$192,$S$25:$S$192,"&gt;=3")</f>
        <v>904.79</v>
      </c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</row>
    <row r="199" ht="29.25" customHeight="1">
      <c r="A199" s="139"/>
      <c r="B199" s="139"/>
      <c r="C199" s="139"/>
      <c r="D199" s="139"/>
      <c r="E199" s="139"/>
      <c r="F199" s="139"/>
      <c r="G199" s="139"/>
      <c r="H199" s="140"/>
      <c r="I199" s="139"/>
      <c r="J199" s="139"/>
      <c r="K199" s="139"/>
      <c r="L199" s="139"/>
      <c r="M199" s="139"/>
      <c r="N199" s="139"/>
      <c r="O199" s="139"/>
      <c r="P199" s="139"/>
      <c r="Q199" s="139"/>
      <c r="R199" s="205"/>
      <c r="S199" s="139"/>
      <c r="T199" s="214">
        <f>+I194</f>
        <v>51</v>
      </c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</row>
    <row r="200" ht="39.0" customHeight="1">
      <c r="A200" s="178"/>
      <c r="B200" s="162" t="s">
        <v>12</v>
      </c>
      <c r="C200" s="179" t="s">
        <v>69</v>
      </c>
      <c r="D200" s="52"/>
      <c r="E200" s="53"/>
      <c r="F200" s="180"/>
      <c r="G200" s="180"/>
      <c r="H200" s="181" t="s">
        <v>14</v>
      </c>
      <c r="I200" s="162" t="s">
        <v>15</v>
      </c>
      <c r="J200" s="162" t="s">
        <v>16</v>
      </c>
      <c r="K200" s="139"/>
      <c r="L200" s="139"/>
      <c r="M200" s="139"/>
      <c r="N200" s="139"/>
      <c r="O200" s="139"/>
      <c r="P200" s="139"/>
      <c r="Q200" s="139"/>
      <c r="R200" s="141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</row>
    <row r="201" ht="27.0" customHeight="1">
      <c r="A201" s="155">
        <v>1.0</v>
      </c>
      <c r="B201" s="215" t="s">
        <v>63</v>
      </c>
      <c r="C201" s="215">
        <v>89.0</v>
      </c>
      <c r="D201" s="215">
        <v>195.0</v>
      </c>
      <c r="E201" s="215">
        <v>177.0</v>
      </c>
      <c r="F201" s="215">
        <f t="shared" ref="F201:F217" si="187">1-VALUE(IF(RIGHT(B201, 1)="%", RIGHT(B201, 3), 0))</f>
        <v>0.2</v>
      </c>
      <c r="G201" s="215">
        <f t="shared" ref="G201:G217" si="188">+Q201*C201/100*D201/100*E201/100</f>
        <v>0</v>
      </c>
      <c r="H201" s="216">
        <f t="shared" ref="H201:H217" si="189">IF(F201=0, G201, F201*G201)</f>
        <v>0</v>
      </c>
      <c r="I201" s="215"/>
      <c r="J201" s="217"/>
      <c r="K201" s="139"/>
      <c r="L201" s="178">
        <f t="shared" ref="L201:L204" si="190">D201*25.4/1000</f>
        <v>4.953</v>
      </c>
      <c r="M201" s="162" t="str">
        <f t="shared" ref="M201:M204" si="191">+I201</f>
        <v/>
      </c>
      <c r="N201" s="162">
        <f t="shared" ref="N201:N204" si="192">M201*L201</f>
        <v>0</v>
      </c>
      <c r="O201" s="139"/>
      <c r="P201" s="139"/>
      <c r="Q201" s="139"/>
      <c r="R201" s="141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</row>
    <row r="202" ht="27.0" customHeight="1">
      <c r="A202" s="155">
        <v>2.0</v>
      </c>
      <c r="B202" s="215" t="s">
        <v>63</v>
      </c>
      <c r="C202" s="215">
        <v>74.0</v>
      </c>
      <c r="D202" s="215">
        <v>184.0</v>
      </c>
      <c r="E202" s="215">
        <v>180.0</v>
      </c>
      <c r="F202" s="215">
        <f t="shared" si="187"/>
        <v>0.2</v>
      </c>
      <c r="G202" s="215">
        <f t="shared" si="188"/>
        <v>0</v>
      </c>
      <c r="H202" s="216">
        <f t="shared" si="189"/>
        <v>0</v>
      </c>
      <c r="I202" s="215"/>
      <c r="J202" s="217">
        <f t="shared" ref="J202:J217" si="193">+I202*H202</f>
        <v>0</v>
      </c>
      <c r="K202" s="139"/>
      <c r="L202" s="178">
        <f t="shared" si="190"/>
        <v>4.6736</v>
      </c>
      <c r="M202" s="162" t="str">
        <f t="shared" si="191"/>
        <v/>
      </c>
      <c r="N202" s="162">
        <f t="shared" si="192"/>
        <v>0</v>
      </c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</row>
    <row r="203" ht="27.0" customHeight="1">
      <c r="A203" s="155">
        <v>3.0</v>
      </c>
      <c r="B203" s="218" t="s">
        <v>63</v>
      </c>
      <c r="C203" s="218">
        <v>89.0</v>
      </c>
      <c r="D203" s="218">
        <v>202.0</v>
      </c>
      <c r="E203" s="218">
        <v>173.0</v>
      </c>
      <c r="F203" s="218">
        <f t="shared" si="187"/>
        <v>0.2</v>
      </c>
      <c r="G203" s="218">
        <f t="shared" si="188"/>
        <v>0</v>
      </c>
      <c r="H203" s="219">
        <f t="shared" si="189"/>
        <v>0</v>
      </c>
      <c r="I203" s="218"/>
      <c r="J203" s="195">
        <f t="shared" si="193"/>
        <v>0</v>
      </c>
      <c r="K203" s="139"/>
      <c r="L203" s="178">
        <f t="shared" si="190"/>
        <v>5.1308</v>
      </c>
      <c r="M203" s="162" t="str">
        <f t="shared" si="191"/>
        <v/>
      </c>
      <c r="N203" s="162">
        <f t="shared" si="192"/>
        <v>0</v>
      </c>
      <c r="O203" s="139"/>
      <c r="P203" s="139"/>
      <c r="Q203" s="139"/>
      <c r="R203" s="139"/>
      <c r="S203" s="220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</row>
    <row r="204" ht="27.0" customHeight="1">
      <c r="A204" s="155">
        <v>4.0</v>
      </c>
      <c r="B204" s="218" t="s">
        <v>110</v>
      </c>
      <c r="C204" s="218">
        <v>73.0</v>
      </c>
      <c r="D204" s="218">
        <v>198.0</v>
      </c>
      <c r="E204" s="218">
        <v>175.0</v>
      </c>
      <c r="F204" s="218">
        <f t="shared" si="187"/>
        <v>0.2</v>
      </c>
      <c r="G204" s="218">
        <f t="shared" si="188"/>
        <v>0</v>
      </c>
      <c r="H204" s="219">
        <f t="shared" si="189"/>
        <v>0</v>
      </c>
      <c r="I204" s="218"/>
      <c r="J204" s="195">
        <f t="shared" si="193"/>
        <v>0</v>
      </c>
      <c r="K204" s="139"/>
      <c r="L204" s="178">
        <f t="shared" si="190"/>
        <v>5.0292</v>
      </c>
      <c r="M204" s="162" t="str">
        <f t="shared" si="191"/>
        <v/>
      </c>
      <c r="N204" s="162">
        <f t="shared" si="192"/>
        <v>0</v>
      </c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</row>
    <row r="205" ht="27.0" customHeight="1">
      <c r="A205" s="155">
        <v>5.0</v>
      </c>
      <c r="B205" s="218" t="s">
        <v>67</v>
      </c>
      <c r="C205" s="218">
        <v>84.0</v>
      </c>
      <c r="D205" s="218">
        <v>191.0</v>
      </c>
      <c r="E205" s="218">
        <v>189.0</v>
      </c>
      <c r="F205" s="218">
        <f t="shared" si="187"/>
        <v>0.2</v>
      </c>
      <c r="G205" s="218">
        <f t="shared" si="188"/>
        <v>0</v>
      </c>
      <c r="H205" s="219">
        <f t="shared" si="189"/>
        <v>0</v>
      </c>
      <c r="I205" s="218"/>
      <c r="J205" s="195">
        <f t="shared" si="193"/>
        <v>0</v>
      </c>
      <c r="K205" s="139"/>
      <c r="L205" s="178"/>
      <c r="M205" s="162"/>
      <c r="N205" s="162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</row>
    <row r="206" ht="27.0" customHeight="1">
      <c r="A206" s="155">
        <v>6.0</v>
      </c>
      <c r="B206" s="218" t="s">
        <v>85</v>
      </c>
      <c r="C206" s="218">
        <v>86.0</v>
      </c>
      <c r="D206" s="218">
        <v>215.0</v>
      </c>
      <c r="E206" s="218">
        <v>175.0</v>
      </c>
      <c r="F206" s="218">
        <f t="shared" si="187"/>
        <v>0.2</v>
      </c>
      <c r="G206" s="218">
        <f t="shared" si="188"/>
        <v>0</v>
      </c>
      <c r="H206" s="219">
        <f t="shared" si="189"/>
        <v>0</v>
      </c>
      <c r="I206" s="218"/>
      <c r="J206" s="195">
        <f t="shared" si="193"/>
        <v>0</v>
      </c>
      <c r="K206" s="139"/>
      <c r="L206" s="178"/>
      <c r="M206" s="162"/>
      <c r="N206" s="162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</row>
    <row r="207" ht="27.0" customHeight="1">
      <c r="A207" s="155">
        <v>7.0</v>
      </c>
      <c r="B207" s="218" t="s">
        <v>109</v>
      </c>
      <c r="C207" s="218">
        <v>79.0</v>
      </c>
      <c r="D207" s="218">
        <v>216.0</v>
      </c>
      <c r="E207" s="218">
        <v>200.0</v>
      </c>
      <c r="F207" s="218">
        <f t="shared" si="187"/>
        <v>0.2</v>
      </c>
      <c r="G207" s="218">
        <f t="shared" si="188"/>
        <v>0</v>
      </c>
      <c r="H207" s="219">
        <f t="shared" si="189"/>
        <v>0</v>
      </c>
      <c r="I207" s="218"/>
      <c r="J207" s="195">
        <f t="shared" si="193"/>
        <v>0</v>
      </c>
      <c r="K207" s="139"/>
      <c r="L207" s="178"/>
      <c r="M207" s="162"/>
      <c r="N207" s="162"/>
      <c r="O207" s="139"/>
      <c r="P207" s="139"/>
      <c r="Q207" s="139"/>
      <c r="R207" s="139"/>
      <c r="S207" s="139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</row>
    <row r="208" ht="27.0" customHeight="1">
      <c r="A208" s="155">
        <v>8.0</v>
      </c>
      <c r="B208" s="218" t="s">
        <v>88</v>
      </c>
      <c r="C208" s="218">
        <v>80.0</v>
      </c>
      <c r="D208" s="218">
        <v>216.0</v>
      </c>
      <c r="E208" s="218">
        <v>176.0</v>
      </c>
      <c r="F208" s="218">
        <f t="shared" si="187"/>
        <v>0.2</v>
      </c>
      <c r="G208" s="218">
        <f t="shared" si="188"/>
        <v>0</v>
      </c>
      <c r="H208" s="219">
        <f t="shared" si="189"/>
        <v>0</v>
      </c>
      <c r="I208" s="218"/>
      <c r="J208" s="195">
        <f t="shared" si="193"/>
        <v>0</v>
      </c>
      <c r="K208" s="139"/>
      <c r="L208" s="178">
        <f t="shared" ref="L208:L212" si="194">D208*25.4/1000</f>
        <v>5.4864</v>
      </c>
      <c r="M208" s="162" t="str">
        <f>+I208</f>
        <v/>
      </c>
      <c r="N208" s="162">
        <f>M208*L208</f>
        <v>0</v>
      </c>
      <c r="O208" s="139"/>
      <c r="P208" s="139"/>
      <c r="Q208" s="139"/>
      <c r="R208" s="139"/>
      <c r="S208" s="139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</row>
    <row r="209" ht="27.0" hidden="1" customHeight="1">
      <c r="A209" s="155">
        <v>6.0</v>
      </c>
      <c r="B209" s="218"/>
      <c r="C209" s="218"/>
      <c r="D209" s="218"/>
      <c r="E209" s="218"/>
      <c r="F209" s="218">
        <f t="shared" si="187"/>
        <v>1</v>
      </c>
      <c r="G209" s="218">
        <f t="shared" si="188"/>
        <v>0</v>
      </c>
      <c r="H209" s="219">
        <f t="shared" si="189"/>
        <v>0</v>
      </c>
      <c r="I209" s="218"/>
      <c r="J209" s="195">
        <f t="shared" si="193"/>
        <v>0</v>
      </c>
      <c r="K209" s="139"/>
      <c r="L209" s="139">
        <f t="shared" si="194"/>
        <v>0</v>
      </c>
      <c r="M209" s="221"/>
      <c r="N209" s="221"/>
      <c r="O209" s="139"/>
      <c r="P209" s="139"/>
      <c r="Q209" s="139"/>
      <c r="R209" s="139"/>
      <c r="S209" s="139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</row>
    <row r="210" ht="27.0" hidden="1" customHeight="1">
      <c r="A210" s="155">
        <v>7.0</v>
      </c>
      <c r="B210" s="218"/>
      <c r="C210" s="218"/>
      <c r="D210" s="218"/>
      <c r="E210" s="218"/>
      <c r="F210" s="218">
        <f t="shared" si="187"/>
        <v>1</v>
      </c>
      <c r="G210" s="218">
        <f t="shared" si="188"/>
        <v>0</v>
      </c>
      <c r="H210" s="219">
        <f t="shared" si="189"/>
        <v>0</v>
      </c>
      <c r="I210" s="218"/>
      <c r="J210" s="195">
        <f t="shared" si="193"/>
        <v>0</v>
      </c>
      <c r="K210" s="139"/>
      <c r="L210" s="139">
        <f t="shared" si="194"/>
        <v>0</v>
      </c>
      <c r="M210" s="221"/>
      <c r="N210" s="221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</row>
    <row r="211" ht="27.0" hidden="1" customHeight="1">
      <c r="A211" s="155">
        <v>8.0</v>
      </c>
      <c r="B211" s="218"/>
      <c r="C211" s="218"/>
      <c r="D211" s="218"/>
      <c r="E211" s="218"/>
      <c r="F211" s="218">
        <f t="shared" si="187"/>
        <v>1</v>
      </c>
      <c r="G211" s="218">
        <f t="shared" si="188"/>
        <v>0</v>
      </c>
      <c r="H211" s="219">
        <f t="shared" si="189"/>
        <v>0</v>
      </c>
      <c r="I211" s="218"/>
      <c r="J211" s="195">
        <f t="shared" si="193"/>
        <v>0</v>
      </c>
      <c r="K211" s="139"/>
      <c r="L211" s="139">
        <f t="shared" si="194"/>
        <v>0</v>
      </c>
      <c r="M211" s="221"/>
      <c r="N211" s="221"/>
      <c r="O211" s="139"/>
      <c r="P211" s="139"/>
      <c r="Q211" s="139"/>
      <c r="R211" s="139"/>
      <c r="S211" s="139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</row>
    <row r="212" ht="27.0" hidden="1" customHeight="1">
      <c r="A212" s="155">
        <v>9.0</v>
      </c>
      <c r="B212" s="218"/>
      <c r="C212" s="218"/>
      <c r="D212" s="218"/>
      <c r="E212" s="218"/>
      <c r="F212" s="218">
        <f t="shared" si="187"/>
        <v>1</v>
      </c>
      <c r="G212" s="218">
        <f t="shared" si="188"/>
        <v>0</v>
      </c>
      <c r="H212" s="219">
        <f t="shared" si="189"/>
        <v>0</v>
      </c>
      <c r="I212" s="218"/>
      <c r="J212" s="195">
        <f t="shared" si="193"/>
        <v>0</v>
      </c>
      <c r="K212" s="139"/>
      <c r="L212" s="139">
        <f t="shared" si="194"/>
        <v>0</v>
      </c>
      <c r="M212" s="221"/>
      <c r="N212" s="221"/>
      <c r="O212" s="139"/>
      <c r="P212" s="139"/>
      <c r="Q212" s="139"/>
      <c r="R212" s="139"/>
      <c r="S212" s="139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</row>
    <row r="213" ht="27.0" hidden="1" customHeight="1">
      <c r="A213" s="155">
        <v>10.0</v>
      </c>
      <c r="B213" s="193"/>
      <c r="C213" s="193"/>
      <c r="D213" s="193"/>
      <c r="E213" s="193"/>
      <c r="F213" s="193">
        <f t="shared" si="187"/>
        <v>1</v>
      </c>
      <c r="G213" s="193">
        <f t="shared" si="188"/>
        <v>0</v>
      </c>
      <c r="H213" s="194">
        <f t="shared" si="189"/>
        <v>0</v>
      </c>
      <c r="I213" s="193"/>
      <c r="J213" s="195">
        <f t="shared" si="193"/>
        <v>0</v>
      </c>
      <c r="K213" s="139"/>
      <c r="L213" s="139"/>
      <c r="M213" s="221"/>
      <c r="N213" s="221"/>
      <c r="O213" s="139"/>
      <c r="P213" s="139"/>
      <c r="Q213" s="139"/>
      <c r="R213" s="139"/>
      <c r="S213" s="139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</row>
    <row r="214" ht="27.0" hidden="1" customHeight="1">
      <c r="A214" s="155">
        <v>11.0</v>
      </c>
      <c r="B214" s="193"/>
      <c r="C214" s="193"/>
      <c r="D214" s="193"/>
      <c r="E214" s="193"/>
      <c r="F214" s="193">
        <f t="shared" si="187"/>
        <v>1</v>
      </c>
      <c r="G214" s="193">
        <f t="shared" si="188"/>
        <v>0</v>
      </c>
      <c r="H214" s="194">
        <f t="shared" si="189"/>
        <v>0</v>
      </c>
      <c r="I214" s="193"/>
      <c r="J214" s="195">
        <f t="shared" si="193"/>
        <v>0</v>
      </c>
      <c r="K214" s="139"/>
      <c r="L214" s="139"/>
      <c r="M214" s="221"/>
      <c r="N214" s="221"/>
      <c r="O214" s="139"/>
      <c r="P214" s="139"/>
      <c r="Q214" s="139"/>
      <c r="R214" s="139"/>
      <c r="S214" s="139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</row>
    <row r="215" ht="27.0" hidden="1" customHeight="1">
      <c r="A215" s="155">
        <v>12.0</v>
      </c>
      <c r="B215" s="193"/>
      <c r="C215" s="193"/>
      <c r="D215" s="193"/>
      <c r="E215" s="193"/>
      <c r="F215" s="193">
        <f t="shared" si="187"/>
        <v>1</v>
      </c>
      <c r="G215" s="193">
        <f t="shared" si="188"/>
        <v>0</v>
      </c>
      <c r="H215" s="194">
        <f t="shared" si="189"/>
        <v>0</v>
      </c>
      <c r="I215" s="193"/>
      <c r="J215" s="195">
        <f t="shared" si="193"/>
        <v>0</v>
      </c>
      <c r="K215" s="139"/>
      <c r="L215" s="139"/>
      <c r="M215" s="221"/>
      <c r="N215" s="221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</row>
    <row r="216" ht="27.0" hidden="1" customHeight="1">
      <c r="A216" s="155">
        <v>13.0</v>
      </c>
      <c r="B216" s="193"/>
      <c r="C216" s="193"/>
      <c r="D216" s="193"/>
      <c r="E216" s="193"/>
      <c r="F216" s="193">
        <f t="shared" si="187"/>
        <v>1</v>
      </c>
      <c r="G216" s="193">
        <f t="shared" si="188"/>
        <v>0</v>
      </c>
      <c r="H216" s="194">
        <f t="shared" si="189"/>
        <v>0</v>
      </c>
      <c r="I216" s="193"/>
      <c r="J216" s="195">
        <f t="shared" si="193"/>
        <v>0</v>
      </c>
      <c r="K216" s="139"/>
      <c r="L216" s="139"/>
      <c r="M216" s="221"/>
      <c r="N216" s="221"/>
      <c r="O216" s="139"/>
      <c r="P216" s="139"/>
      <c r="Q216" s="139"/>
      <c r="R216" s="139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</row>
    <row r="217" ht="27.0" hidden="1" customHeight="1">
      <c r="A217" s="155">
        <v>14.0</v>
      </c>
      <c r="B217" s="193"/>
      <c r="C217" s="193"/>
      <c r="D217" s="193"/>
      <c r="E217" s="193"/>
      <c r="F217" s="193">
        <f t="shared" si="187"/>
        <v>1</v>
      </c>
      <c r="G217" s="193">
        <f t="shared" si="188"/>
        <v>0</v>
      </c>
      <c r="H217" s="194">
        <f t="shared" si="189"/>
        <v>0</v>
      </c>
      <c r="I217" s="193"/>
      <c r="J217" s="195">
        <f t="shared" si="193"/>
        <v>0</v>
      </c>
      <c r="K217" s="139"/>
      <c r="L217" s="139"/>
      <c r="M217" s="221"/>
      <c r="N217" s="221"/>
      <c r="O217" s="139"/>
      <c r="P217" s="139"/>
      <c r="Q217" s="139"/>
      <c r="R217" s="139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</row>
    <row r="218" ht="24.75" customHeight="1">
      <c r="A218" s="162"/>
      <c r="B218" s="197"/>
      <c r="C218" s="197"/>
      <c r="D218" s="197"/>
      <c r="E218" s="197"/>
      <c r="F218" s="197"/>
      <c r="G218" s="197"/>
      <c r="H218" s="222" t="s">
        <v>38</v>
      </c>
      <c r="I218" s="197"/>
      <c r="J218" s="223">
        <f>SUM(J201:J217)</f>
        <v>0</v>
      </c>
      <c r="K218" s="139"/>
      <c r="L218" s="139"/>
      <c r="M218" s="139"/>
      <c r="N218" s="139"/>
      <c r="O218" s="139"/>
      <c r="P218" s="139"/>
      <c r="Q218" s="139"/>
      <c r="R218" s="141"/>
      <c r="S218" s="224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</row>
    <row r="219" ht="18.75" customHeight="1">
      <c r="A219" s="176"/>
      <c r="B219" s="144"/>
      <c r="C219" s="144"/>
      <c r="D219" s="144"/>
      <c r="E219" s="144"/>
      <c r="F219" s="144"/>
      <c r="G219" s="144"/>
      <c r="H219" s="145"/>
      <c r="I219" s="144"/>
      <c r="J219" s="177"/>
      <c r="K219" s="139"/>
      <c r="L219" s="139"/>
      <c r="M219" s="139"/>
      <c r="N219" s="139"/>
      <c r="O219" s="139"/>
      <c r="P219" s="139"/>
      <c r="Q219" s="139"/>
      <c r="R219" s="141"/>
      <c r="S219" s="224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</row>
    <row r="220" ht="18.75" customHeight="1">
      <c r="A220" s="139"/>
      <c r="B220" s="139"/>
      <c r="C220" s="139"/>
      <c r="D220" s="139"/>
      <c r="E220" s="139"/>
      <c r="F220" s="139"/>
      <c r="G220" s="139"/>
      <c r="H220" s="140"/>
      <c r="I220" s="139"/>
      <c r="J220" s="139"/>
      <c r="K220" s="139"/>
      <c r="L220" s="139"/>
      <c r="M220" s="139"/>
      <c r="N220" s="139"/>
      <c r="O220" s="139"/>
      <c r="P220" s="139"/>
      <c r="Q220" s="139"/>
      <c r="R220" s="141"/>
      <c r="S220" s="224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</row>
    <row r="221" ht="18.75" customHeight="1">
      <c r="A221" s="139"/>
      <c r="B221" s="139"/>
      <c r="C221" s="139"/>
      <c r="D221" s="139"/>
      <c r="E221" s="139"/>
      <c r="F221" s="139"/>
      <c r="G221" s="139"/>
      <c r="H221" s="140"/>
      <c r="I221" s="139"/>
      <c r="J221" s="139"/>
      <c r="K221" s="139"/>
      <c r="L221" s="139"/>
      <c r="M221" s="139"/>
      <c r="N221" s="139"/>
      <c r="O221" s="139"/>
      <c r="P221" s="139"/>
      <c r="Q221" s="139"/>
      <c r="R221" s="224"/>
      <c r="S221" s="224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</row>
    <row r="222" ht="18.75" customHeight="1">
      <c r="A222" s="139" t="s">
        <v>39</v>
      </c>
      <c r="B222" s="139"/>
      <c r="C222" s="139"/>
      <c r="D222" s="139"/>
      <c r="E222" s="139"/>
      <c r="F222" s="139"/>
      <c r="G222" s="139"/>
      <c r="H222" s="140"/>
      <c r="I222" s="139"/>
      <c r="J222" s="139"/>
      <c r="K222" s="139"/>
      <c r="L222" s="139"/>
      <c r="M222" s="139"/>
      <c r="N222" s="139"/>
      <c r="O222" s="139"/>
      <c r="P222" s="139"/>
      <c r="Q222" s="139"/>
      <c r="R222" s="224"/>
      <c r="S222" s="224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</row>
    <row r="223" ht="18.75" customHeight="1">
      <c r="A223" s="139"/>
      <c r="B223" s="139"/>
      <c r="C223" s="139"/>
      <c r="D223" s="139"/>
      <c r="E223" s="139"/>
      <c r="F223" s="139"/>
      <c r="G223" s="139"/>
      <c r="H223" s="140"/>
      <c r="I223" s="139"/>
      <c r="J223" s="139"/>
      <c r="K223" s="139"/>
      <c r="L223" s="139"/>
      <c r="M223" s="139"/>
      <c r="N223" s="139"/>
      <c r="O223" s="139"/>
      <c r="P223" s="139"/>
      <c r="Q223" s="139"/>
      <c r="R223" s="224"/>
      <c r="S223" s="224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</row>
    <row r="224" ht="42.0" customHeight="1">
      <c r="A224" s="178"/>
      <c r="B224" s="162" t="s">
        <v>12</v>
      </c>
      <c r="C224" s="179" t="s">
        <v>75</v>
      </c>
      <c r="D224" s="52"/>
      <c r="E224" s="53"/>
      <c r="F224" s="225"/>
      <c r="G224" s="225"/>
      <c r="H224" s="181" t="s">
        <v>14</v>
      </c>
      <c r="I224" s="226" t="s">
        <v>15</v>
      </c>
      <c r="J224" s="162" t="s">
        <v>16</v>
      </c>
      <c r="K224" s="139"/>
      <c r="L224" s="139"/>
      <c r="M224" s="139"/>
      <c r="N224" s="139"/>
      <c r="O224" s="139"/>
      <c r="P224" s="139"/>
      <c r="Q224" s="139"/>
      <c r="R224" s="224"/>
      <c r="S224" s="224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</row>
    <row r="225" ht="24.75" customHeight="1">
      <c r="A225" s="162">
        <v>1.0</v>
      </c>
      <c r="B225" s="183" t="s">
        <v>55</v>
      </c>
      <c r="C225" s="200"/>
      <c r="D225" s="200"/>
      <c r="E225" s="200"/>
      <c r="F225" s="200"/>
      <c r="G225" s="200"/>
      <c r="H225" s="227">
        <v>29.0</v>
      </c>
      <c r="I225" s="200">
        <v>1.0</v>
      </c>
      <c r="J225" s="195">
        <f t="shared" ref="J225:J255" si="195">+I225*H225</f>
        <v>29</v>
      </c>
      <c r="K225" s="178"/>
      <c r="L225" s="178"/>
      <c r="M225" s="178"/>
      <c r="N225" s="178"/>
      <c r="O225" s="178"/>
      <c r="P225" s="178"/>
      <c r="Q225" s="228"/>
      <c r="R225" s="224"/>
      <c r="S225" s="224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</row>
    <row r="226" ht="24.75" customHeight="1">
      <c r="A226" s="162">
        <v>2.0</v>
      </c>
      <c r="B226" s="193" t="s">
        <v>55</v>
      </c>
      <c r="C226" s="200"/>
      <c r="D226" s="200"/>
      <c r="E226" s="200"/>
      <c r="F226" s="200"/>
      <c r="G226" s="200"/>
      <c r="H226" s="227">
        <v>25.0</v>
      </c>
      <c r="I226" s="200">
        <v>1.0</v>
      </c>
      <c r="J226" s="195">
        <f t="shared" si="195"/>
        <v>25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</row>
    <row r="227" ht="24.75" customHeight="1">
      <c r="A227" s="162">
        <v>3.0</v>
      </c>
      <c r="B227" s="183" t="s">
        <v>55</v>
      </c>
      <c r="C227" s="200"/>
      <c r="D227" s="200"/>
      <c r="E227" s="200"/>
      <c r="F227" s="200"/>
      <c r="G227" s="200"/>
      <c r="H227" s="227">
        <v>30.0</v>
      </c>
      <c r="I227" s="200">
        <v>1.0</v>
      </c>
      <c r="J227" s="195">
        <f t="shared" si="195"/>
        <v>30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</row>
    <row r="228" ht="24.75" customHeight="1">
      <c r="A228" s="162">
        <v>4.0</v>
      </c>
      <c r="B228" s="193" t="s">
        <v>55</v>
      </c>
      <c r="C228" s="200"/>
      <c r="D228" s="200"/>
      <c r="E228" s="200"/>
      <c r="F228" s="200"/>
      <c r="G228" s="200"/>
      <c r="H228" s="227">
        <v>24.0</v>
      </c>
      <c r="I228" s="200">
        <v>1.0</v>
      </c>
      <c r="J228" s="195">
        <f t="shared" si="195"/>
        <v>24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</row>
    <row r="229" ht="24.75" customHeight="1">
      <c r="A229" s="162">
        <v>5.0</v>
      </c>
      <c r="B229" s="183" t="s">
        <v>55</v>
      </c>
      <c r="C229" s="200"/>
      <c r="D229" s="200"/>
      <c r="E229" s="200"/>
      <c r="F229" s="200"/>
      <c r="G229" s="200"/>
      <c r="H229" s="227">
        <v>52.0</v>
      </c>
      <c r="I229" s="200">
        <v>1.0</v>
      </c>
      <c r="J229" s="195">
        <f t="shared" si="195"/>
        <v>52</v>
      </c>
      <c r="K229" s="178"/>
      <c r="L229" s="178"/>
      <c r="M229" s="178"/>
      <c r="N229" s="178"/>
      <c r="O229" s="178"/>
      <c r="P229" s="178"/>
      <c r="Q229" s="228"/>
      <c r="R229" s="224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</row>
    <row r="230" ht="24.75" customHeight="1">
      <c r="A230" s="162">
        <v>6.0</v>
      </c>
      <c r="B230" s="193" t="s">
        <v>55</v>
      </c>
      <c r="C230" s="200"/>
      <c r="D230" s="200"/>
      <c r="E230" s="200"/>
      <c r="F230" s="200"/>
      <c r="G230" s="200"/>
      <c r="H230" s="227">
        <v>33.0</v>
      </c>
      <c r="I230" s="200">
        <v>1.0</v>
      </c>
      <c r="J230" s="195">
        <f t="shared" si="195"/>
        <v>33</v>
      </c>
      <c r="K230" s="178"/>
      <c r="L230" s="178"/>
      <c r="M230" s="178"/>
      <c r="N230" s="178"/>
      <c r="O230" s="178"/>
      <c r="P230" s="178"/>
      <c r="Q230" s="228"/>
      <c r="R230" s="224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</row>
    <row r="231" ht="24.75" customHeight="1">
      <c r="A231" s="162">
        <v>7.0</v>
      </c>
      <c r="B231" s="183" t="s">
        <v>111</v>
      </c>
      <c r="C231" s="200"/>
      <c r="D231" s="200"/>
      <c r="E231" s="200"/>
      <c r="F231" s="200"/>
      <c r="G231" s="200"/>
      <c r="H231" s="227">
        <v>26.0</v>
      </c>
      <c r="I231" s="200">
        <v>1.0</v>
      </c>
      <c r="J231" s="195">
        <f t="shared" si="195"/>
        <v>26</v>
      </c>
      <c r="K231" s="178"/>
      <c r="L231" s="178"/>
      <c r="M231" s="178"/>
      <c r="N231" s="178"/>
      <c r="O231" s="178"/>
      <c r="P231" s="178"/>
      <c r="Q231" s="228"/>
      <c r="R231" s="224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</row>
    <row r="232" ht="24.75" customHeight="1">
      <c r="A232" s="162">
        <v>8.0</v>
      </c>
      <c r="B232" s="193" t="s">
        <v>111</v>
      </c>
      <c r="C232" s="200"/>
      <c r="D232" s="200"/>
      <c r="E232" s="200"/>
      <c r="F232" s="200"/>
      <c r="G232" s="200"/>
      <c r="H232" s="227">
        <v>18.0</v>
      </c>
      <c r="I232" s="200">
        <v>1.0</v>
      </c>
      <c r="J232" s="195">
        <f t="shared" si="195"/>
        <v>18</v>
      </c>
      <c r="K232" s="178"/>
      <c r="L232" s="178"/>
      <c r="M232" s="178"/>
      <c r="N232" s="178"/>
      <c r="O232" s="178"/>
      <c r="P232" s="178"/>
      <c r="Q232" s="228"/>
      <c r="R232" s="224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</row>
    <row r="233" ht="24.75" customHeight="1">
      <c r="A233" s="162">
        <v>9.0</v>
      </c>
      <c r="B233" s="183" t="s">
        <v>59</v>
      </c>
      <c r="C233" s="200"/>
      <c r="D233" s="200"/>
      <c r="E233" s="200"/>
      <c r="F233" s="200"/>
      <c r="G233" s="200"/>
      <c r="H233" s="227">
        <v>16.0</v>
      </c>
      <c r="I233" s="200">
        <v>1.0</v>
      </c>
      <c r="J233" s="195">
        <f t="shared" si="195"/>
        <v>16</v>
      </c>
      <c r="K233" s="178"/>
      <c r="L233" s="178"/>
      <c r="M233" s="178"/>
      <c r="N233" s="178"/>
      <c r="O233" s="178"/>
      <c r="P233" s="178"/>
      <c r="Q233" s="228"/>
      <c r="R233" s="224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</row>
    <row r="234" ht="24.75" customHeight="1">
      <c r="A234" s="162">
        <v>10.0</v>
      </c>
      <c r="B234" s="193" t="s">
        <v>59</v>
      </c>
      <c r="C234" s="200"/>
      <c r="D234" s="200"/>
      <c r="E234" s="200"/>
      <c r="F234" s="200"/>
      <c r="G234" s="200"/>
      <c r="H234" s="227">
        <v>13.0</v>
      </c>
      <c r="I234" s="200">
        <v>1.0</v>
      </c>
      <c r="J234" s="195">
        <f t="shared" si="195"/>
        <v>13</v>
      </c>
      <c r="K234" s="178"/>
      <c r="L234" s="178"/>
      <c r="M234" s="178"/>
      <c r="N234" s="178"/>
      <c r="O234" s="178"/>
      <c r="P234" s="178"/>
      <c r="Q234" s="228"/>
      <c r="R234" s="224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</row>
    <row r="235" ht="24.75" customHeight="1">
      <c r="A235" s="162">
        <v>11.0</v>
      </c>
      <c r="B235" s="183" t="s">
        <v>78</v>
      </c>
      <c r="C235" s="200"/>
      <c r="D235" s="200"/>
      <c r="E235" s="200"/>
      <c r="F235" s="200"/>
      <c r="G235" s="200"/>
      <c r="H235" s="227">
        <v>29.0</v>
      </c>
      <c r="I235" s="200">
        <v>1.0</v>
      </c>
      <c r="J235" s="195">
        <f t="shared" si="195"/>
        <v>29</v>
      </c>
      <c r="K235" s="178"/>
      <c r="L235" s="178"/>
      <c r="M235" s="178"/>
      <c r="N235" s="178"/>
      <c r="O235" s="178"/>
      <c r="P235" s="178"/>
      <c r="Q235" s="228"/>
      <c r="R235" s="224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</row>
    <row r="236" ht="24.75" customHeight="1">
      <c r="A236" s="162">
        <v>12.0</v>
      </c>
      <c r="B236" s="193" t="s">
        <v>78</v>
      </c>
      <c r="C236" s="200"/>
      <c r="D236" s="200"/>
      <c r="E236" s="200"/>
      <c r="F236" s="200"/>
      <c r="G236" s="200"/>
      <c r="H236" s="227">
        <v>22.0</v>
      </c>
      <c r="I236" s="200">
        <v>1.0</v>
      </c>
      <c r="J236" s="195">
        <f t="shared" si="195"/>
        <v>22</v>
      </c>
      <c r="K236" s="178"/>
      <c r="L236" s="178"/>
      <c r="M236" s="178"/>
      <c r="N236" s="178"/>
      <c r="O236" s="178"/>
      <c r="P236" s="178"/>
      <c r="Q236" s="228"/>
      <c r="R236" s="224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</row>
    <row r="237" ht="24.75" customHeight="1">
      <c r="A237" s="162">
        <v>13.0</v>
      </c>
      <c r="B237" s="183" t="s">
        <v>105</v>
      </c>
      <c r="C237" s="200"/>
      <c r="D237" s="200"/>
      <c r="E237" s="200"/>
      <c r="F237" s="200"/>
      <c r="G237" s="200"/>
      <c r="H237" s="227">
        <v>27.0</v>
      </c>
      <c r="I237" s="200">
        <v>1.0</v>
      </c>
      <c r="J237" s="195">
        <f t="shared" si="195"/>
        <v>27</v>
      </c>
      <c r="K237" s="178"/>
      <c r="L237" s="178"/>
      <c r="M237" s="178"/>
      <c r="N237" s="178"/>
      <c r="O237" s="178"/>
      <c r="P237" s="178"/>
      <c r="Q237" s="228"/>
      <c r="R237" s="224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</row>
    <row r="238" ht="24.75" customHeight="1">
      <c r="A238" s="162">
        <v>14.0</v>
      </c>
      <c r="B238" s="193" t="s">
        <v>105</v>
      </c>
      <c r="C238" s="200"/>
      <c r="D238" s="200"/>
      <c r="E238" s="200"/>
      <c r="F238" s="200"/>
      <c r="G238" s="200"/>
      <c r="H238" s="227">
        <v>20.0</v>
      </c>
      <c r="I238" s="200">
        <v>1.0</v>
      </c>
      <c r="J238" s="195">
        <f t="shared" si="195"/>
        <v>20</v>
      </c>
      <c r="K238" s="178"/>
      <c r="L238" s="178"/>
      <c r="M238" s="178"/>
      <c r="N238" s="178"/>
      <c r="O238" s="178"/>
      <c r="P238" s="178"/>
      <c r="Q238" s="228"/>
      <c r="R238" s="224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</row>
    <row r="239" ht="24.75" customHeight="1">
      <c r="A239" s="162">
        <v>15.0</v>
      </c>
      <c r="B239" s="183" t="s">
        <v>81</v>
      </c>
      <c r="C239" s="200"/>
      <c r="D239" s="200"/>
      <c r="E239" s="200"/>
      <c r="F239" s="200"/>
      <c r="G239" s="200"/>
      <c r="H239" s="227">
        <v>21.0</v>
      </c>
      <c r="I239" s="200">
        <v>1.0</v>
      </c>
      <c r="J239" s="195">
        <f t="shared" si="195"/>
        <v>21</v>
      </c>
      <c r="K239" s="178"/>
      <c r="L239" s="178"/>
      <c r="M239" s="178"/>
      <c r="N239" s="178"/>
      <c r="O239" s="178"/>
      <c r="P239" s="178"/>
      <c r="Q239" s="228"/>
      <c r="R239" s="224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</row>
    <row r="240" ht="24.75" customHeight="1">
      <c r="A240" s="162">
        <v>16.0</v>
      </c>
      <c r="B240" s="193" t="s">
        <v>81</v>
      </c>
      <c r="C240" s="200"/>
      <c r="D240" s="200"/>
      <c r="E240" s="200"/>
      <c r="F240" s="200"/>
      <c r="G240" s="200"/>
      <c r="H240" s="227">
        <v>19.0</v>
      </c>
      <c r="I240" s="200">
        <v>1.0</v>
      </c>
      <c r="J240" s="195">
        <f t="shared" si="195"/>
        <v>19</v>
      </c>
      <c r="K240" s="178"/>
      <c r="L240" s="178"/>
      <c r="M240" s="178"/>
      <c r="N240" s="178"/>
      <c r="O240" s="178"/>
      <c r="P240" s="178"/>
      <c r="Q240" s="228"/>
      <c r="R240" s="224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</row>
    <row r="241" ht="24.75" hidden="1" customHeight="1">
      <c r="A241" s="162">
        <v>21.0</v>
      </c>
      <c r="B241" s="229"/>
      <c r="C241" s="200"/>
      <c r="D241" s="200"/>
      <c r="E241" s="200"/>
      <c r="F241" s="200"/>
      <c r="G241" s="200"/>
      <c r="H241" s="227"/>
      <c r="I241" s="200"/>
      <c r="J241" s="195">
        <f t="shared" si="195"/>
        <v>0</v>
      </c>
      <c r="K241" s="178"/>
      <c r="L241" s="178"/>
      <c r="M241" s="178"/>
      <c r="N241" s="178"/>
      <c r="O241" s="178"/>
      <c r="P241" s="178"/>
      <c r="Q241" s="228"/>
      <c r="R241" s="224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</row>
    <row r="242" ht="24.75" hidden="1" customHeight="1">
      <c r="A242" s="162">
        <v>22.0</v>
      </c>
      <c r="B242" s="229"/>
      <c r="C242" s="200"/>
      <c r="D242" s="200"/>
      <c r="E242" s="200"/>
      <c r="F242" s="200"/>
      <c r="G242" s="200"/>
      <c r="H242" s="227"/>
      <c r="I242" s="200"/>
      <c r="J242" s="195">
        <f t="shared" si="195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</row>
    <row r="243" ht="24.75" hidden="1" customHeight="1">
      <c r="A243" s="162">
        <v>23.0</v>
      </c>
      <c r="B243" s="229"/>
      <c r="C243" s="200"/>
      <c r="D243" s="200"/>
      <c r="E243" s="200"/>
      <c r="F243" s="200"/>
      <c r="G243" s="200"/>
      <c r="H243" s="227"/>
      <c r="I243" s="200"/>
      <c r="J243" s="195">
        <f t="shared" si="195"/>
        <v>0</v>
      </c>
      <c r="K243" s="178"/>
      <c r="L243" s="178"/>
      <c r="M243" s="178"/>
      <c r="N243" s="178"/>
      <c r="O243" s="178"/>
      <c r="P243" s="178"/>
      <c r="Q243" s="139"/>
      <c r="R243" s="139"/>
      <c r="S243" s="139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</row>
    <row r="244" ht="24.75" hidden="1" customHeight="1">
      <c r="A244" s="162">
        <v>24.0</v>
      </c>
      <c r="B244" s="229"/>
      <c r="C244" s="200"/>
      <c r="D244" s="200"/>
      <c r="E244" s="200"/>
      <c r="F244" s="200"/>
      <c r="G244" s="200"/>
      <c r="H244" s="227"/>
      <c r="I244" s="200"/>
      <c r="J244" s="195">
        <f t="shared" si="195"/>
        <v>0</v>
      </c>
      <c r="K244" s="178"/>
      <c r="L244" s="178"/>
      <c r="M244" s="178"/>
      <c r="N244" s="178"/>
      <c r="O244" s="178"/>
      <c r="P244" s="178"/>
      <c r="Q244" s="139"/>
      <c r="R244" s="139"/>
      <c r="S244" s="139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</row>
    <row r="245" ht="24.75" hidden="1" customHeight="1">
      <c r="A245" s="162">
        <v>25.0</v>
      </c>
      <c r="B245" s="229"/>
      <c r="C245" s="200"/>
      <c r="D245" s="200"/>
      <c r="E245" s="200"/>
      <c r="F245" s="200"/>
      <c r="G245" s="200"/>
      <c r="H245" s="227"/>
      <c r="I245" s="200"/>
      <c r="J245" s="195">
        <f t="shared" si="195"/>
        <v>0</v>
      </c>
      <c r="K245" s="178"/>
      <c r="L245" s="178"/>
      <c r="M245" s="178"/>
      <c r="N245" s="178"/>
      <c r="O245" s="178"/>
      <c r="P245" s="178"/>
      <c r="Q245" s="139"/>
      <c r="R245" s="139"/>
      <c r="S245" s="139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</row>
    <row r="246" ht="24.75" hidden="1" customHeight="1">
      <c r="A246" s="162">
        <v>26.0</v>
      </c>
      <c r="B246" s="229"/>
      <c r="C246" s="200"/>
      <c r="D246" s="200"/>
      <c r="E246" s="200"/>
      <c r="F246" s="200"/>
      <c r="G246" s="200"/>
      <c r="H246" s="227"/>
      <c r="I246" s="200"/>
      <c r="J246" s="195">
        <f t="shared" si="195"/>
        <v>0</v>
      </c>
      <c r="K246" s="178"/>
      <c r="L246" s="178"/>
      <c r="M246" s="178"/>
      <c r="N246" s="178"/>
      <c r="O246" s="178"/>
      <c r="P246" s="178"/>
      <c r="Q246" s="139"/>
      <c r="R246" s="139"/>
      <c r="S246" s="139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</row>
    <row r="247" ht="24.75" hidden="1" customHeight="1">
      <c r="A247" s="162">
        <v>27.0</v>
      </c>
      <c r="B247" s="229"/>
      <c r="C247" s="200"/>
      <c r="D247" s="200"/>
      <c r="E247" s="200"/>
      <c r="F247" s="200"/>
      <c r="G247" s="200"/>
      <c r="H247" s="200"/>
      <c r="I247" s="200"/>
      <c r="J247" s="195">
        <f t="shared" si="195"/>
        <v>0</v>
      </c>
      <c r="K247" s="178"/>
      <c r="L247" s="178"/>
      <c r="M247" s="178"/>
      <c r="N247" s="178"/>
      <c r="O247" s="178"/>
      <c r="P247" s="178"/>
      <c r="Q247" s="139"/>
      <c r="R247" s="139"/>
      <c r="S247" s="139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</row>
    <row r="248" ht="24.75" hidden="1" customHeight="1">
      <c r="A248" s="162">
        <v>28.0</v>
      </c>
      <c r="B248" s="229"/>
      <c r="C248" s="200"/>
      <c r="D248" s="200"/>
      <c r="E248" s="200"/>
      <c r="F248" s="200"/>
      <c r="G248" s="200"/>
      <c r="H248" s="200"/>
      <c r="I248" s="200"/>
      <c r="J248" s="195">
        <f t="shared" si="195"/>
        <v>0</v>
      </c>
      <c r="K248" s="178"/>
      <c r="L248" s="178"/>
      <c r="M248" s="178"/>
      <c r="N248" s="178"/>
      <c r="O248" s="178"/>
      <c r="P248" s="178"/>
      <c r="Q248" s="139"/>
      <c r="R248" s="139"/>
      <c r="S248" s="139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</row>
    <row r="249" ht="24.75" hidden="1" customHeight="1">
      <c r="A249" s="162">
        <v>29.0</v>
      </c>
      <c r="B249" s="230"/>
      <c r="C249" s="200"/>
      <c r="D249" s="200"/>
      <c r="E249" s="200"/>
      <c r="F249" s="200"/>
      <c r="G249" s="200"/>
      <c r="H249" s="200"/>
      <c r="I249" s="200"/>
      <c r="J249" s="195">
        <f t="shared" si="195"/>
        <v>0</v>
      </c>
      <c r="K249" s="178"/>
      <c r="L249" s="178"/>
      <c r="M249" s="178"/>
      <c r="N249" s="178"/>
      <c r="O249" s="178"/>
      <c r="P249" s="178"/>
      <c r="Q249" s="139"/>
      <c r="R249" s="139"/>
      <c r="S249" s="139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</row>
    <row r="250" ht="24.75" hidden="1" customHeight="1">
      <c r="A250" s="162">
        <v>30.0</v>
      </c>
      <c r="B250" s="230"/>
      <c r="C250" s="200"/>
      <c r="D250" s="200"/>
      <c r="E250" s="200"/>
      <c r="F250" s="200"/>
      <c r="G250" s="200"/>
      <c r="H250" s="227"/>
      <c r="I250" s="200"/>
      <c r="J250" s="195">
        <f t="shared" si="195"/>
        <v>0</v>
      </c>
      <c r="K250" s="178"/>
      <c r="L250" s="178"/>
      <c r="M250" s="178"/>
      <c r="N250" s="178"/>
      <c r="O250" s="178"/>
      <c r="P250" s="178"/>
      <c r="Q250" s="139"/>
      <c r="R250" s="139"/>
      <c r="S250" s="139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</row>
    <row r="251" ht="24.75" hidden="1" customHeight="1">
      <c r="A251" s="162">
        <v>31.0</v>
      </c>
      <c r="B251" s="218"/>
      <c r="C251" s="200"/>
      <c r="D251" s="200"/>
      <c r="E251" s="200"/>
      <c r="F251" s="200"/>
      <c r="G251" s="200"/>
      <c r="H251" s="227"/>
      <c r="I251" s="200"/>
      <c r="J251" s="195">
        <f t="shared" si="195"/>
        <v>0</v>
      </c>
      <c r="K251" s="178"/>
      <c r="L251" s="178"/>
      <c r="M251" s="178"/>
      <c r="N251" s="178"/>
      <c r="O251" s="178"/>
      <c r="P251" s="178"/>
      <c r="Q251" s="139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  <c r="AL251" s="139"/>
      <c r="AM251" s="139"/>
      <c r="AN251" s="139"/>
      <c r="AO251" s="139"/>
      <c r="AP251" s="139"/>
      <c r="AQ251" s="139"/>
      <c r="AR251" s="139"/>
      <c r="AS251" s="139"/>
      <c r="AT251" s="139"/>
    </row>
    <row r="252" ht="24.75" hidden="1" customHeight="1">
      <c r="A252" s="162">
        <v>32.0</v>
      </c>
      <c r="B252" s="218"/>
      <c r="C252" s="162"/>
      <c r="D252" s="162"/>
      <c r="E252" s="162"/>
      <c r="F252" s="162"/>
      <c r="G252" s="162"/>
      <c r="H252" s="162"/>
      <c r="I252" s="162"/>
      <c r="J252" s="195">
        <f t="shared" si="195"/>
        <v>0</v>
      </c>
      <c r="K252" s="178"/>
      <c r="L252" s="178"/>
      <c r="M252" s="178"/>
      <c r="N252" s="178"/>
      <c r="O252" s="178"/>
      <c r="P252" s="178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139"/>
    </row>
    <row r="253" ht="24.75" hidden="1" customHeight="1">
      <c r="A253" s="162">
        <v>33.0</v>
      </c>
      <c r="B253" s="230"/>
      <c r="C253" s="162"/>
      <c r="D253" s="162"/>
      <c r="E253" s="162"/>
      <c r="F253" s="162"/>
      <c r="G253" s="162"/>
      <c r="H253" s="162"/>
      <c r="I253" s="162"/>
      <c r="J253" s="195">
        <f t="shared" si="195"/>
        <v>0</v>
      </c>
      <c r="K253" s="178"/>
      <c r="L253" s="178"/>
      <c r="M253" s="178"/>
      <c r="N253" s="178"/>
      <c r="O253" s="178"/>
      <c r="P253" s="178"/>
      <c r="Q253" s="139"/>
      <c r="R253" s="139"/>
      <c r="S253" s="139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39"/>
      <c r="AM253" s="139"/>
      <c r="AN253" s="139"/>
      <c r="AO253" s="139"/>
      <c r="AP253" s="139"/>
      <c r="AQ253" s="139"/>
      <c r="AR253" s="139"/>
      <c r="AS253" s="139"/>
      <c r="AT253" s="139"/>
    </row>
    <row r="254" ht="24.75" hidden="1" customHeight="1">
      <c r="A254" s="162">
        <v>34.0</v>
      </c>
      <c r="B254" s="231"/>
      <c r="C254" s="162"/>
      <c r="D254" s="162"/>
      <c r="E254" s="162"/>
      <c r="F254" s="162"/>
      <c r="G254" s="162"/>
      <c r="H254" s="162"/>
      <c r="I254" s="162"/>
      <c r="J254" s="195">
        <f t="shared" si="195"/>
        <v>0</v>
      </c>
      <c r="K254" s="178"/>
      <c r="L254" s="178"/>
      <c r="M254" s="178"/>
      <c r="N254" s="178"/>
      <c r="O254" s="178"/>
      <c r="P254" s="178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39"/>
      <c r="AM254" s="139"/>
      <c r="AN254" s="139"/>
      <c r="AO254" s="139"/>
      <c r="AP254" s="139"/>
      <c r="AQ254" s="139"/>
      <c r="AR254" s="139"/>
      <c r="AS254" s="139"/>
      <c r="AT254" s="139"/>
    </row>
    <row r="255" ht="24.75" hidden="1" customHeight="1">
      <c r="A255" s="162">
        <v>35.0</v>
      </c>
      <c r="B255" s="232"/>
      <c r="C255" s="162"/>
      <c r="D255" s="162"/>
      <c r="E255" s="162"/>
      <c r="F255" s="162"/>
      <c r="G255" s="162"/>
      <c r="H255" s="162"/>
      <c r="I255" s="162"/>
      <c r="J255" s="195">
        <f t="shared" si="195"/>
        <v>0</v>
      </c>
      <c r="K255" s="178"/>
      <c r="L255" s="178"/>
      <c r="M255" s="178"/>
      <c r="N255" s="178"/>
      <c r="O255" s="178"/>
      <c r="P255" s="178"/>
      <c r="Q255" s="139"/>
      <c r="R255" s="139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  <c r="AL255" s="139"/>
      <c r="AM255" s="139"/>
      <c r="AN255" s="139"/>
      <c r="AO255" s="139"/>
      <c r="AP255" s="139"/>
      <c r="AQ255" s="139"/>
      <c r="AR255" s="139"/>
      <c r="AS255" s="139"/>
      <c r="AT255" s="139"/>
    </row>
    <row r="256" ht="18.75" customHeight="1">
      <c r="A256" s="139"/>
      <c r="B256" s="139"/>
      <c r="C256" s="139"/>
      <c r="D256" s="139"/>
      <c r="E256" s="139"/>
      <c r="F256" s="139"/>
      <c r="G256" s="139"/>
      <c r="H256" s="140" t="s">
        <v>38</v>
      </c>
      <c r="I256" s="139"/>
      <c r="J256" s="233">
        <f>SUM(J225:J255)</f>
        <v>404</v>
      </c>
      <c r="K256" s="234"/>
      <c r="L256" s="234"/>
      <c r="M256" s="234"/>
      <c r="N256" s="234"/>
      <c r="O256" s="234"/>
      <c r="P256" s="234"/>
      <c r="Q256" s="234"/>
      <c r="R256" s="139"/>
      <c r="S256" s="224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  <c r="AL256" s="139"/>
      <c r="AM256" s="139"/>
      <c r="AN256" s="139"/>
      <c r="AO256" s="139"/>
      <c r="AP256" s="139"/>
      <c r="AQ256" s="139"/>
      <c r="AR256" s="139"/>
      <c r="AS256" s="139"/>
      <c r="AT256" s="139"/>
    </row>
    <row r="257" ht="18.75" customHeight="1">
      <c r="A257" s="144"/>
      <c r="B257" s="144"/>
      <c r="C257" s="144"/>
      <c r="D257" s="144"/>
      <c r="E257" s="144"/>
      <c r="F257" s="144"/>
      <c r="G257" s="144"/>
      <c r="H257" s="145"/>
      <c r="I257" s="175"/>
      <c r="J257" s="206">
        <f>+J256*60%</f>
        <v>242.4</v>
      </c>
      <c r="K257" s="206"/>
      <c r="L257" s="206"/>
      <c r="M257" s="206"/>
      <c r="N257" s="206"/>
      <c r="O257" s="206"/>
      <c r="P257" s="206"/>
      <c r="Q257" s="206">
        <f>+J256*40%</f>
        <v>161.6</v>
      </c>
      <c r="R257" s="139"/>
      <c r="S257" s="224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39"/>
      <c r="AM257" s="139"/>
      <c r="AN257" s="139"/>
      <c r="AO257" s="139"/>
      <c r="AP257" s="139"/>
      <c r="AQ257" s="139"/>
      <c r="AR257" s="139"/>
      <c r="AS257" s="139"/>
      <c r="AT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39"/>
      <c r="S258" s="224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  <c r="AL258" s="139"/>
      <c r="AM258" s="139"/>
      <c r="AN258" s="139"/>
      <c r="AO258" s="139"/>
      <c r="AP258" s="139"/>
      <c r="AQ258" s="139"/>
      <c r="AR258" s="139"/>
      <c r="AS258" s="139"/>
      <c r="AT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39"/>
      <c r="S259" s="224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  <c r="AL259" s="139"/>
      <c r="AM259" s="139"/>
      <c r="AN259" s="139"/>
      <c r="AO259" s="139"/>
      <c r="AP259" s="139"/>
      <c r="AQ259" s="139"/>
      <c r="AR259" s="139"/>
      <c r="AS259" s="139"/>
      <c r="AT259" s="139"/>
    </row>
    <row r="260" ht="19.5" customHeight="1">
      <c r="A260" s="235" t="s">
        <v>41</v>
      </c>
      <c r="B260" s="139"/>
      <c r="C260" s="139"/>
      <c r="D260" s="139"/>
      <c r="E260" s="139"/>
      <c r="F260" s="139"/>
      <c r="G260" s="139"/>
      <c r="H260" s="140"/>
      <c r="I260" s="139"/>
      <c r="J260" s="139"/>
      <c r="K260" s="139"/>
      <c r="L260" s="139"/>
      <c r="M260" s="139"/>
      <c r="N260" s="139"/>
      <c r="O260" s="139"/>
      <c r="P260" s="139"/>
      <c r="Q260" s="139"/>
      <c r="R260" s="139"/>
      <c r="S260" s="224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  <c r="AJ260" s="139"/>
      <c r="AK260" s="139"/>
      <c r="AL260" s="139"/>
      <c r="AM260" s="139"/>
      <c r="AN260" s="139"/>
      <c r="AO260" s="139"/>
      <c r="AP260" s="139"/>
      <c r="AQ260" s="139"/>
      <c r="AR260" s="139"/>
      <c r="AS260" s="139"/>
      <c r="AT260" s="139"/>
    </row>
    <row r="261" ht="57.0" customHeight="1">
      <c r="A261" s="236"/>
      <c r="B261" s="237" t="s">
        <v>42</v>
      </c>
      <c r="C261" s="237" t="s">
        <v>43</v>
      </c>
      <c r="D261" s="237" t="s">
        <v>44</v>
      </c>
      <c r="E261" s="237" t="s">
        <v>45</v>
      </c>
      <c r="F261" s="237"/>
      <c r="G261" s="237"/>
      <c r="H261" s="238" t="s">
        <v>46</v>
      </c>
      <c r="I261" s="239" t="s">
        <v>47</v>
      </c>
      <c r="J261" s="139"/>
      <c r="K261" s="139"/>
      <c r="L261" s="139"/>
      <c r="M261" s="139"/>
      <c r="N261" s="139"/>
      <c r="O261" s="139"/>
      <c r="P261" s="139"/>
      <c r="Q261" s="139"/>
      <c r="R261" s="141"/>
      <c r="S261" s="224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  <c r="AJ261" s="139"/>
      <c r="AK261" s="139"/>
      <c r="AL261" s="139"/>
      <c r="AM261" s="139"/>
      <c r="AN261" s="139"/>
      <c r="AO261" s="139"/>
      <c r="AP261" s="139"/>
      <c r="AQ261" s="139"/>
      <c r="AR261" s="139"/>
      <c r="AS261" s="139"/>
      <c r="AT261" s="139"/>
    </row>
    <row r="262" ht="18.75" customHeight="1">
      <c r="A262" s="240" t="s">
        <v>48</v>
      </c>
      <c r="B262" s="241">
        <f>+E18</f>
        <v>54168.1505</v>
      </c>
      <c r="C262" s="242">
        <f>+J194</f>
        <v>49238.03389</v>
      </c>
      <c r="D262" s="242">
        <f>+J218</f>
        <v>0</v>
      </c>
      <c r="E262" s="243">
        <f>J257</f>
        <v>242.4</v>
      </c>
      <c r="F262" s="243"/>
      <c r="G262" s="243"/>
      <c r="H262" s="244">
        <f>+I18</f>
        <v>2068.939212</v>
      </c>
      <c r="I262" s="245">
        <f>+B262-C262-D262-E262-H262</f>
        <v>2618.777397</v>
      </c>
      <c r="J262" s="139"/>
      <c r="K262" s="139"/>
      <c r="L262" s="139"/>
      <c r="M262" s="139"/>
      <c r="N262" s="139"/>
      <c r="O262" s="139"/>
      <c r="P262" s="139"/>
      <c r="Q262" s="139"/>
      <c r="R262" s="141"/>
      <c r="S262" s="224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  <c r="AJ262" s="139"/>
      <c r="AK262" s="139"/>
      <c r="AL262" s="139"/>
      <c r="AM262" s="139"/>
      <c r="AN262" s="139"/>
      <c r="AO262" s="139"/>
      <c r="AP262" s="139"/>
      <c r="AQ262" s="139"/>
      <c r="AR262" s="139"/>
      <c r="AS262" s="139"/>
      <c r="AT262" s="139"/>
    </row>
    <row r="263" ht="19.5" customHeight="1">
      <c r="A263" s="246" t="s">
        <v>49</v>
      </c>
      <c r="B263" s="247"/>
      <c r="C263" s="248">
        <f>+C262/B262</f>
        <v>0.9089849559</v>
      </c>
      <c r="D263" s="248">
        <f>+D262/B262</f>
        <v>0</v>
      </c>
      <c r="E263" s="248">
        <f>+E262/B262</f>
        <v>0.004474954337</v>
      </c>
      <c r="F263" s="248"/>
      <c r="G263" s="248"/>
      <c r="H263" s="249">
        <f>+H262/B262</f>
        <v>0.03819475454</v>
      </c>
      <c r="I263" s="250">
        <f>+I262/B262</f>
        <v>0.04834533527</v>
      </c>
      <c r="J263" s="139"/>
      <c r="K263" s="139"/>
      <c r="L263" s="139"/>
      <c r="M263" s="139"/>
      <c r="N263" s="139"/>
      <c r="O263" s="139"/>
      <c r="P263" s="139"/>
      <c r="Q263" s="139"/>
      <c r="R263" s="141"/>
      <c r="S263" s="224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39"/>
      <c r="AM263" s="139"/>
      <c r="AN263" s="139"/>
      <c r="AO263" s="139"/>
      <c r="AP263" s="139"/>
      <c r="AQ263" s="139"/>
      <c r="AR263" s="139"/>
      <c r="AS263" s="139"/>
      <c r="AT263" s="139"/>
    </row>
    <row r="264" ht="19.5" customHeight="1">
      <c r="A264" s="165"/>
      <c r="B264" s="221"/>
      <c r="C264" s="251"/>
      <c r="D264" s="251"/>
      <c r="E264" s="251"/>
      <c r="F264" s="251"/>
      <c r="G264" s="251"/>
      <c r="H264" s="252"/>
      <c r="I264" s="253"/>
      <c r="J264" s="139"/>
      <c r="K264" s="139"/>
      <c r="L264" s="139"/>
      <c r="M264" s="139"/>
      <c r="N264" s="139"/>
      <c r="O264" s="139"/>
      <c r="P264" s="139"/>
      <c r="Q264" s="139"/>
      <c r="R264" s="141"/>
      <c r="S264" s="224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  <c r="AJ264" s="139"/>
      <c r="AK264" s="139"/>
      <c r="AL264" s="139"/>
      <c r="AM264" s="139"/>
      <c r="AN264" s="139"/>
      <c r="AO264" s="139"/>
      <c r="AP264" s="139"/>
      <c r="AQ264" s="139"/>
      <c r="AR264" s="139"/>
      <c r="AS264" s="139"/>
      <c r="AT264" s="139"/>
    </row>
    <row r="265" ht="18.75" customHeight="1">
      <c r="A265" s="254"/>
      <c r="B265" s="255"/>
      <c r="C265" s="255"/>
      <c r="D265" s="255" t="s">
        <v>50</v>
      </c>
      <c r="E265" s="255" t="s">
        <v>48</v>
      </c>
      <c r="F265" s="255"/>
      <c r="G265" s="255"/>
      <c r="H265" s="256">
        <f>+D262+E262+H262+I262</f>
        <v>4930.116609</v>
      </c>
      <c r="I265" s="257"/>
      <c r="J265" s="139"/>
      <c r="K265" s="139"/>
      <c r="L265" s="139"/>
      <c r="M265" s="139"/>
      <c r="N265" s="139"/>
      <c r="O265" s="139"/>
      <c r="P265" s="139"/>
      <c r="Q265" s="139"/>
      <c r="R265" s="141"/>
      <c r="S265" s="140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39"/>
      <c r="AM265" s="139"/>
      <c r="AN265" s="139"/>
      <c r="AO265" s="139"/>
      <c r="AP265" s="139"/>
      <c r="AQ265" s="139"/>
      <c r="AR265" s="139"/>
      <c r="AS265" s="139"/>
      <c r="AT265" s="139"/>
    </row>
    <row r="266" ht="18.75" customHeight="1">
      <c r="A266" s="258"/>
      <c r="B266" s="139"/>
      <c r="C266" s="139"/>
      <c r="D266" s="139"/>
      <c r="E266" s="139" t="s">
        <v>49</v>
      </c>
      <c r="F266" s="139"/>
      <c r="G266" s="139"/>
      <c r="H266" s="252">
        <f>+H265/B262</f>
        <v>0.09101504415</v>
      </c>
      <c r="I266" s="259"/>
      <c r="J266" s="139"/>
      <c r="K266" s="139"/>
      <c r="L266" s="139"/>
      <c r="M266" s="139"/>
      <c r="N266" s="139"/>
      <c r="O266" s="139"/>
      <c r="P266" s="139"/>
      <c r="Q266" s="139"/>
      <c r="R266" s="141"/>
      <c r="S266" s="140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  <c r="AJ266" s="139"/>
      <c r="AK266" s="139"/>
      <c r="AL266" s="139"/>
      <c r="AM266" s="139"/>
      <c r="AN266" s="139"/>
      <c r="AO266" s="139"/>
      <c r="AP266" s="139"/>
      <c r="AQ266" s="139"/>
      <c r="AR266" s="139"/>
      <c r="AS266" s="139"/>
      <c r="AT266" s="139"/>
    </row>
    <row r="267" ht="18.75" customHeight="1">
      <c r="A267" s="258"/>
      <c r="B267" s="139"/>
      <c r="C267" s="139" t="s">
        <v>51</v>
      </c>
      <c r="D267" s="139"/>
      <c r="E267" s="139"/>
      <c r="F267" s="139"/>
      <c r="G267" s="139"/>
      <c r="H267" s="140"/>
      <c r="I267" s="259"/>
      <c r="J267" s="139"/>
      <c r="K267" s="139"/>
      <c r="L267" s="139"/>
      <c r="M267" s="139"/>
      <c r="N267" s="139"/>
      <c r="O267" s="139"/>
      <c r="P267" s="139"/>
      <c r="Q267" s="139"/>
      <c r="R267" s="141"/>
      <c r="S267" s="140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39"/>
      <c r="AM267" s="139"/>
      <c r="AN267" s="139"/>
      <c r="AO267" s="139"/>
      <c r="AP267" s="139"/>
      <c r="AQ267" s="139"/>
      <c r="AR267" s="139"/>
      <c r="AS267" s="139"/>
      <c r="AT267" s="139"/>
    </row>
    <row r="268" ht="18.75" customHeight="1">
      <c r="A268" s="258"/>
      <c r="B268" s="139"/>
      <c r="C268" s="139"/>
      <c r="D268" s="139" t="s">
        <v>52</v>
      </c>
      <c r="E268" s="139"/>
      <c r="F268" s="139"/>
      <c r="G268" s="139"/>
      <c r="H268" s="140">
        <f>+H267*(H265-H262)</f>
        <v>0</v>
      </c>
      <c r="I268" s="259"/>
      <c r="J268" s="139"/>
      <c r="K268" s="139"/>
      <c r="L268" s="139"/>
      <c r="M268" s="139"/>
      <c r="N268" s="139"/>
      <c r="O268" s="139"/>
      <c r="P268" s="139"/>
      <c r="Q268" s="139"/>
      <c r="R268" s="141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39"/>
      <c r="AM268" s="139"/>
      <c r="AN268" s="139"/>
      <c r="AO268" s="139"/>
      <c r="AP268" s="139"/>
      <c r="AQ268" s="139"/>
      <c r="AR268" s="139"/>
      <c r="AS268" s="139"/>
      <c r="AT268" s="139"/>
    </row>
    <row r="269" ht="19.5" customHeight="1">
      <c r="A269" s="260"/>
      <c r="B269" s="261"/>
      <c r="C269" s="261"/>
      <c r="D269" s="261"/>
      <c r="E269" s="261"/>
      <c r="F269" s="261"/>
      <c r="G269" s="261"/>
      <c r="H269" s="262"/>
      <c r="I269" s="263"/>
      <c r="J269" s="139"/>
      <c r="K269" s="139"/>
      <c r="L269" s="139"/>
      <c r="M269" s="139"/>
      <c r="N269" s="139"/>
      <c r="O269" s="139"/>
      <c r="P269" s="139"/>
      <c r="Q269" s="139"/>
      <c r="R269" s="141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  <c r="AJ269" s="139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139"/>
    </row>
    <row r="270" ht="18.75" customHeight="1">
      <c r="A270" s="139"/>
      <c r="B270" s="139"/>
      <c r="C270" s="139"/>
      <c r="D270" s="139"/>
      <c r="E270" s="139"/>
      <c r="F270" s="139"/>
      <c r="G270" s="139"/>
      <c r="H270" s="140"/>
      <c r="I270" s="139"/>
      <c r="J270" s="139"/>
      <c r="K270" s="139"/>
      <c r="L270" s="139"/>
      <c r="M270" s="139"/>
      <c r="N270" s="139"/>
      <c r="O270" s="139"/>
      <c r="P270" s="139"/>
      <c r="Q270" s="139"/>
      <c r="R270" s="141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  <c r="AJ270" s="139"/>
      <c r="AK270" s="139"/>
      <c r="AL270" s="139"/>
      <c r="AM270" s="139"/>
      <c r="AN270" s="139"/>
      <c r="AO270" s="139"/>
      <c r="AP270" s="139"/>
      <c r="AQ270" s="139"/>
      <c r="AR270" s="139"/>
      <c r="AS270" s="139"/>
      <c r="AT270" s="139"/>
    </row>
    <row r="271" ht="18.75" customHeight="1">
      <c r="A271" s="139"/>
      <c r="B271" s="139"/>
      <c r="C271" s="139"/>
      <c r="D271" s="139"/>
      <c r="E271" s="139"/>
      <c r="F271" s="139"/>
      <c r="G271" s="139"/>
      <c r="H271" s="140"/>
      <c r="I271" s="139"/>
      <c r="J271" s="139"/>
      <c r="K271" s="139"/>
      <c r="L271" s="139"/>
      <c r="M271" s="139"/>
      <c r="N271" s="139"/>
      <c r="O271" s="139"/>
      <c r="P271" s="139"/>
      <c r="Q271" s="139"/>
      <c r="R271" s="141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  <c r="AJ271" s="139"/>
      <c r="AK271" s="139"/>
      <c r="AL271" s="139"/>
      <c r="AM271" s="139"/>
      <c r="AN271" s="139"/>
      <c r="AO271" s="139"/>
      <c r="AP271" s="139"/>
      <c r="AQ271" s="139"/>
      <c r="AR271" s="139"/>
      <c r="AS271" s="139"/>
      <c r="AT271" s="139"/>
    </row>
    <row r="272" ht="18.75" customHeight="1">
      <c r="A272" s="139"/>
      <c r="B272" s="139"/>
      <c r="C272" s="139"/>
      <c r="D272" s="139"/>
      <c r="E272" s="139"/>
      <c r="F272" s="139"/>
      <c r="G272" s="139"/>
      <c r="H272" s="140"/>
      <c r="I272" s="139"/>
      <c r="J272" s="139"/>
      <c r="K272" s="139"/>
      <c r="L272" s="139"/>
      <c r="M272" s="139"/>
      <c r="N272" s="139"/>
      <c r="O272" s="139"/>
      <c r="P272" s="139"/>
      <c r="Q272" s="139"/>
      <c r="R272" s="141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  <c r="AJ272" s="139"/>
      <c r="AK272" s="139"/>
      <c r="AL272" s="139"/>
      <c r="AM272" s="139"/>
      <c r="AN272" s="139"/>
      <c r="AO272" s="139"/>
      <c r="AP272" s="139"/>
      <c r="AQ272" s="139"/>
      <c r="AR272" s="139"/>
      <c r="AS272" s="139"/>
      <c r="AT272" s="139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</row>
    <row r="456" ht="18.0" customHeight="1">
      <c r="A456" s="7"/>
      <c r="B456" s="7"/>
      <c r="C456" s="7"/>
      <c r="D456" s="7"/>
      <c r="E456" s="7"/>
      <c r="F456" s="7"/>
      <c r="G456" s="7"/>
      <c r="H456" s="264"/>
      <c r="I456" s="7"/>
      <c r="J456" s="7"/>
      <c r="K456" s="7"/>
      <c r="L456" s="7"/>
      <c r="M456" s="7"/>
      <c r="N456" s="7"/>
      <c r="O456" s="7"/>
      <c r="P456" s="7"/>
      <c r="Q456" s="7"/>
      <c r="R456" s="265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</row>
    <row r="457" ht="18.0" customHeight="1">
      <c r="A457" s="7"/>
      <c r="B457" s="7"/>
      <c r="C457" s="7"/>
      <c r="D457" s="7"/>
      <c r="E457" s="7"/>
      <c r="F457" s="7"/>
      <c r="G457" s="7"/>
      <c r="H457" s="264"/>
      <c r="I457" s="7"/>
      <c r="J457" s="7"/>
      <c r="K457" s="7"/>
      <c r="L457" s="7"/>
      <c r="M457" s="7"/>
      <c r="N457" s="7"/>
      <c r="O457" s="7"/>
      <c r="P457" s="7"/>
      <c r="Q457" s="7"/>
      <c r="R457" s="265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</row>
    <row r="458" ht="18.0" customHeight="1">
      <c r="A458" s="7"/>
      <c r="B458" s="7"/>
      <c r="C458" s="7"/>
      <c r="D458" s="7"/>
      <c r="E458" s="7"/>
      <c r="F458" s="7"/>
      <c r="G458" s="7"/>
      <c r="H458" s="264"/>
      <c r="I458" s="7"/>
      <c r="J458" s="7"/>
      <c r="K458" s="7"/>
      <c r="L458" s="7"/>
      <c r="M458" s="7"/>
      <c r="N458" s="7"/>
      <c r="O458" s="7"/>
      <c r="P458" s="7"/>
      <c r="Q458" s="7"/>
      <c r="R458" s="265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</row>
    <row r="459" ht="18.0" customHeight="1">
      <c r="A459" s="7"/>
      <c r="B459" s="7"/>
      <c r="C459" s="7"/>
      <c r="D459" s="7"/>
      <c r="E459" s="7"/>
      <c r="F459" s="7"/>
      <c r="G459" s="7"/>
      <c r="H459" s="264"/>
      <c r="I459" s="7"/>
      <c r="J459" s="7"/>
      <c r="K459" s="7"/>
      <c r="L459" s="7"/>
      <c r="M459" s="7"/>
      <c r="N459" s="7"/>
      <c r="O459" s="7"/>
      <c r="P459" s="7"/>
      <c r="Q459" s="7"/>
      <c r="R459" s="265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</row>
    <row r="460" ht="18.0" customHeight="1">
      <c r="A460" s="7"/>
      <c r="B460" s="7"/>
      <c r="C460" s="7"/>
      <c r="D460" s="7"/>
      <c r="E460" s="7"/>
      <c r="F460" s="7"/>
      <c r="G460" s="7"/>
      <c r="H460" s="264"/>
      <c r="I460" s="7"/>
      <c r="J460" s="7"/>
      <c r="K460" s="7"/>
      <c r="L460" s="7"/>
      <c r="M460" s="7"/>
      <c r="N460" s="7"/>
      <c r="O460" s="7"/>
      <c r="P460" s="7"/>
      <c r="Q460" s="7"/>
      <c r="R460" s="265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</row>
    <row r="461" ht="18.0" customHeight="1">
      <c r="A461" s="7"/>
      <c r="B461" s="7"/>
      <c r="C461" s="7"/>
      <c r="D461" s="7"/>
      <c r="E461" s="7"/>
      <c r="F461" s="7"/>
      <c r="G461" s="7"/>
      <c r="H461" s="264"/>
      <c r="I461" s="7"/>
      <c r="J461" s="7"/>
      <c r="K461" s="7"/>
      <c r="L461" s="7"/>
      <c r="M461" s="7"/>
      <c r="N461" s="7"/>
      <c r="O461" s="7"/>
      <c r="P461" s="7"/>
      <c r="Q461" s="7"/>
      <c r="R461" s="265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</row>
    <row r="462" ht="18.0" customHeight="1">
      <c r="A462" s="7"/>
      <c r="B462" s="7"/>
      <c r="C462" s="7"/>
      <c r="D462" s="7"/>
      <c r="E462" s="7"/>
      <c r="F462" s="7"/>
      <c r="G462" s="7"/>
      <c r="H462" s="264"/>
      <c r="I462" s="7"/>
      <c r="J462" s="7"/>
      <c r="K462" s="7"/>
      <c r="L462" s="7"/>
      <c r="M462" s="7"/>
      <c r="N462" s="7"/>
      <c r="O462" s="7"/>
      <c r="P462" s="7"/>
      <c r="Q462" s="7"/>
      <c r="R462" s="265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</row>
    <row r="463" ht="18.0" customHeight="1">
      <c r="A463" s="7"/>
      <c r="B463" s="7"/>
      <c r="C463" s="7"/>
      <c r="D463" s="7"/>
      <c r="E463" s="7"/>
      <c r="F463" s="7"/>
      <c r="G463" s="7"/>
      <c r="H463" s="264"/>
      <c r="I463" s="7"/>
      <c r="J463" s="7"/>
      <c r="K463" s="7"/>
      <c r="L463" s="7"/>
      <c r="M463" s="7"/>
      <c r="N463" s="7"/>
      <c r="O463" s="7"/>
      <c r="P463" s="7"/>
      <c r="Q463" s="7"/>
      <c r="R463" s="265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</row>
    <row r="464" ht="18.0" customHeight="1">
      <c r="A464" s="7"/>
      <c r="B464" s="7"/>
      <c r="C464" s="7"/>
      <c r="D464" s="7"/>
      <c r="E464" s="7"/>
      <c r="F464" s="7"/>
      <c r="G464" s="7"/>
      <c r="H464" s="264"/>
      <c r="I464" s="7"/>
      <c r="J464" s="7"/>
      <c r="K464" s="7"/>
      <c r="L464" s="7"/>
      <c r="M464" s="7"/>
      <c r="N464" s="7"/>
      <c r="O464" s="7"/>
      <c r="P464" s="7"/>
      <c r="Q464" s="7"/>
      <c r="R464" s="265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</row>
    <row r="465" ht="18.0" customHeight="1">
      <c r="A465" s="7"/>
      <c r="B465" s="7"/>
      <c r="C465" s="7"/>
      <c r="D465" s="7"/>
      <c r="E465" s="7"/>
      <c r="F465" s="7"/>
      <c r="G465" s="7"/>
      <c r="H465" s="264"/>
      <c r="I465" s="7"/>
      <c r="J465" s="7"/>
      <c r="K465" s="7"/>
      <c r="L465" s="7"/>
      <c r="M465" s="7"/>
      <c r="N465" s="7"/>
      <c r="O465" s="7"/>
      <c r="P465" s="7"/>
      <c r="Q465" s="7"/>
      <c r="R465" s="265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</row>
    <row r="466" ht="18.0" customHeight="1">
      <c r="A466" s="7"/>
      <c r="B466" s="7"/>
      <c r="C466" s="7"/>
      <c r="D466" s="7"/>
      <c r="E466" s="7"/>
      <c r="F466" s="7"/>
      <c r="G466" s="7"/>
      <c r="H466" s="264"/>
      <c r="I466" s="7"/>
      <c r="J466" s="7"/>
      <c r="K466" s="7"/>
      <c r="L466" s="7"/>
      <c r="M466" s="7"/>
      <c r="N466" s="7"/>
      <c r="O466" s="7"/>
      <c r="P466" s="7"/>
      <c r="Q466" s="7"/>
      <c r="R466" s="265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</row>
    <row r="467" ht="18.0" customHeight="1">
      <c r="A467" s="7"/>
      <c r="B467" s="7"/>
      <c r="C467" s="7"/>
      <c r="D467" s="7"/>
      <c r="E467" s="7"/>
      <c r="F467" s="7"/>
      <c r="G467" s="7"/>
      <c r="H467" s="264"/>
      <c r="I467" s="7"/>
      <c r="J467" s="7"/>
      <c r="K467" s="7"/>
      <c r="L467" s="7"/>
      <c r="M467" s="7"/>
      <c r="N467" s="7"/>
      <c r="O467" s="7"/>
      <c r="P467" s="7"/>
      <c r="Q467" s="7"/>
      <c r="R467" s="265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</row>
    <row r="468" ht="18.0" customHeight="1">
      <c r="A468" s="7"/>
      <c r="B468" s="7"/>
      <c r="C468" s="7"/>
      <c r="D468" s="7"/>
      <c r="E468" s="7"/>
      <c r="F468" s="7"/>
      <c r="G468" s="7"/>
      <c r="H468" s="264"/>
      <c r="I468" s="7"/>
      <c r="J468" s="7"/>
      <c r="K468" s="7"/>
      <c r="L468" s="7"/>
      <c r="M468" s="7"/>
      <c r="N468" s="7"/>
      <c r="O468" s="7"/>
      <c r="P468" s="7"/>
      <c r="Q468" s="7"/>
      <c r="R468" s="265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</row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18:D18"/>
    <mergeCell ref="E19:H19"/>
    <mergeCell ref="C24:E24"/>
    <mergeCell ref="C200:E200"/>
    <mergeCell ref="C224:E224"/>
  </mergeCells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7" width="19.14"/>
    <col customWidth="1" min="8" max="9" width="24.86"/>
    <col customWidth="1" min="10" max="10" width="22.43"/>
    <col customWidth="1" hidden="1" min="11" max="13" width="8.0"/>
    <col customWidth="1" hidden="1" min="14" max="14" width="13.14"/>
    <col customWidth="1" hidden="1" min="15" max="16" width="8.0"/>
    <col customWidth="1" min="17" max="17" width="18.29"/>
    <col customWidth="1" min="18" max="18" width="19.57"/>
    <col customWidth="1" min="19" max="19" width="17.43"/>
    <col customWidth="1" min="20" max="20" width="17.86"/>
    <col customWidth="1" min="21" max="21" width="17.0"/>
    <col customWidth="1" min="22" max="22" width="15.14"/>
    <col customWidth="1" min="23" max="23" width="13.86"/>
    <col customWidth="1" min="24" max="25" width="9.14"/>
    <col customWidth="1" min="26" max="26" width="16.0"/>
    <col customWidth="1" min="27" max="37" width="9.14"/>
  </cols>
  <sheetData>
    <row r="1" ht="18.75" customHeight="1">
      <c r="A1" s="139" t="s">
        <v>53</v>
      </c>
      <c r="B1" s="139"/>
      <c r="C1" s="139"/>
      <c r="D1" s="139"/>
      <c r="E1" s="139"/>
      <c r="F1" s="139"/>
      <c r="G1" s="139"/>
      <c r="H1" s="140"/>
      <c r="I1" s="139"/>
      <c r="J1" s="139"/>
      <c r="K1" s="139"/>
      <c r="L1" s="139"/>
      <c r="M1" s="139"/>
      <c r="N1" s="139"/>
      <c r="O1" s="139"/>
      <c r="P1" s="139"/>
      <c r="Q1" s="139"/>
      <c r="R1" s="141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K1" s="139"/>
    </row>
    <row r="2" ht="18.75" customHeight="1">
      <c r="A2" s="139"/>
      <c r="B2" s="139"/>
      <c r="C2" s="139"/>
      <c r="D2" s="139"/>
      <c r="E2" s="139"/>
      <c r="F2" s="139"/>
      <c r="G2" s="139"/>
      <c r="H2" s="140"/>
      <c r="I2" s="139"/>
      <c r="J2" s="139"/>
      <c r="K2" s="139"/>
      <c r="L2" s="139"/>
      <c r="M2" s="139"/>
      <c r="N2" s="139"/>
      <c r="O2" s="139"/>
      <c r="P2" s="139"/>
      <c r="Q2" s="139"/>
      <c r="R2" s="141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ht="18.75" customHeight="1">
      <c r="A3" s="142" t="s">
        <v>1</v>
      </c>
      <c r="B3" s="142"/>
      <c r="C3" s="142"/>
      <c r="D3" s="139"/>
      <c r="E3" s="139"/>
      <c r="F3" s="139"/>
      <c r="G3" s="139"/>
      <c r="H3" s="140"/>
      <c r="I3" s="139"/>
      <c r="J3" s="139"/>
      <c r="K3" s="139"/>
      <c r="L3" s="139"/>
      <c r="M3" s="139"/>
      <c r="N3" s="139"/>
      <c r="O3" s="139"/>
      <c r="P3" s="139"/>
      <c r="Q3" s="139"/>
      <c r="R3" s="141"/>
      <c r="S3" s="139"/>
      <c r="T3" s="139"/>
      <c r="U3" s="139"/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</row>
    <row r="4" ht="29.25" customHeight="1">
      <c r="A4" s="139"/>
      <c r="B4" s="139"/>
      <c r="C4" s="139"/>
      <c r="D4" s="139"/>
      <c r="E4" s="139"/>
      <c r="F4" s="139"/>
      <c r="G4" s="139"/>
      <c r="H4" s="140" t="s">
        <v>2</v>
      </c>
      <c r="I4" s="143">
        <v>44558.0</v>
      </c>
      <c r="J4" s="139" t="str">
        <f>+B8&amp;"/"&amp;B9&amp;"/"&amp;B10&amp;"/"&amp;B11&amp;"/"&amp;B12&amp;"/"&amp;B13&amp;"/"&amp;B14&amp;"/"&amp;B15&amp;"/"&amp;B16</f>
        <v>D2270CC/HRD2930/HRD2940/HRD2940/D2550GT/HRD2940/D2050CC//</v>
      </c>
      <c r="K4" s="139"/>
      <c r="L4" s="139"/>
      <c r="M4" s="139"/>
      <c r="N4" s="139"/>
      <c r="O4" s="139"/>
      <c r="P4" s="139"/>
      <c r="Q4" s="139"/>
      <c r="R4" s="141"/>
      <c r="S4" s="139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39"/>
    </row>
    <row r="5" ht="18.75" customHeight="1">
      <c r="A5" s="139" t="s">
        <v>4</v>
      </c>
      <c r="B5" s="139"/>
      <c r="C5" s="139"/>
      <c r="D5" s="139"/>
      <c r="E5" s="139"/>
      <c r="F5" s="139"/>
      <c r="G5" s="139"/>
      <c r="H5" s="140"/>
      <c r="I5" s="139"/>
      <c r="J5" s="139"/>
      <c r="K5" s="139"/>
      <c r="L5" s="139"/>
      <c r="M5" s="139"/>
      <c r="N5" s="139"/>
      <c r="O5" s="139"/>
      <c r="P5" s="139"/>
      <c r="Q5" s="139"/>
      <c r="R5" s="141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</row>
    <row r="6" ht="18.75" customHeight="1">
      <c r="A6" s="144"/>
      <c r="B6" s="144"/>
      <c r="C6" s="144"/>
      <c r="D6" s="144"/>
      <c r="E6" s="144"/>
      <c r="F6" s="144"/>
      <c r="G6" s="144"/>
      <c r="H6" s="145"/>
      <c r="I6" s="144"/>
      <c r="J6" s="139"/>
      <c r="K6" s="139"/>
      <c r="L6" s="139"/>
      <c r="M6" s="139"/>
      <c r="N6" s="139"/>
      <c r="O6" s="139"/>
      <c r="P6" s="139"/>
      <c r="Q6" s="139"/>
      <c r="R6" s="141"/>
      <c r="S6" s="139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</row>
    <row r="7" ht="36.0" customHeight="1">
      <c r="A7" s="146" t="s">
        <v>6</v>
      </c>
      <c r="B7" s="147"/>
      <c r="C7" s="148" t="s">
        <v>182</v>
      </c>
      <c r="D7" s="149" t="s">
        <v>8</v>
      </c>
      <c r="E7" s="150" t="s">
        <v>9</v>
      </c>
      <c r="F7" s="151"/>
      <c r="G7" s="151"/>
      <c r="H7" s="147"/>
      <c r="I7" s="152" t="s">
        <v>10</v>
      </c>
      <c r="J7" s="139"/>
      <c r="K7" s="139"/>
      <c r="L7" s="139"/>
      <c r="M7" s="139"/>
      <c r="N7" s="139"/>
      <c r="O7" s="139"/>
      <c r="P7" s="139"/>
      <c r="Q7" s="153">
        <f>+I250</f>
        <v>0.02940701402</v>
      </c>
      <c r="R7" s="141"/>
      <c r="S7" s="139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</row>
    <row r="8" ht="26.25" customHeight="1">
      <c r="A8" s="154">
        <v>1.0</v>
      </c>
      <c r="B8" s="155" t="s">
        <v>80</v>
      </c>
      <c r="C8" s="155">
        <v>22.5</v>
      </c>
      <c r="D8" s="156">
        <v>0.0737</v>
      </c>
      <c r="E8" s="157">
        <f>244.176*20.7</f>
        <v>5054.4432</v>
      </c>
      <c r="F8" s="157"/>
      <c r="G8" s="157"/>
      <c r="H8" s="158">
        <v>20.7</v>
      </c>
      <c r="I8" s="159">
        <f t="shared" ref="I8:I21" si="1">+D8*E8</f>
        <v>372.5124638</v>
      </c>
      <c r="J8" s="160">
        <f t="shared" ref="J8:J21" si="2">E8-I8</f>
        <v>4681.930736</v>
      </c>
      <c r="K8" s="139"/>
      <c r="L8" s="139"/>
      <c r="M8" s="139"/>
      <c r="N8" s="139"/>
      <c r="O8" s="139"/>
      <c r="P8" s="139"/>
      <c r="Q8" s="139"/>
      <c r="R8" s="141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</row>
    <row r="9" ht="26.25" customHeight="1">
      <c r="A9" s="154">
        <v>2.0</v>
      </c>
      <c r="B9" s="155" t="s">
        <v>57</v>
      </c>
      <c r="C9" s="155">
        <v>29.5</v>
      </c>
      <c r="D9" s="156">
        <v>0.0155</v>
      </c>
      <c r="E9" s="157">
        <f>253.14*31.9</f>
        <v>8075.166</v>
      </c>
      <c r="F9" s="157"/>
      <c r="G9" s="157"/>
      <c r="H9" s="158">
        <v>31.9</v>
      </c>
      <c r="I9" s="159">
        <f t="shared" si="1"/>
        <v>125.165073</v>
      </c>
      <c r="J9" s="160">
        <f t="shared" si="2"/>
        <v>7950.000927</v>
      </c>
      <c r="K9" s="139"/>
      <c r="L9" s="139"/>
      <c r="M9" s="139"/>
      <c r="N9" s="139"/>
      <c r="O9" s="139"/>
      <c r="P9" s="139"/>
      <c r="Q9" s="139"/>
      <c r="R9" s="141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139"/>
    </row>
    <row r="10" ht="26.25" customHeight="1">
      <c r="A10" s="154">
        <v>3.0</v>
      </c>
      <c r="B10" s="155" t="s">
        <v>55</v>
      </c>
      <c r="C10" s="155">
        <v>29.5</v>
      </c>
      <c r="D10" s="156">
        <v>0.0146</v>
      </c>
      <c r="E10" s="157">
        <f>252.8*38</f>
        <v>9606.4</v>
      </c>
      <c r="F10" s="157"/>
      <c r="G10" s="157"/>
      <c r="H10" s="158">
        <v>38.0</v>
      </c>
      <c r="I10" s="159">
        <f t="shared" si="1"/>
        <v>140.25344</v>
      </c>
      <c r="J10" s="160">
        <f t="shared" si="2"/>
        <v>9466.14656</v>
      </c>
      <c r="K10" s="139"/>
      <c r="L10" s="139"/>
      <c r="M10" s="139"/>
      <c r="N10" s="139"/>
      <c r="O10" s="139"/>
      <c r="P10" s="139"/>
      <c r="Q10" s="139"/>
      <c r="R10" s="141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139"/>
      <c r="AK10" s="139"/>
    </row>
    <row r="11" ht="26.25" customHeight="1">
      <c r="A11" s="154">
        <v>4.0</v>
      </c>
      <c r="B11" s="155" t="s">
        <v>55</v>
      </c>
      <c r="C11" s="155">
        <v>29.5</v>
      </c>
      <c r="D11" s="156">
        <v>0.0146</v>
      </c>
      <c r="E11" s="157">
        <f>252.8*28.7</f>
        <v>7255.36</v>
      </c>
      <c r="F11" s="157"/>
      <c r="G11" s="157"/>
      <c r="H11" s="158">
        <v>28.7</v>
      </c>
      <c r="I11" s="159">
        <f t="shared" si="1"/>
        <v>105.928256</v>
      </c>
      <c r="J11" s="160">
        <f t="shared" si="2"/>
        <v>7149.431744</v>
      </c>
      <c r="K11" s="139"/>
      <c r="L11" s="139"/>
      <c r="M11" s="139"/>
      <c r="N11" s="139"/>
      <c r="O11" s="139"/>
      <c r="P11" s="139"/>
      <c r="Q11" s="139"/>
      <c r="R11" s="141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  <c r="AH11" s="139"/>
      <c r="AI11" s="139"/>
      <c r="AJ11" s="139"/>
      <c r="AK11" s="139"/>
    </row>
    <row r="12" ht="26.25" customHeight="1">
      <c r="A12" s="154">
        <v>5.0</v>
      </c>
      <c r="B12" s="162" t="s">
        <v>78</v>
      </c>
      <c r="C12" s="162">
        <v>25.5</v>
      </c>
      <c r="D12" s="163">
        <v>0.0577</v>
      </c>
      <c r="E12" s="164">
        <f>262.54*25.7</f>
        <v>6747.278</v>
      </c>
      <c r="F12" s="164"/>
      <c r="G12" s="164"/>
      <c r="H12" s="158">
        <v>25.7</v>
      </c>
      <c r="I12" s="159">
        <f t="shared" si="1"/>
        <v>389.3179406</v>
      </c>
      <c r="J12" s="160">
        <f t="shared" si="2"/>
        <v>6357.960059</v>
      </c>
      <c r="K12" s="139"/>
      <c r="L12" s="139"/>
      <c r="M12" s="139"/>
      <c r="N12" s="139"/>
      <c r="O12" s="139"/>
      <c r="P12" s="139"/>
      <c r="Q12" s="139"/>
      <c r="R12" s="141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  <c r="AH12" s="139"/>
      <c r="AI12" s="139"/>
      <c r="AJ12" s="139"/>
      <c r="AK12" s="139"/>
    </row>
    <row r="13" ht="26.25" customHeight="1">
      <c r="A13" s="154">
        <v>6.0</v>
      </c>
      <c r="B13" s="162" t="s">
        <v>55</v>
      </c>
      <c r="C13" s="162">
        <v>29.5</v>
      </c>
      <c r="D13" s="163">
        <v>0.0146</v>
      </c>
      <c r="E13" s="164">
        <f>245.58*15.4</f>
        <v>3781.932</v>
      </c>
      <c r="F13" s="164"/>
      <c r="G13" s="164"/>
      <c r="H13" s="158">
        <v>15.4</v>
      </c>
      <c r="I13" s="159">
        <f t="shared" si="1"/>
        <v>55.2162072</v>
      </c>
      <c r="J13" s="160">
        <f t="shared" si="2"/>
        <v>3726.715793</v>
      </c>
      <c r="K13" s="139"/>
      <c r="L13" s="139"/>
      <c r="M13" s="139"/>
      <c r="N13" s="139"/>
      <c r="O13" s="139"/>
      <c r="P13" s="139"/>
      <c r="Q13" s="139"/>
      <c r="R13" s="141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139"/>
      <c r="AK13" s="139"/>
    </row>
    <row r="14" ht="26.25" customHeight="1">
      <c r="A14" s="154">
        <v>7.0</v>
      </c>
      <c r="B14" s="162" t="s">
        <v>91</v>
      </c>
      <c r="C14" s="162">
        <v>20.5</v>
      </c>
      <c r="D14" s="163">
        <v>0.0845</v>
      </c>
      <c r="E14" s="164">
        <f>223.161*13.5</f>
        <v>3012.6735</v>
      </c>
      <c r="F14" s="164"/>
      <c r="G14" s="164"/>
      <c r="H14" s="158">
        <v>13.5</v>
      </c>
      <c r="I14" s="159">
        <f t="shared" si="1"/>
        <v>254.5709108</v>
      </c>
      <c r="J14" s="160">
        <f t="shared" si="2"/>
        <v>2758.102589</v>
      </c>
      <c r="K14" s="139"/>
      <c r="L14" s="139"/>
      <c r="M14" s="139"/>
      <c r="N14" s="139"/>
      <c r="O14" s="139"/>
      <c r="P14" s="139"/>
      <c r="Q14" s="139"/>
      <c r="R14" s="141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139"/>
      <c r="AK14" s="139"/>
    </row>
    <row r="15" ht="26.25" hidden="1" customHeight="1">
      <c r="A15" s="154">
        <v>11.0</v>
      </c>
      <c r="B15" s="162"/>
      <c r="C15" s="162"/>
      <c r="D15" s="163"/>
      <c r="E15" s="164"/>
      <c r="F15" s="164"/>
      <c r="G15" s="164"/>
      <c r="H15" s="158"/>
      <c r="I15" s="159">
        <f t="shared" si="1"/>
        <v>0</v>
      </c>
      <c r="J15" s="160">
        <f t="shared" si="2"/>
        <v>0</v>
      </c>
      <c r="K15" s="139"/>
      <c r="L15" s="139"/>
      <c r="M15" s="139"/>
      <c r="N15" s="139"/>
      <c r="O15" s="139"/>
      <c r="P15" s="139"/>
      <c r="Q15" s="139"/>
      <c r="R15" s="141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</row>
    <row r="16" ht="26.25" hidden="1" customHeight="1">
      <c r="A16" s="154">
        <v>12.0</v>
      </c>
      <c r="B16" s="162"/>
      <c r="C16" s="162"/>
      <c r="D16" s="163"/>
      <c r="E16" s="164"/>
      <c r="F16" s="164"/>
      <c r="G16" s="164"/>
      <c r="H16" s="158"/>
      <c r="I16" s="159">
        <f t="shared" si="1"/>
        <v>0</v>
      </c>
      <c r="J16" s="160">
        <f t="shared" si="2"/>
        <v>0</v>
      </c>
      <c r="K16" s="139"/>
      <c r="L16" s="139"/>
      <c r="M16" s="139"/>
      <c r="N16" s="139"/>
      <c r="O16" s="139"/>
      <c r="P16" s="139"/>
      <c r="Q16" s="139"/>
      <c r="R16" s="141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</row>
    <row r="17" ht="26.25" hidden="1" customHeight="1">
      <c r="A17" s="154">
        <v>13.0</v>
      </c>
      <c r="B17" s="162"/>
      <c r="C17" s="162"/>
      <c r="D17" s="163"/>
      <c r="E17" s="164"/>
      <c r="F17" s="164"/>
      <c r="G17" s="164"/>
      <c r="H17" s="158"/>
      <c r="I17" s="159">
        <f t="shared" si="1"/>
        <v>0</v>
      </c>
      <c r="J17" s="160">
        <f t="shared" si="2"/>
        <v>0</v>
      </c>
      <c r="K17" s="139"/>
      <c r="L17" s="139"/>
      <c r="M17" s="139"/>
      <c r="N17" s="139"/>
      <c r="O17" s="139"/>
      <c r="P17" s="139"/>
      <c r="Q17" s="139"/>
      <c r="R17" s="141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</row>
    <row r="18" ht="26.25" hidden="1" customHeight="1">
      <c r="A18" s="154">
        <v>14.0</v>
      </c>
      <c r="B18" s="162"/>
      <c r="C18" s="162"/>
      <c r="D18" s="163"/>
      <c r="E18" s="164"/>
      <c r="F18" s="164"/>
      <c r="G18" s="164"/>
      <c r="H18" s="158"/>
      <c r="I18" s="159">
        <f t="shared" si="1"/>
        <v>0</v>
      </c>
      <c r="J18" s="160">
        <f t="shared" si="2"/>
        <v>0</v>
      </c>
      <c r="K18" s="139"/>
      <c r="L18" s="139"/>
      <c r="M18" s="139"/>
      <c r="N18" s="139"/>
      <c r="O18" s="139"/>
      <c r="P18" s="139"/>
      <c r="Q18" s="139"/>
      <c r="R18" s="141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</row>
    <row r="19" ht="26.25" hidden="1" customHeight="1">
      <c r="A19" s="154">
        <v>15.0</v>
      </c>
      <c r="B19" s="162"/>
      <c r="C19" s="162"/>
      <c r="D19" s="163"/>
      <c r="E19" s="164"/>
      <c r="F19" s="164"/>
      <c r="G19" s="164"/>
      <c r="H19" s="158"/>
      <c r="I19" s="159">
        <f t="shared" si="1"/>
        <v>0</v>
      </c>
      <c r="J19" s="160">
        <f t="shared" si="2"/>
        <v>0</v>
      </c>
      <c r="K19" s="139"/>
      <c r="L19" s="139"/>
      <c r="M19" s="139"/>
      <c r="N19" s="139"/>
      <c r="O19" s="139"/>
      <c r="P19" s="139"/>
      <c r="Q19" s="139"/>
      <c r="R19" s="141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</row>
    <row r="20" ht="26.25" hidden="1" customHeight="1">
      <c r="A20" s="154">
        <v>16.0</v>
      </c>
      <c r="B20" s="162"/>
      <c r="C20" s="162"/>
      <c r="D20" s="163"/>
      <c r="E20" s="164"/>
      <c r="F20" s="164"/>
      <c r="G20" s="164"/>
      <c r="H20" s="158"/>
      <c r="I20" s="159">
        <f t="shared" si="1"/>
        <v>0</v>
      </c>
      <c r="J20" s="160">
        <f t="shared" si="2"/>
        <v>0</v>
      </c>
      <c r="K20" s="139"/>
      <c r="L20" s="139"/>
      <c r="M20" s="139"/>
      <c r="N20" s="139"/>
      <c r="O20" s="139"/>
      <c r="P20" s="139"/>
      <c r="Q20" s="139"/>
      <c r="R20" s="141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139"/>
      <c r="AK20" s="139"/>
    </row>
    <row r="21" ht="26.25" hidden="1" customHeight="1">
      <c r="A21" s="154">
        <v>17.0</v>
      </c>
      <c r="B21" s="162"/>
      <c r="C21" s="162"/>
      <c r="D21" s="163"/>
      <c r="E21" s="164"/>
      <c r="F21" s="164"/>
      <c r="G21" s="164"/>
      <c r="H21" s="158"/>
      <c r="I21" s="159">
        <f t="shared" si="1"/>
        <v>0</v>
      </c>
      <c r="J21" s="160">
        <f t="shared" si="2"/>
        <v>0</v>
      </c>
      <c r="K21" s="139"/>
      <c r="L21" s="139"/>
      <c r="M21" s="139"/>
      <c r="N21" s="139"/>
      <c r="O21" s="139"/>
      <c r="P21" s="139"/>
      <c r="Q21" s="139"/>
      <c r="R21" s="141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139"/>
      <c r="AK21" s="139"/>
    </row>
    <row r="22" ht="18.75" customHeight="1">
      <c r="A22" s="165"/>
      <c r="B22" s="166"/>
      <c r="C22" s="167"/>
      <c r="D22" s="168"/>
      <c r="E22" s="169">
        <f>SUM(E8:E21)</f>
        <v>43533.2527</v>
      </c>
      <c r="F22" s="170"/>
      <c r="G22" s="170"/>
      <c r="H22" s="171"/>
      <c r="I22" s="172">
        <f t="shared" ref="I22:J22" si="3">SUM(I8:I21)</f>
        <v>1442.964291</v>
      </c>
      <c r="J22" s="173">
        <f t="shared" si="3"/>
        <v>42090.28841</v>
      </c>
      <c r="K22" s="139"/>
      <c r="L22" s="139"/>
      <c r="M22" s="139"/>
      <c r="N22" s="139"/>
      <c r="O22" s="139"/>
      <c r="P22" s="139"/>
      <c r="Q22" s="139"/>
      <c r="R22" s="141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139"/>
      <c r="AK22" s="139"/>
    </row>
    <row r="23" ht="18.75" customHeight="1">
      <c r="A23" s="174"/>
      <c r="B23" s="144"/>
      <c r="C23" s="144"/>
      <c r="D23" s="175"/>
      <c r="E23" s="176"/>
      <c r="F23" s="151"/>
      <c r="G23" s="151"/>
      <c r="H23" s="147"/>
      <c r="I23" s="177"/>
      <c r="J23" s="139"/>
      <c r="K23" s="139"/>
      <c r="L23" s="139"/>
      <c r="M23" s="139"/>
      <c r="N23" s="139"/>
      <c r="O23" s="139"/>
      <c r="P23" s="139"/>
      <c r="Q23" s="139"/>
      <c r="R23" s="141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139"/>
      <c r="AK23" s="139"/>
    </row>
    <row r="24" ht="18.75" customHeight="1">
      <c r="A24" s="139"/>
      <c r="B24" s="139"/>
      <c r="C24" s="139"/>
      <c r="D24" s="139"/>
      <c r="E24" s="139"/>
      <c r="F24" s="139"/>
      <c r="G24" s="139"/>
      <c r="H24" s="140"/>
      <c r="I24" s="139"/>
      <c r="J24" s="139"/>
      <c r="K24" s="139"/>
      <c r="L24" s="139"/>
      <c r="M24" s="139"/>
      <c r="N24" s="139"/>
      <c r="O24" s="139"/>
      <c r="P24" s="139"/>
      <c r="Q24" s="139"/>
      <c r="R24" s="141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139"/>
      <c r="AK24" s="139"/>
    </row>
    <row r="25" ht="18.75" customHeight="1">
      <c r="A25" s="139"/>
      <c r="B25" s="139"/>
      <c r="C25" s="139"/>
      <c r="D25" s="139"/>
      <c r="E25" s="139"/>
      <c r="F25" s="139"/>
      <c r="G25" s="139"/>
      <c r="H25" s="140"/>
      <c r="I25" s="139"/>
      <c r="J25" s="139"/>
      <c r="K25" s="139"/>
      <c r="L25" s="139"/>
      <c r="M25" s="139"/>
      <c r="N25" s="139"/>
      <c r="O25" s="139"/>
      <c r="P25" s="139"/>
      <c r="Q25" s="139"/>
      <c r="R25" s="141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39"/>
      <c r="AK25" s="139"/>
    </row>
    <row r="26" ht="18.75" customHeight="1">
      <c r="A26" s="139" t="s">
        <v>11</v>
      </c>
      <c r="B26" s="139"/>
      <c r="C26" s="139"/>
      <c r="D26" s="139"/>
      <c r="E26" s="139"/>
      <c r="F26" s="139"/>
      <c r="G26" s="139"/>
      <c r="H26" s="140"/>
      <c r="I26" s="139"/>
      <c r="J26" s="139"/>
      <c r="K26" s="139"/>
      <c r="L26" s="139"/>
      <c r="M26" s="139"/>
      <c r="N26" s="139"/>
      <c r="O26" s="139"/>
      <c r="P26" s="139"/>
      <c r="Q26" s="139"/>
      <c r="R26" s="141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</row>
    <row r="27" ht="18.75" customHeight="1">
      <c r="A27" s="139"/>
      <c r="B27" s="139"/>
      <c r="C27" s="139"/>
      <c r="D27" s="139"/>
      <c r="E27" s="139"/>
      <c r="F27" s="139"/>
      <c r="G27" s="139"/>
      <c r="H27" s="140"/>
      <c r="I27" s="139"/>
      <c r="J27" s="139"/>
      <c r="K27" s="139"/>
      <c r="L27" s="139"/>
      <c r="M27" s="139"/>
      <c r="N27" s="139"/>
      <c r="O27" s="139"/>
      <c r="P27" s="139"/>
      <c r="Q27" s="139"/>
      <c r="R27" s="141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</row>
    <row r="28" ht="40.5" customHeight="1">
      <c r="A28" s="178"/>
      <c r="B28" s="162" t="s">
        <v>12</v>
      </c>
      <c r="C28" s="179" t="s">
        <v>60</v>
      </c>
      <c r="D28" s="52"/>
      <c r="E28" s="53"/>
      <c r="F28" s="180"/>
      <c r="G28" s="180"/>
      <c r="H28" s="181" t="s">
        <v>14</v>
      </c>
      <c r="I28" s="162" t="s">
        <v>15</v>
      </c>
      <c r="J28" s="162" t="s">
        <v>16</v>
      </c>
      <c r="K28" s="139"/>
      <c r="L28" s="162" t="s">
        <v>17</v>
      </c>
      <c r="M28" s="162" t="s">
        <v>15</v>
      </c>
      <c r="N28" s="178" t="s">
        <v>18</v>
      </c>
      <c r="O28" s="139"/>
      <c r="P28" s="139"/>
      <c r="Q28" s="178" t="s">
        <v>61</v>
      </c>
      <c r="R28" s="182"/>
      <c r="S28" s="162" t="s">
        <v>17</v>
      </c>
      <c r="T28" s="162" t="s">
        <v>15</v>
      </c>
      <c r="U28" s="178" t="s">
        <v>18</v>
      </c>
      <c r="V28" s="139"/>
      <c r="W28" s="178" t="s">
        <v>19</v>
      </c>
      <c r="X28" s="178" t="s">
        <v>20</v>
      </c>
      <c r="Y28" s="178" t="s">
        <v>21</v>
      </c>
      <c r="Z28" s="178" t="s">
        <v>183</v>
      </c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</row>
    <row r="29" ht="27.0" customHeight="1">
      <c r="A29" s="162">
        <v>1.0</v>
      </c>
      <c r="B29" s="183" t="s">
        <v>87</v>
      </c>
      <c r="C29" s="184">
        <v>68.0</v>
      </c>
      <c r="D29" s="184">
        <v>216.0</v>
      </c>
      <c r="E29" s="184">
        <v>177.0</v>
      </c>
      <c r="F29" s="184">
        <f t="shared" ref="F29:F182" si="5">VALUE(IF(RIGHT(B29, 1)="%", RIGHT(B29, 3), 0))</f>
        <v>0.8</v>
      </c>
      <c r="G29" s="184">
        <f t="shared" ref="G29:G182" si="6">+R29*C29/100*D29/100*E29/100</f>
        <v>62.394624</v>
      </c>
      <c r="H29" s="185">
        <f t="shared" ref="H29:H182" si="7">IF(F29=0, G29, F29*G29)</f>
        <v>49.9156992</v>
      </c>
      <c r="I29" s="184">
        <v>1.0</v>
      </c>
      <c r="J29" s="186">
        <f t="shared" ref="J29:J182" si="8">+I29*H29</f>
        <v>49.9156992</v>
      </c>
      <c r="K29" s="187"/>
      <c r="L29" s="188">
        <f>D29*25.4/1000</f>
        <v>5.4864</v>
      </c>
      <c r="M29" s="189">
        <f>+I29</f>
        <v>1</v>
      </c>
      <c r="N29" s="189">
        <f>M29*L29</f>
        <v>5.4864</v>
      </c>
      <c r="O29" s="187"/>
      <c r="P29" s="187"/>
      <c r="Q29" s="188">
        <v>77.0</v>
      </c>
      <c r="R29" s="190">
        <v>24.0</v>
      </c>
      <c r="S29" s="178">
        <f t="shared" ref="S29:S183" si="9">E29/100</f>
        <v>1.77</v>
      </c>
      <c r="T29" s="162">
        <f t="shared" ref="T29:T183" si="10">I29</f>
        <v>1</v>
      </c>
      <c r="U29" s="162">
        <f t="shared" ref="U29:U183" si="11">T29*S29</f>
        <v>1.77</v>
      </c>
      <c r="V29" s="191">
        <f t="shared" ref="V29:V65" si="12">R29*C29/100*D29/100*E29/100</f>
        <v>62.394624</v>
      </c>
      <c r="W29" s="178">
        <f t="shared" ref="W29:X29" si="4">C29/100</f>
        <v>0.68</v>
      </c>
      <c r="X29" s="178">
        <f t="shared" si="4"/>
        <v>2.16</v>
      </c>
      <c r="Y29" s="178">
        <f t="shared" ref="Y29:Y183" si="14">U29</f>
        <v>1.77</v>
      </c>
      <c r="Z29" s="192">
        <f t="shared" ref="Z29:Z183" si="15">W29*X29*Y29</f>
        <v>2.599776</v>
      </c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</row>
    <row r="30" ht="27.0" customHeight="1">
      <c r="A30" s="162">
        <v>2.0</v>
      </c>
      <c r="B30" s="193" t="s">
        <v>80</v>
      </c>
      <c r="C30" s="193">
        <v>90.0</v>
      </c>
      <c r="D30" s="193">
        <v>216.0</v>
      </c>
      <c r="E30" s="193">
        <v>199.0</v>
      </c>
      <c r="F30" s="193">
        <f t="shared" si="5"/>
        <v>0</v>
      </c>
      <c r="G30" s="193">
        <f t="shared" si="6"/>
        <v>92.84544</v>
      </c>
      <c r="H30" s="194">
        <f t="shared" si="7"/>
        <v>92.84544</v>
      </c>
      <c r="I30" s="193">
        <v>1.0</v>
      </c>
      <c r="J30" s="195">
        <f t="shared" si="8"/>
        <v>92.84544</v>
      </c>
      <c r="K30" s="139"/>
      <c r="L30" s="178"/>
      <c r="M30" s="162"/>
      <c r="N30" s="162"/>
      <c r="O30" s="139"/>
      <c r="P30" s="139"/>
      <c r="Q30" s="178">
        <v>95.0</v>
      </c>
      <c r="R30" s="190">
        <v>24.0</v>
      </c>
      <c r="S30" s="178">
        <f t="shared" si="9"/>
        <v>1.99</v>
      </c>
      <c r="T30" s="162">
        <f t="shared" si="10"/>
        <v>1</v>
      </c>
      <c r="U30" s="162">
        <f t="shared" si="11"/>
        <v>1.99</v>
      </c>
      <c r="V30" s="191">
        <f t="shared" si="12"/>
        <v>92.84544</v>
      </c>
      <c r="W30" s="178">
        <f t="shared" ref="W30:X30" si="13">C30/100</f>
        <v>0.9</v>
      </c>
      <c r="X30" s="178">
        <f t="shared" si="13"/>
        <v>2.16</v>
      </c>
      <c r="Y30" s="178">
        <f t="shared" si="14"/>
        <v>1.99</v>
      </c>
      <c r="Z30" s="192">
        <f t="shared" si="15"/>
        <v>3.86856</v>
      </c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</row>
    <row r="31" ht="27.0" customHeight="1">
      <c r="A31" s="162">
        <v>3.0</v>
      </c>
      <c r="B31" s="193" t="s">
        <v>80</v>
      </c>
      <c r="C31" s="193">
        <v>102.0</v>
      </c>
      <c r="D31" s="193">
        <v>216.0</v>
      </c>
      <c r="E31" s="193">
        <v>2865.0</v>
      </c>
      <c r="F31" s="193">
        <f t="shared" si="5"/>
        <v>0</v>
      </c>
      <c r="G31" s="193">
        <f t="shared" si="6"/>
        <v>1514.92032</v>
      </c>
      <c r="H31" s="194">
        <f t="shared" si="7"/>
        <v>1514.92032</v>
      </c>
      <c r="I31" s="193">
        <v>1.0</v>
      </c>
      <c r="J31" s="195">
        <f t="shared" si="8"/>
        <v>1514.92032</v>
      </c>
      <c r="K31" s="139"/>
      <c r="L31" s="178">
        <f t="shared" ref="L31:L53" si="17">D31*25.4/1000</f>
        <v>5.4864</v>
      </c>
      <c r="M31" s="162">
        <f t="shared" ref="M31:M65" si="18">+I31</f>
        <v>1</v>
      </c>
      <c r="N31" s="162">
        <f t="shared" ref="N31:N53" si="19">M31*L31</f>
        <v>5.4864</v>
      </c>
      <c r="O31" s="139"/>
      <c r="P31" s="139"/>
      <c r="Q31" s="178">
        <v>1485.0</v>
      </c>
      <c r="R31" s="190">
        <v>24.0</v>
      </c>
      <c r="S31" s="178">
        <f t="shared" si="9"/>
        <v>28.65</v>
      </c>
      <c r="T31" s="162">
        <f t="shared" si="10"/>
        <v>1</v>
      </c>
      <c r="U31" s="162">
        <f t="shared" si="11"/>
        <v>28.65</v>
      </c>
      <c r="V31" s="191">
        <f t="shared" si="12"/>
        <v>1514.92032</v>
      </c>
      <c r="W31" s="178">
        <f t="shared" ref="W31:X31" si="16">C31/100</f>
        <v>1.02</v>
      </c>
      <c r="X31" s="178">
        <f t="shared" si="16"/>
        <v>2.16</v>
      </c>
      <c r="Y31" s="178">
        <f t="shared" si="14"/>
        <v>28.65</v>
      </c>
      <c r="Z31" s="192">
        <f t="shared" si="15"/>
        <v>63.12168</v>
      </c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</row>
    <row r="32" ht="27.0" customHeight="1">
      <c r="A32" s="162">
        <v>4.0</v>
      </c>
      <c r="B32" s="193" t="s">
        <v>80</v>
      </c>
      <c r="C32" s="193">
        <v>101.0</v>
      </c>
      <c r="D32" s="193">
        <v>216.0</v>
      </c>
      <c r="E32" s="193">
        <v>2865.0</v>
      </c>
      <c r="F32" s="193">
        <f t="shared" si="5"/>
        <v>0</v>
      </c>
      <c r="G32" s="193">
        <f t="shared" si="6"/>
        <v>1500.06816</v>
      </c>
      <c r="H32" s="194">
        <f t="shared" si="7"/>
        <v>1500.06816</v>
      </c>
      <c r="I32" s="193">
        <v>1.0</v>
      </c>
      <c r="J32" s="195">
        <f t="shared" si="8"/>
        <v>1500.06816</v>
      </c>
      <c r="K32" s="139"/>
      <c r="L32" s="178">
        <f t="shared" si="17"/>
        <v>5.4864</v>
      </c>
      <c r="M32" s="162">
        <f t="shared" si="18"/>
        <v>1</v>
      </c>
      <c r="N32" s="162">
        <f t="shared" si="19"/>
        <v>5.4864</v>
      </c>
      <c r="O32" s="139"/>
      <c r="P32" s="139"/>
      <c r="Q32" s="178">
        <v>1485.0</v>
      </c>
      <c r="R32" s="190">
        <v>24.0</v>
      </c>
      <c r="S32" s="178">
        <f t="shared" si="9"/>
        <v>28.65</v>
      </c>
      <c r="T32" s="162">
        <f t="shared" si="10"/>
        <v>1</v>
      </c>
      <c r="U32" s="162">
        <f t="shared" si="11"/>
        <v>28.65</v>
      </c>
      <c r="V32" s="191">
        <f t="shared" si="12"/>
        <v>1500.06816</v>
      </c>
      <c r="W32" s="178">
        <f t="shared" ref="W32:X32" si="20">C32/100</f>
        <v>1.01</v>
      </c>
      <c r="X32" s="178">
        <f t="shared" si="20"/>
        <v>2.16</v>
      </c>
      <c r="Y32" s="178">
        <f t="shared" si="14"/>
        <v>28.65</v>
      </c>
      <c r="Z32" s="192">
        <f t="shared" si="15"/>
        <v>62.50284</v>
      </c>
      <c r="AA32" s="139"/>
      <c r="AB32" s="139"/>
      <c r="AC32" s="139"/>
      <c r="AD32" s="139"/>
      <c r="AE32" s="139"/>
      <c r="AF32" s="139"/>
      <c r="AG32" s="139"/>
      <c r="AH32" s="139"/>
      <c r="AI32" s="139"/>
      <c r="AJ32" s="139"/>
      <c r="AK32" s="139"/>
    </row>
    <row r="33" ht="27.0" customHeight="1">
      <c r="A33" s="162">
        <v>5.0</v>
      </c>
      <c r="B33" s="193" t="s">
        <v>80</v>
      </c>
      <c r="C33" s="193">
        <v>100.0</v>
      </c>
      <c r="D33" s="193">
        <v>216.0</v>
      </c>
      <c r="E33" s="193">
        <v>2691.0</v>
      </c>
      <c r="F33" s="193">
        <f t="shared" si="5"/>
        <v>0</v>
      </c>
      <c r="G33" s="193">
        <f t="shared" si="6"/>
        <v>1395.0144</v>
      </c>
      <c r="H33" s="194">
        <f t="shared" si="7"/>
        <v>1395.0144</v>
      </c>
      <c r="I33" s="193">
        <v>1.0</v>
      </c>
      <c r="J33" s="195">
        <f t="shared" si="8"/>
        <v>1395.0144</v>
      </c>
      <c r="K33" s="139"/>
      <c r="L33" s="178">
        <f t="shared" si="17"/>
        <v>5.4864</v>
      </c>
      <c r="M33" s="162">
        <f t="shared" si="18"/>
        <v>1</v>
      </c>
      <c r="N33" s="162">
        <f t="shared" si="19"/>
        <v>5.4864</v>
      </c>
      <c r="O33" s="139"/>
      <c r="P33" s="139"/>
      <c r="Q33" s="178">
        <v>1400.0</v>
      </c>
      <c r="R33" s="190">
        <v>24.0</v>
      </c>
      <c r="S33" s="178">
        <f t="shared" si="9"/>
        <v>26.91</v>
      </c>
      <c r="T33" s="162">
        <f t="shared" si="10"/>
        <v>1</v>
      </c>
      <c r="U33" s="162">
        <f t="shared" si="11"/>
        <v>26.91</v>
      </c>
      <c r="V33" s="191">
        <f t="shared" si="12"/>
        <v>1395.0144</v>
      </c>
      <c r="W33" s="178">
        <f t="shared" ref="W33:X33" si="21">C33/100</f>
        <v>1</v>
      </c>
      <c r="X33" s="178">
        <f t="shared" si="21"/>
        <v>2.16</v>
      </c>
      <c r="Y33" s="178">
        <f t="shared" si="14"/>
        <v>26.91</v>
      </c>
      <c r="Z33" s="192">
        <f t="shared" si="15"/>
        <v>58.1256</v>
      </c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</row>
    <row r="34" ht="27.0" customHeight="1">
      <c r="A34" s="162">
        <v>6.0</v>
      </c>
      <c r="B34" s="183" t="s">
        <v>94</v>
      </c>
      <c r="C34" s="184">
        <v>91.0</v>
      </c>
      <c r="D34" s="184">
        <v>218.0</v>
      </c>
      <c r="E34" s="184">
        <v>168.0</v>
      </c>
      <c r="F34" s="184">
        <f t="shared" si="5"/>
        <v>0.8</v>
      </c>
      <c r="G34" s="184">
        <f t="shared" si="6"/>
        <v>98.317128</v>
      </c>
      <c r="H34" s="185">
        <f t="shared" si="7"/>
        <v>78.6537024</v>
      </c>
      <c r="I34" s="184">
        <v>1.0</v>
      </c>
      <c r="J34" s="186">
        <f t="shared" si="8"/>
        <v>78.6537024</v>
      </c>
      <c r="K34" s="187"/>
      <c r="L34" s="188">
        <f t="shared" si="17"/>
        <v>5.5372</v>
      </c>
      <c r="M34" s="189">
        <f t="shared" si="18"/>
        <v>1</v>
      </c>
      <c r="N34" s="189">
        <f t="shared" si="19"/>
        <v>5.5372</v>
      </c>
      <c r="O34" s="187"/>
      <c r="P34" s="187"/>
      <c r="Q34" s="188">
        <v>97.0</v>
      </c>
      <c r="R34" s="190">
        <v>29.5</v>
      </c>
      <c r="S34" s="178">
        <f t="shared" si="9"/>
        <v>1.68</v>
      </c>
      <c r="T34" s="162">
        <f t="shared" si="10"/>
        <v>1</v>
      </c>
      <c r="U34" s="162">
        <f t="shared" si="11"/>
        <v>1.68</v>
      </c>
      <c r="V34" s="191">
        <f t="shared" si="12"/>
        <v>98.317128</v>
      </c>
      <c r="W34" s="178">
        <f t="shared" ref="W34:X34" si="22">C34/100</f>
        <v>0.91</v>
      </c>
      <c r="X34" s="178">
        <f t="shared" si="22"/>
        <v>2.18</v>
      </c>
      <c r="Y34" s="178">
        <f t="shared" si="14"/>
        <v>1.68</v>
      </c>
      <c r="Z34" s="192">
        <f t="shared" si="15"/>
        <v>3.332784</v>
      </c>
      <c r="AA34" s="139"/>
      <c r="AB34" s="139"/>
      <c r="AC34" s="139"/>
      <c r="AD34" s="139"/>
      <c r="AE34" s="139"/>
      <c r="AF34" s="139"/>
      <c r="AG34" s="139"/>
      <c r="AH34" s="139"/>
      <c r="AI34" s="139"/>
      <c r="AJ34" s="139"/>
      <c r="AK34" s="139"/>
    </row>
    <row r="35" ht="27.0" customHeight="1">
      <c r="A35" s="162">
        <v>7.0</v>
      </c>
      <c r="B35" s="193" t="s">
        <v>57</v>
      </c>
      <c r="C35" s="193">
        <v>103.0</v>
      </c>
      <c r="D35" s="193">
        <v>218.0</v>
      </c>
      <c r="E35" s="193">
        <v>191.0</v>
      </c>
      <c r="F35" s="193">
        <f t="shared" si="5"/>
        <v>0</v>
      </c>
      <c r="G35" s="193">
        <f t="shared" si="6"/>
        <v>126.517063</v>
      </c>
      <c r="H35" s="194">
        <f t="shared" si="7"/>
        <v>126.517063</v>
      </c>
      <c r="I35" s="193">
        <v>1.0</v>
      </c>
      <c r="J35" s="195">
        <f t="shared" si="8"/>
        <v>126.517063</v>
      </c>
      <c r="K35" s="139"/>
      <c r="L35" s="178">
        <f t="shared" si="17"/>
        <v>5.5372</v>
      </c>
      <c r="M35" s="162">
        <f t="shared" si="18"/>
        <v>1</v>
      </c>
      <c r="N35" s="162">
        <f t="shared" si="19"/>
        <v>5.5372</v>
      </c>
      <c r="O35" s="139"/>
      <c r="P35" s="139"/>
      <c r="Q35" s="178">
        <v>128.0</v>
      </c>
      <c r="R35" s="190">
        <v>29.5</v>
      </c>
      <c r="S35" s="178">
        <f t="shared" si="9"/>
        <v>1.91</v>
      </c>
      <c r="T35" s="162">
        <f t="shared" si="10"/>
        <v>1</v>
      </c>
      <c r="U35" s="162">
        <f t="shared" si="11"/>
        <v>1.91</v>
      </c>
      <c r="V35" s="191">
        <f t="shared" si="12"/>
        <v>126.517063</v>
      </c>
      <c r="W35" s="178">
        <f t="shared" ref="W35:X35" si="23">C35/100</f>
        <v>1.03</v>
      </c>
      <c r="X35" s="178">
        <f t="shared" si="23"/>
        <v>2.18</v>
      </c>
      <c r="Y35" s="178">
        <f t="shared" si="14"/>
        <v>1.91</v>
      </c>
      <c r="Z35" s="192">
        <f t="shared" si="15"/>
        <v>4.288714</v>
      </c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</row>
    <row r="36" ht="27.0" customHeight="1">
      <c r="A36" s="162">
        <v>8.0</v>
      </c>
      <c r="B36" s="193" t="s">
        <v>57</v>
      </c>
      <c r="C36" s="193">
        <v>102.0</v>
      </c>
      <c r="D36" s="193">
        <v>218.0</v>
      </c>
      <c r="E36" s="193">
        <v>2880.0</v>
      </c>
      <c r="F36" s="193">
        <f t="shared" si="5"/>
        <v>0</v>
      </c>
      <c r="G36" s="193">
        <f t="shared" si="6"/>
        <v>1889.17056</v>
      </c>
      <c r="H36" s="194">
        <f t="shared" si="7"/>
        <v>1889.17056</v>
      </c>
      <c r="I36" s="193">
        <v>1.0</v>
      </c>
      <c r="J36" s="195">
        <f t="shared" si="8"/>
        <v>1889.17056</v>
      </c>
      <c r="K36" s="139"/>
      <c r="L36" s="178">
        <f t="shared" si="17"/>
        <v>5.5372</v>
      </c>
      <c r="M36" s="162">
        <f t="shared" si="18"/>
        <v>1</v>
      </c>
      <c r="N36" s="162">
        <f t="shared" si="19"/>
        <v>5.5372</v>
      </c>
      <c r="O36" s="139"/>
      <c r="P36" s="139"/>
      <c r="Q36" s="178">
        <v>1845.0</v>
      </c>
      <c r="R36" s="190">
        <v>29.5</v>
      </c>
      <c r="S36" s="178">
        <f t="shared" si="9"/>
        <v>28.8</v>
      </c>
      <c r="T36" s="162">
        <f t="shared" si="10"/>
        <v>1</v>
      </c>
      <c r="U36" s="162">
        <f t="shared" si="11"/>
        <v>28.8</v>
      </c>
      <c r="V36" s="191">
        <f t="shared" si="12"/>
        <v>1889.17056</v>
      </c>
      <c r="W36" s="178">
        <f t="shared" ref="W36:X36" si="24">C36/100</f>
        <v>1.02</v>
      </c>
      <c r="X36" s="178">
        <f t="shared" si="24"/>
        <v>2.18</v>
      </c>
      <c r="Y36" s="178">
        <f t="shared" si="14"/>
        <v>28.8</v>
      </c>
      <c r="Z36" s="192">
        <f t="shared" si="15"/>
        <v>64.03968</v>
      </c>
      <c r="AA36" s="139"/>
      <c r="AB36" s="139"/>
      <c r="AC36" s="139"/>
      <c r="AD36" s="139"/>
      <c r="AE36" s="139"/>
      <c r="AF36" s="139"/>
      <c r="AG36" s="139"/>
      <c r="AH36" s="139"/>
      <c r="AI36" s="139"/>
      <c r="AJ36" s="139"/>
      <c r="AK36" s="139"/>
    </row>
    <row r="37" ht="27.0" customHeight="1">
      <c r="A37" s="162">
        <v>9.0</v>
      </c>
      <c r="B37" s="193" t="s">
        <v>57</v>
      </c>
      <c r="C37" s="193">
        <v>100.0</v>
      </c>
      <c r="D37" s="193">
        <v>218.0</v>
      </c>
      <c r="E37" s="193">
        <v>2883.0</v>
      </c>
      <c r="F37" s="193">
        <f t="shared" si="5"/>
        <v>0</v>
      </c>
      <c r="G37" s="193">
        <f t="shared" si="6"/>
        <v>1854.0573</v>
      </c>
      <c r="H37" s="194">
        <f t="shared" si="7"/>
        <v>1854.0573</v>
      </c>
      <c r="I37" s="193">
        <v>1.0</v>
      </c>
      <c r="J37" s="195">
        <f t="shared" si="8"/>
        <v>1854.0573</v>
      </c>
      <c r="K37" s="139"/>
      <c r="L37" s="178">
        <f t="shared" si="17"/>
        <v>5.5372</v>
      </c>
      <c r="M37" s="162">
        <f t="shared" si="18"/>
        <v>1</v>
      </c>
      <c r="N37" s="162">
        <f t="shared" si="19"/>
        <v>5.5372</v>
      </c>
      <c r="O37" s="139"/>
      <c r="P37" s="139"/>
      <c r="Q37" s="178">
        <v>1855.0</v>
      </c>
      <c r="R37" s="190">
        <v>29.5</v>
      </c>
      <c r="S37" s="178">
        <f t="shared" si="9"/>
        <v>28.83</v>
      </c>
      <c r="T37" s="162">
        <f t="shared" si="10"/>
        <v>1</v>
      </c>
      <c r="U37" s="162">
        <f t="shared" si="11"/>
        <v>28.83</v>
      </c>
      <c r="V37" s="191">
        <f t="shared" si="12"/>
        <v>1854.0573</v>
      </c>
      <c r="W37" s="178">
        <f t="shared" ref="W37:X37" si="25">C37/100</f>
        <v>1</v>
      </c>
      <c r="X37" s="178">
        <f t="shared" si="25"/>
        <v>2.18</v>
      </c>
      <c r="Y37" s="178">
        <f t="shared" si="14"/>
        <v>28.83</v>
      </c>
      <c r="Z37" s="192">
        <f t="shared" si="15"/>
        <v>62.8494</v>
      </c>
      <c r="AA37" s="139"/>
      <c r="AB37" s="139"/>
      <c r="AC37" s="139"/>
      <c r="AD37" s="139"/>
      <c r="AE37" s="139"/>
      <c r="AF37" s="139"/>
      <c r="AG37" s="139"/>
      <c r="AH37" s="139"/>
      <c r="AI37" s="139"/>
      <c r="AJ37" s="139"/>
      <c r="AK37" s="139"/>
    </row>
    <row r="38" ht="27.0" customHeight="1">
      <c r="A38" s="162">
        <v>10.0</v>
      </c>
      <c r="B38" s="193" t="s">
        <v>57</v>
      </c>
      <c r="C38" s="193">
        <v>103.0</v>
      </c>
      <c r="D38" s="193">
        <v>218.0</v>
      </c>
      <c r="E38" s="193">
        <v>2700.0</v>
      </c>
      <c r="F38" s="193">
        <f t="shared" si="5"/>
        <v>0</v>
      </c>
      <c r="G38" s="193">
        <f t="shared" si="6"/>
        <v>1788.4611</v>
      </c>
      <c r="H38" s="194">
        <f t="shared" si="7"/>
        <v>1788.4611</v>
      </c>
      <c r="I38" s="193">
        <v>1.0</v>
      </c>
      <c r="J38" s="195">
        <f t="shared" si="8"/>
        <v>1788.4611</v>
      </c>
      <c r="K38" s="139"/>
      <c r="L38" s="178">
        <f t="shared" si="17"/>
        <v>5.5372</v>
      </c>
      <c r="M38" s="162">
        <f t="shared" si="18"/>
        <v>1</v>
      </c>
      <c r="N38" s="162">
        <f t="shared" si="19"/>
        <v>5.5372</v>
      </c>
      <c r="O38" s="139"/>
      <c r="P38" s="139"/>
      <c r="Q38" s="178">
        <v>1790.0</v>
      </c>
      <c r="R38" s="190">
        <v>29.5</v>
      </c>
      <c r="S38" s="178">
        <f t="shared" si="9"/>
        <v>27</v>
      </c>
      <c r="T38" s="162">
        <f t="shared" si="10"/>
        <v>1</v>
      </c>
      <c r="U38" s="162">
        <f t="shared" si="11"/>
        <v>27</v>
      </c>
      <c r="V38" s="191">
        <f t="shared" si="12"/>
        <v>1788.4611</v>
      </c>
      <c r="W38" s="178">
        <f t="shared" ref="W38:X38" si="26">C38/100</f>
        <v>1.03</v>
      </c>
      <c r="X38" s="178">
        <f t="shared" si="26"/>
        <v>2.18</v>
      </c>
      <c r="Y38" s="178">
        <f t="shared" si="14"/>
        <v>27</v>
      </c>
      <c r="Z38" s="192">
        <f t="shared" si="15"/>
        <v>60.6258</v>
      </c>
      <c r="AA38" s="139"/>
      <c r="AB38" s="139"/>
      <c r="AC38" s="139"/>
      <c r="AD38" s="139"/>
      <c r="AE38" s="139"/>
      <c r="AF38" s="139"/>
      <c r="AG38" s="139"/>
      <c r="AH38" s="139"/>
      <c r="AI38" s="139"/>
      <c r="AJ38" s="139"/>
      <c r="AK38" s="139"/>
    </row>
    <row r="39" ht="27.0" customHeight="1">
      <c r="A39" s="162">
        <v>11.0</v>
      </c>
      <c r="B39" s="193" t="s">
        <v>57</v>
      </c>
      <c r="C39" s="193">
        <v>103.0</v>
      </c>
      <c r="D39" s="193">
        <v>218.0</v>
      </c>
      <c r="E39" s="193">
        <v>2878.0</v>
      </c>
      <c r="F39" s="193">
        <f t="shared" si="5"/>
        <v>0</v>
      </c>
      <c r="G39" s="193">
        <f t="shared" si="6"/>
        <v>1906.367054</v>
      </c>
      <c r="H39" s="194">
        <f t="shared" si="7"/>
        <v>1906.367054</v>
      </c>
      <c r="I39" s="193">
        <v>1.0</v>
      </c>
      <c r="J39" s="195">
        <f t="shared" si="8"/>
        <v>1906.367054</v>
      </c>
      <c r="K39" s="139"/>
      <c r="L39" s="178">
        <f t="shared" si="17"/>
        <v>5.5372</v>
      </c>
      <c r="M39" s="162">
        <f t="shared" si="18"/>
        <v>1</v>
      </c>
      <c r="N39" s="162">
        <f t="shared" si="19"/>
        <v>5.5372</v>
      </c>
      <c r="O39" s="139"/>
      <c r="P39" s="139"/>
      <c r="Q39" s="178">
        <v>1900.0</v>
      </c>
      <c r="R39" s="190">
        <v>29.5</v>
      </c>
      <c r="S39" s="178">
        <f t="shared" si="9"/>
        <v>28.78</v>
      </c>
      <c r="T39" s="162">
        <f t="shared" si="10"/>
        <v>1</v>
      </c>
      <c r="U39" s="162">
        <f t="shared" si="11"/>
        <v>28.78</v>
      </c>
      <c r="V39" s="191">
        <f t="shared" si="12"/>
        <v>1906.367054</v>
      </c>
      <c r="W39" s="178">
        <f t="shared" ref="W39:X39" si="27">C39/100</f>
        <v>1.03</v>
      </c>
      <c r="X39" s="178">
        <f t="shared" si="27"/>
        <v>2.18</v>
      </c>
      <c r="Y39" s="178">
        <f t="shared" si="14"/>
        <v>28.78</v>
      </c>
      <c r="Z39" s="192">
        <f t="shared" si="15"/>
        <v>64.622612</v>
      </c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</row>
    <row r="40" ht="27.0" customHeight="1">
      <c r="A40" s="162">
        <v>12.0</v>
      </c>
      <c r="B40" s="183" t="s">
        <v>155</v>
      </c>
      <c r="C40" s="184">
        <v>94.0</v>
      </c>
      <c r="D40" s="184">
        <v>202.0</v>
      </c>
      <c r="E40" s="184">
        <v>177.0</v>
      </c>
      <c r="F40" s="184">
        <f t="shared" si="5"/>
        <v>0.8</v>
      </c>
      <c r="G40" s="184">
        <f t="shared" si="6"/>
        <v>100.82628</v>
      </c>
      <c r="H40" s="185">
        <f t="shared" si="7"/>
        <v>80.661024</v>
      </c>
      <c r="I40" s="184">
        <v>1.0</v>
      </c>
      <c r="J40" s="186">
        <f t="shared" si="8"/>
        <v>80.661024</v>
      </c>
      <c r="K40" s="187"/>
      <c r="L40" s="188">
        <f t="shared" si="17"/>
        <v>5.1308</v>
      </c>
      <c r="M40" s="189">
        <f t="shared" si="18"/>
        <v>1</v>
      </c>
      <c r="N40" s="189">
        <f t="shared" si="19"/>
        <v>5.1308</v>
      </c>
      <c r="O40" s="187"/>
      <c r="P40" s="187"/>
      <c r="Q40" s="188">
        <v>103.0</v>
      </c>
      <c r="R40" s="190">
        <v>30.0</v>
      </c>
      <c r="S40" s="178">
        <f t="shared" si="9"/>
        <v>1.77</v>
      </c>
      <c r="T40" s="162">
        <f t="shared" si="10"/>
        <v>1</v>
      </c>
      <c r="U40" s="162">
        <f t="shared" si="11"/>
        <v>1.77</v>
      </c>
      <c r="V40" s="191">
        <f t="shared" si="12"/>
        <v>100.82628</v>
      </c>
      <c r="W40" s="178">
        <f t="shared" ref="W40:X40" si="28">C40/100</f>
        <v>0.94</v>
      </c>
      <c r="X40" s="178">
        <f t="shared" si="28"/>
        <v>2.02</v>
      </c>
      <c r="Y40" s="178">
        <f t="shared" si="14"/>
        <v>1.77</v>
      </c>
      <c r="Z40" s="192">
        <f t="shared" si="15"/>
        <v>3.360876</v>
      </c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</row>
    <row r="41" ht="27.0" customHeight="1">
      <c r="A41" s="162">
        <v>13.0</v>
      </c>
      <c r="B41" s="193" t="s">
        <v>55</v>
      </c>
      <c r="C41" s="193">
        <v>102.0</v>
      </c>
      <c r="D41" s="193">
        <v>202.0</v>
      </c>
      <c r="E41" s="193">
        <v>200.0</v>
      </c>
      <c r="F41" s="193">
        <f t="shared" si="5"/>
        <v>0</v>
      </c>
      <c r="G41" s="193">
        <f t="shared" si="6"/>
        <v>123.624</v>
      </c>
      <c r="H41" s="194">
        <f t="shared" si="7"/>
        <v>123.624</v>
      </c>
      <c r="I41" s="193">
        <v>1.0</v>
      </c>
      <c r="J41" s="195">
        <f t="shared" si="8"/>
        <v>123.624</v>
      </c>
      <c r="K41" s="139"/>
      <c r="L41" s="178">
        <f t="shared" si="17"/>
        <v>5.1308</v>
      </c>
      <c r="M41" s="162">
        <f t="shared" si="18"/>
        <v>1</v>
      </c>
      <c r="N41" s="162">
        <f t="shared" si="19"/>
        <v>5.1308</v>
      </c>
      <c r="O41" s="139"/>
      <c r="P41" s="139"/>
      <c r="Q41" s="178">
        <v>123.0</v>
      </c>
      <c r="R41" s="190">
        <v>30.0</v>
      </c>
      <c r="S41" s="178">
        <f t="shared" si="9"/>
        <v>2</v>
      </c>
      <c r="T41" s="162">
        <f t="shared" si="10"/>
        <v>1</v>
      </c>
      <c r="U41" s="162">
        <f t="shared" si="11"/>
        <v>2</v>
      </c>
      <c r="V41" s="191">
        <f t="shared" si="12"/>
        <v>123.624</v>
      </c>
      <c r="W41" s="178">
        <f t="shared" ref="W41:X41" si="29">C41/100</f>
        <v>1.02</v>
      </c>
      <c r="X41" s="178">
        <f t="shared" si="29"/>
        <v>2.02</v>
      </c>
      <c r="Y41" s="178">
        <f t="shared" si="14"/>
        <v>2</v>
      </c>
      <c r="Z41" s="192">
        <f t="shared" si="15"/>
        <v>4.1208</v>
      </c>
      <c r="AA41" s="139"/>
      <c r="AB41" s="139"/>
      <c r="AC41" s="139"/>
      <c r="AD41" s="139"/>
      <c r="AE41" s="139"/>
      <c r="AF41" s="139"/>
      <c r="AG41" s="139"/>
      <c r="AH41" s="139"/>
      <c r="AI41" s="139"/>
      <c r="AJ41" s="139"/>
      <c r="AK41" s="139"/>
    </row>
    <row r="42" ht="27.0" customHeight="1">
      <c r="A42" s="162">
        <v>14.0</v>
      </c>
      <c r="B42" s="193" t="s">
        <v>55</v>
      </c>
      <c r="C42" s="193">
        <v>103.0</v>
      </c>
      <c r="D42" s="193">
        <v>202.0</v>
      </c>
      <c r="E42" s="193">
        <v>2885.0</v>
      </c>
      <c r="F42" s="193">
        <f t="shared" si="5"/>
        <v>0</v>
      </c>
      <c r="G42" s="193">
        <f t="shared" si="6"/>
        <v>1800.7593</v>
      </c>
      <c r="H42" s="194">
        <f t="shared" si="7"/>
        <v>1800.7593</v>
      </c>
      <c r="I42" s="193">
        <v>1.0</v>
      </c>
      <c r="J42" s="195">
        <f t="shared" si="8"/>
        <v>1800.7593</v>
      </c>
      <c r="K42" s="139"/>
      <c r="L42" s="178">
        <f t="shared" si="17"/>
        <v>5.1308</v>
      </c>
      <c r="M42" s="162">
        <f t="shared" si="18"/>
        <v>1</v>
      </c>
      <c r="N42" s="162">
        <f t="shared" si="19"/>
        <v>5.1308</v>
      </c>
      <c r="O42" s="139"/>
      <c r="P42" s="139"/>
      <c r="Q42" s="178">
        <v>1775.0</v>
      </c>
      <c r="R42" s="190">
        <v>30.0</v>
      </c>
      <c r="S42" s="178">
        <f t="shared" si="9"/>
        <v>28.85</v>
      </c>
      <c r="T42" s="162">
        <f t="shared" si="10"/>
        <v>1</v>
      </c>
      <c r="U42" s="162">
        <f t="shared" si="11"/>
        <v>28.85</v>
      </c>
      <c r="V42" s="191">
        <f t="shared" si="12"/>
        <v>1800.7593</v>
      </c>
      <c r="W42" s="178">
        <f t="shared" ref="W42:X42" si="30">C42/100</f>
        <v>1.03</v>
      </c>
      <c r="X42" s="178">
        <f t="shared" si="30"/>
        <v>2.02</v>
      </c>
      <c r="Y42" s="178">
        <f t="shared" si="14"/>
        <v>28.85</v>
      </c>
      <c r="Z42" s="192">
        <f t="shared" si="15"/>
        <v>60.02531</v>
      </c>
      <c r="AA42" s="139"/>
      <c r="AB42" s="139"/>
      <c r="AC42" s="139"/>
      <c r="AD42" s="139"/>
      <c r="AE42" s="139"/>
      <c r="AF42" s="139"/>
      <c r="AG42" s="139"/>
      <c r="AH42" s="139"/>
      <c r="AI42" s="139"/>
      <c r="AJ42" s="139"/>
      <c r="AK42" s="139"/>
    </row>
    <row r="43" ht="27.0" customHeight="1">
      <c r="A43" s="162">
        <v>15.0</v>
      </c>
      <c r="B43" s="193" t="s">
        <v>55</v>
      </c>
      <c r="C43" s="193">
        <v>102.0</v>
      </c>
      <c r="D43" s="193">
        <v>202.0</v>
      </c>
      <c r="E43" s="193">
        <v>2886.0</v>
      </c>
      <c r="F43" s="193">
        <f t="shared" si="5"/>
        <v>0</v>
      </c>
      <c r="G43" s="193">
        <f t="shared" si="6"/>
        <v>1783.89432</v>
      </c>
      <c r="H43" s="194">
        <f t="shared" si="7"/>
        <v>1783.89432</v>
      </c>
      <c r="I43" s="193">
        <v>1.0</v>
      </c>
      <c r="J43" s="195">
        <f t="shared" si="8"/>
        <v>1783.89432</v>
      </c>
      <c r="K43" s="139"/>
      <c r="L43" s="178">
        <f t="shared" si="17"/>
        <v>5.1308</v>
      </c>
      <c r="M43" s="162">
        <f t="shared" si="18"/>
        <v>1</v>
      </c>
      <c r="N43" s="162">
        <f t="shared" si="19"/>
        <v>5.1308</v>
      </c>
      <c r="O43" s="139"/>
      <c r="P43" s="139"/>
      <c r="Q43" s="178">
        <v>1780.0</v>
      </c>
      <c r="R43" s="190">
        <v>30.0</v>
      </c>
      <c r="S43" s="178">
        <f t="shared" si="9"/>
        <v>28.86</v>
      </c>
      <c r="T43" s="162">
        <f t="shared" si="10"/>
        <v>1</v>
      </c>
      <c r="U43" s="162">
        <f t="shared" si="11"/>
        <v>28.86</v>
      </c>
      <c r="V43" s="191">
        <f t="shared" si="12"/>
        <v>1783.89432</v>
      </c>
      <c r="W43" s="178">
        <f t="shared" ref="W43:X43" si="31">C43/100</f>
        <v>1.02</v>
      </c>
      <c r="X43" s="178">
        <f t="shared" si="31"/>
        <v>2.02</v>
      </c>
      <c r="Y43" s="178">
        <f t="shared" si="14"/>
        <v>28.86</v>
      </c>
      <c r="Z43" s="192">
        <f t="shared" si="15"/>
        <v>59.463144</v>
      </c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</row>
    <row r="44" ht="27.0" customHeight="1">
      <c r="A44" s="162">
        <v>16.0</v>
      </c>
      <c r="B44" s="193" t="s">
        <v>55</v>
      </c>
      <c r="C44" s="193">
        <v>102.0</v>
      </c>
      <c r="D44" s="193">
        <v>202.0</v>
      </c>
      <c r="E44" s="193">
        <v>2875.0</v>
      </c>
      <c r="F44" s="193">
        <f t="shared" si="5"/>
        <v>0</v>
      </c>
      <c r="G44" s="193">
        <f t="shared" si="6"/>
        <v>1777.095</v>
      </c>
      <c r="H44" s="194">
        <f t="shared" si="7"/>
        <v>1777.095</v>
      </c>
      <c r="I44" s="193">
        <v>1.0</v>
      </c>
      <c r="J44" s="195">
        <f t="shared" si="8"/>
        <v>1777.095</v>
      </c>
      <c r="K44" s="139"/>
      <c r="L44" s="178">
        <f t="shared" si="17"/>
        <v>5.1308</v>
      </c>
      <c r="M44" s="162">
        <f t="shared" si="18"/>
        <v>1</v>
      </c>
      <c r="N44" s="162">
        <f t="shared" si="19"/>
        <v>5.1308</v>
      </c>
      <c r="O44" s="139"/>
      <c r="P44" s="139"/>
      <c r="Q44" s="178">
        <v>1780.0</v>
      </c>
      <c r="R44" s="190">
        <v>30.0</v>
      </c>
      <c r="S44" s="178">
        <f t="shared" si="9"/>
        <v>28.75</v>
      </c>
      <c r="T44" s="162">
        <f t="shared" si="10"/>
        <v>1</v>
      </c>
      <c r="U44" s="162">
        <f t="shared" si="11"/>
        <v>28.75</v>
      </c>
      <c r="V44" s="191">
        <f t="shared" si="12"/>
        <v>1777.095</v>
      </c>
      <c r="W44" s="178">
        <f t="shared" ref="W44:X44" si="32">C44/100</f>
        <v>1.02</v>
      </c>
      <c r="X44" s="178">
        <f t="shared" si="32"/>
        <v>2.02</v>
      </c>
      <c r="Y44" s="178">
        <f t="shared" si="14"/>
        <v>28.75</v>
      </c>
      <c r="Z44" s="192">
        <f t="shared" si="15"/>
        <v>59.2365</v>
      </c>
      <c r="AA44" s="139"/>
      <c r="AB44" s="139"/>
      <c r="AC44" s="139"/>
      <c r="AD44" s="139"/>
      <c r="AE44" s="139"/>
      <c r="AF44" s="139"/>
      <c r="AG44" s="139"/>
      <c r="AH44" s="139"/>
      <c r="AI44" s="139"/>
      <c r="AJ44" s="139"/>
      <c r="AK44" s="139"/>
    </row>
    <row r="45" ht="27.0" customHeight="1">
      <c r="A45" s="162">
        <v>17.0</v>
      </c>
      <c r="B45" s="193" t="s">
        <v>55</v>
      </c>
      <c r="C45" s="193">
        <v>103.0</v>
      </c>
      <c r="D45" s="193">
        <v>202.0</v>
      </c>
      <c r="E45" s="193">
        <v>2878.0</v>
      </c>
      <c r="F45" s="193">
        <f t="shared" si="5"/>
        <v>0</v>
      </c>
      <c r="G45" s="193">
        <f t="shared" si="6"/>
        <v>1796.39004</v>
      </c>
      <c r="H45" s="194">
        <f t="shared" si="7"/>
        <v>1796.39004</v>
      </c>
      <c r="I45" s="193">
        <v>1.0</v>
      </c>
      <c r="J45" s="195">
        <f t="shared" si="8"/>
        <v>1796.39004</v>
      </c>
      <c r="K45" s="139"/>
      <c r="L45" s="178">
        <f t="shared" si="17"/>
        <v>5.1308</v>
      </c>
      <c r="M45" s="162">
        <f t="shared" si="18"/>
        <v>1</v>
      </c>
      <c r="N45" s="162">
        <f t="shared" si="19"/>
        <v>5.1308</v>
      </c>
      <c r="O45" s="139"/>
      <c r="P45" s="139"/>
      <c r="Q45" s="178">
        <v>1780.0</v>
      </c>
      <c r="R45" s="190">
        <v>30.0</v>
      </c>
      <c r="S45" s="178">
        <f t="shared" si="9"/>
        <v>28.78</v>
      </c>
      <c r="T45" s="162">
        <f t="shared" si="10"/>
        <v>1</v>
      </c>
      <c r="U45" s="162">
        <f t="shared" si="11"/>
        <v>28.78</v>
      </c>
      <c r="V45" s="191">
        <f t="shared" si="12"/>
        <v>1796.39004</v>
      </c>
      <c r="W45" s="178">
        <f t="shared" ref="W45:X45" si="33">C45/100</f>
        <v>1.03</v>
      </c>
      <c r="X45" s="178">
        <f t="shared" si="33"/>
        <v>2.02</v>
      </c>
      <c r="Y45" s="178">
        <f t="shared" si="14"/>
        <v>28.78</v>
      </c>
      <c r="Z45" s="192">
        <f t="shared" si="15"/>
        <v>59.879668</v>
      </c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</row>
    <row r="46" ht="27.0" customHeight="1">
      <c r="A46" s="162">
        <v>18.0</v>
      </c>
      <c r="B46" s="193" t="s">
        <v>55</v>
      </c>
      <c r="C46" s="193">
        <v>102.0</v>
      </c>
      <c r="D46" s="193">
        <v>202.0</v>
      </c>
      <c r="E46" s="193">
        <v>2889.0</v>
      </c>
      <c r="F46" s="193">
        <f t="shared" si="5"/>
        <v>0</v>
      </c>
      <c r="G46" s="193">
        <f t="shared" si="6"/>
        <v>1785.74868</v>
      </c>
      <c r="H46" s="194">
        <f t="shared" si="7"/>
        <v>1785.74868</v>
      </c>
      <c r="I46" s="193">
        <v>1.0</v>
      </c>
      <c r="J46" s="195">
        <f t="shared" si="8"/>
        <v>1785.74868</v>
      </c>
      <c r="K46" s="139"/>
      <c r="L46" s="178">
        <f t="shared" si="17"/>
        <v>5.1308</v>
      </c>
      <c r="M46" s="162">
        <f t="shared" si="18"/>
        <v>1</v>
      </c>
      <c r="N46" s="162">
        <f t="shared" si="19"/>
        <v>5.1308</v>
      </c>
      <c r="O46" s="139"/>
      <c r="P46" s="139"/>
      <c r="Q46" s="178">
        <v>1775.0</v>
      </c>
      <c r="R46" s="190">
        <v>30.0</v>
      </c>
      <c r="S46" s="178">
        <f t="shared" si="9"/>
        <v>28.89</v>
      </c>
      <c r="T46" s="162">
        <f t="shared" si="10"/>
        <v>1</v>
      </c>
      <c r="U46" s="162">
        <f t="shared" si="11"/>
        <v>28.89</v>
      </c>
      <c r="V46" s="191">
        <f t="shared" si="12"/>
        <v>1785.74868</v>
      </c>
      <c r="W46" s="178">
        <f t="shared" ref="W46:X46" si="34">C46/100</f>
        <v>1.02</v>
      </c>
      <c r="X46" s="178">
        <f t="shared" si="34"/>
        <v>2.02</v>
      </c>
      <c r="Y46" s="178">
        <f t="shared" si="14"/>
        <v>28.89</v>
      </c>
      <c r="Z46" s="192">
        <f t="shared" si="15"/>
        <v>59.524956</v>
      </c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</row>
    <row r="47" ht="27.0" customHeight="1">
      <c r="A47" s="162">
        <v>19.0</v>
      </c>
      <c r="B47" s="183" t="s">
        <v>63</v>
      </c>
      <c r="C47" s="184">
        <v>86.0</v>
      </c>
      <c r="D47" s="184">
        <v>202.0</v>
      </c>
      <c r="E47" s="184">
        <v>197.0</v>
      </c>
      <c r="F47" s="184">
        <f t="shared" si="5"/>
        <v>0.8</v>
      </c>
      <c r="G47" s="184">
        <f t="shared" si="6"/>
        <v>100.957378</v>
      </c>
      <c r="H47" s="185">
        <f t="shared" si="7"/>
        <v>80.7659024</v>
      </c>
      <c r="I47" s="184">
        <v>1.0</v>
      </c>
      <c r="J47" s="186">
        <f t="shared" si="8"/>
        <v>80.7659024</v>
      </c>
      <c r="K47" s="187"/>
      <c r="L47" s="188">
        <f t="shared" si="17"/>
        <v>5.1308</v>
      </c>
      <c r="M47" s="189">
        <f t="shared" si="18"/>
        <v>1</v>
      </c>
      <c r="N47" s="189">
        <f t="shared" si="19"/>
        <v>5.1308</v>
      </c>
      <c r="O47" s="187"/>
      <c r="P47" s="187"/>
      <c r="Q47" s="188">
        <v>112.0</v>
      </c>
      <c r="R47" s="190">
        <v>29.5</v>
      </c>
      <c r="S47" s="178">
        <f t="shared" si="9"/>
        <v>1.97</v>
      </c>
      <c r="T47" s="162">
        <f t="shared" si="10"/>
        <v>1</v>
      </c>
      <c r="U47" s="162">
        <f t="shared" si="11"/>
        <v>1.97</v>
      </c>
      <c r="V47" s="191">
        <f t="shared" si="12"/>
        <v>100.957378</v>
      </c>
      <c r="W47" s="178">
        <f t="shared" ref="W47:X47" si="35">C47/100</f>
        <v>0.86</v>
      </c>
      <c r="X47" s="178">
        <f t="shared" si="35"/>
        <v>2.02</v>
      </c>
      <c r="Y47" s="178">
        <f t="shared" si="14"/>
        <v>1.97</v>
      </c>
      <c r="Z47" s="192">
        <f t="shared" si="15"/>
        <v>3.422284</v>
      </c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</row>
    <row r="48" ht="27.0" customHeight="1">
      <c r="A48" s="162">
        <v>20.0</v>
      </c>
      <c r="B48" s="193" t="s">
        <v>55</v>
      </c>
      <c r="C48" s="193">
        <v>98.0</v>
      </c>
      <c r="D48" s="193">
        <v>202.0</v>
      </c>
      <c r="E48" s="193">
        <v>2876.0</v>
      </c>
      <c r="F48" s="193">
        <f t="shared" si="5"/>
        <v>0</v>
      </c>
      <c r="G48" s="193">
        <f t="shared" si="6"/>
        <v>1679.532232</v>
      </c>
      <c r="H48" s="194">
        <f t="shared" si="7"/>
        <v>1679.532232</v>
      </c>
      <c r="I48" s="193">
        <v>1.0</v>
      </c>
      <c r="J48" s="195">
        <f t="shared" si="8"/>
        <v>1679.532232</v>
      </c>
      <c r="K48" s="139"/>
      <c r="L48" s="178">
        <f t="shared" si="17"/>
        <v>5.1308</v>
      </c>
      <c r="M48" s="162">
        <f t="shared" si="18"/>
        <v>1</v>
      </c>
      <c r="N48" s="162">
        <f t="shared" si="19"/>
        <v>5.1308</v>
      </c>
      <c r="O48" s="139"/>
      <c r="P48" s="139"/>
      <c r="Q48" s="178">
        <v>1690.0</v>
      </c>
      <c r="R48" s="190">
        <v>29.5</v>
      </c>
      <c r="S48" s="178">
        <f t="shared" si="9"/>
        <v>28.76</v>
      </c>
      <c r="T48" s="162">
        <f t="shared" si="10"/>
        <v>1</v>
      </c>
      <c r="U48" s="162">
        <f t="shared" si="11"/>
        <v>28.76</v>
      </c>
      <c r="V48" s="191">
        <f t="shared" si="12"/>
        <v>1679.532232</v>
      </c>
      <c r="W48" s="178">
        <f t="shared" ref="W48:X48" si="36">C48/100</f>
        <v>0.98</v>
      </c>
      <c r="X48" s="178">
        <f t="shared" si="36"/>
        <v>2.02</v>
      </c>
      <c r="Y48" s="178">
        <f t="shared" si="14"/>
        <v>28.76</v>
      </c>
      <c r="Z48" s="192">
        <f t="shared" si="15"/>
        <v>56.933296</v>
      </c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</row>
    <row r="49" ht="27.0" customHeight="1">
      <c r="A49" s="162">
        <v>21.0</v>
      </c>
      <c r="B49" s="193" t="s">
        <v>55</v>
      </c>
      <c r="C49" s="193">
        <v>98.0</v>
      </c>
      <c r="D49" s="193">
        <v>202.0</v>
      </c>
      <c r="E49" s="193">
        <v>2886.0</v>
      </c>
      <c r="F49" s="193">
        <f t="shared" si="5"/>
        <v>0</v>
      </c>
      <c r="G49" s="193">
        <f t="shared" si="6"/>
        <v>1685.372052</v>
      </c>
      <c r="H49" s="194">
        <f t="shared" si="7"/>
        <v>1685.372052</v>
      </c>
      <c r="I49" s="193">
        <v>1.0</v>
      </c>
      <c r="J49" s="195">
        <f t="shared" si="8"/>
        <v>1685.372052</v>
      </c>
      <c r="K49" s="139"/>
      <c r="L49" s="178">
        <f t="shared" si="17"/>
        <v>5.1308</v>
      </c>
      <c r="M49" s="162">
        <f t="shared" si="18"/>
        <v>1</v>
      </c>
      <c r="N49" s="162">
        <f t="shared" si="19"/>
        <v>5.1308</v>
      </c>
      <c r="O49" s="139"/>
      <c r="P49" s="139"/>
      <c r="Q49" s="178">
        <v>1710.0</v>
      </c>
      <c r="R49" s="190">
        <v>29.5</v>
      </c>
      <c r="S49" s="178">
        <f t="shared" si="9"/>
        <v>28.86</v>
      </c>
      <c r="T49" s="162">
        <f t="shared" si="10"/>
        <v>1</v>
      </c>
      <c r="U49" s="162">
        <f t="shared" si="11"/>
        <v>28.86</v>
      </c>
      <c r="V49" s="191">
        <f t="shared" si="12"/>
        <v>1685.372052</v>
      </c>
      <c r="W49" s="178">
        <f t="shared" ref="W49:X49" si="37">C49/100</f>
        <v>0.98</v>
      </c>
      <c r="X49" s="178">
        <f t="shared" si="37"/>
        <v>2.02</v>
      </c>
      <c r="Y49" s="178">
        <f t="shared" si="14"/>
        <v>28.86</v>
      </c>
      <c r="Z49" s="192">
        <f t="shared" si="15"/>
        <v>57.131256</v>
      </c>
      <c r="AA49" s="139"/>
      <c r="AB49" s="139"/>
      <c r="AC49" s="139"/>
      <c r="AD49" s="139"/>
      <c r="AE49" s="139"/>
      <c r="AF49" s="139"/>
      <c r="AG49" s="139"/>
      <c r="AH49" s="139"/>
      <c r="AI49" s="139"/>
      <c r="AJ49" s="139"/>
      <c r="AK49" s="139"/>
    </row>
    <row r="50" ht="27.0" customHeight="1">
      <c r="A50" s="162">
        <v>22.0</v>
      </c>
      <c r="B50" s="193" t="s">
        <v>55</v>
      </c>
      <c r="C50" s="193">
        <v>97.0</v>
      </c>
      <c r="D50" s="193">
        <v>202.0</v>
      </c>
      <c r="E50" s="193">
        <v>2895.0</v>
      </c>
      <c r="F50" s="193">
        <f t="shared" si="5"/>
        <v>0</v>
      </c>
      <c r="G50" s="193">
        <f t="shared" si="6"/>
        <v>1673.376585</v>
      </c>
      <c r="H50" s="194">
        <f t="shared" si="7"/>
        <v>1673.376585</v>
      </c>
      <c r="I50" s="193">
        <v>1.0</v>
      </c>
      <c r="J50" s="195">
        <f t="shared" si="8"/>
        <v>1673.376585</v>
      </c>
      <c r="K50" s="139"/>
      <c r="L50" s="178">
        <f t="shared" si="17"/>
        <v>5.1308</v>
      </c>
      <c r="M50" s="162">
        <f t="shared" si="18"/>
        <v>1</v>
      </c>
      <c r="N50" s="162">
        <f t="shared" si="19"/>
        <v>5.1308</v>
      </c>
      <c r="O50" s="139"/>
      <c r="P50" s="139"/>
      <c r="Q50" s="178">
        <v>1675.0</v>
      </c>
      <c r="R50" s="190">
        <v>29.5</v>
      </c>
      <c r="S50" s="178">
        <f t="shared" si="9"/>
        <v>28.95</v>
      </c>
      <c r="T50" s="162">
        <f t="shared" si="10"/>
        <v>1</v>
      </c>
      <c r="U50" s="162">
        <f t="shared" si="11"/>
        <v>28.95</v>
      </c>
      <c r="V50" s="191">
        <f t="shared" si="12"/>
        <v>1673.376585</v>
      </c>
      <c r="W50" s="178">
        <f t="shared" ref="W50:X50" si="38">C50/100</f>
        <v>0.97</v>
      </c>
      <c r="X50" s="178">
        <f t="shared" si="38"/>
        <v>2.02</v>
      </c>
      <c r="Y50" s="178">
        <f t="shared" si="14"/>
        <v>28.95</v>
      </c>
      <c r="Z50" s="192">
        <f t="shared" si="15"/>
        <v>56.72463</v>
      </c>
      <c r="AA50" s="139"/>
      <c r="AB50" s="139"/>
      <c r="AC50" s="139"/>
      <c r="AD50" s="139"/>
      <c r="AE50" s="139"/>
      <c r="AF50" s="139"/>
      <c r="AG50" s="139"/>
      <c r="AH50" s="139"/>
      <c r="AI50" s="139"/>
      <c r="AJ50" s="139"/>
      <c r="AK50" s="139"/>
    </row>
    <row r="51" ht="27.0" customHeight="1">
      <c r="A51" s="162">
        <v>23.0</v>
      </c>
      <c r="B51" s="193" t="s">
        <v>55</v>
      </c>
      <c r="C51" s="193">
        <v>98.0</v>
      </c>
      <c r="D51" s="193">
        <v>202.0</v>
      </c>
      <c r="E51" s="193">
        <v>2883.0</v>
      </c>
      <c r="F51" s="193">
        <f t="shared" si="5"/>
        <v>0</v>
      </c>
      <c r="G51" s="193">
        <f t="shared" si="6"/>
        <v>1683.620106</v>
      </c>
      <c r="H51" s="194">
        <f t="shared" si="7"/>
        <v>1683.620106</v>
      </c>
      <c r="I51" s="193">
        <v>1.0</v>
      </c>
      <c r="J51" s="195">
        <f t="shared" si="8"/>
        <v>1683.620106</v>
      </c>
      <c r="K51" s="139"/>
      <c r="L51" s="178">
        <f t="shared" si="17"/>
        <v>5.1308</v>
      </c>
      <c r="M51" s="162">
        <f t="shared" si="18"/>
        <v>1</v>
      </c>
      <c r="N51" s="162">
        <f t="shared" si="19"/>
        <v>5.1308</v>
      </c>
      <c r="O51" s="139"/>
      <c r="P51" s="139"/>
      <c r="Q51" s="178">
        <v>1690.0</v>
      </c>
      <c r="R51" s="190">
        <v>29.5</v>
      </c>
      <c r="S51" s="178">
        <f t="shared" si="9"/>
        <v>28.83</v>
      </c>
      <c r="T51" s="162">
        <f t="shared" si="10"/>
        <v>1</v>
      </c>
      <c r="U51" s="162">
        <f t="shared" si="11"/>
        <v>28.83</v>
      </c>
      <c r="V51" s="191">
        <f t="shared" si="12"/>
        <v>1683.620106</v>
      </c>
      <c r="W51" s="178">
        <f t="shared" ref="W51:X51" si="39">C51/100</f>
        <v>0.98</v>
      </c>
      <c r="X51" s="178">
        <f t="shared" si="39"/>
        <v>2.02</v>
      </c>
      <c r="Y51" s="178">
        <f t="shared" si="14"/>
        <v>28.83</v>
      </c>
      <c r="Z51" s="192">
        <f t="shared" si="15"/>
        <v>57.071868</v>
      </c>
      <c r="AA51" s="139"/>
      <c r="AB51" s="139"/>
      <c r="AC51" s="139"/>
      <c r="AD51" s="139"/>
      <c r="AE51" s="139"/>
      <c r="AF51" s="139"/>
      <c r="AG51" s="139"/>
      <c r="AH51" s="139"/>
      <c r="AI51" s="139"/>
      <c r="AJ51" s="139"/>
      <c r="AK51" s="139"/>
    </row>
    <row r="52" ht="27.0" customHeight="1">
      <c r="A52" s="162">
        <v>24.0</v>
      </c>
      <c r="B52" s="183" t="s">
        <v>85</v>
      </c>
      <c r="C52" s="184">
        <v>91.0</v>
      </c>
      <c r="D52" s="184">
        <v>205.0</v>
      </c>
      <c r="E52" s="184">
        <v>187.0</v>
      </c>
      <c r="F52" s="184">
        <f t="shared" si="5"/>
        <v>0.8</v>
      </c>
      <c r="G52" s="184">
        <f t="shared" si="6"/>
        <v>87.212125</v>
      </c>
      <c r="H52" s="185">
        <f t="shared" si="7"/>
        <v>69.7697</v>
      </c>
      <c r="I52" s="184">
        <v>1.0</v>
      </c>
      <c r="J52" s="186">
        <f t="shared" si="8"/>
        <v>69.7697</v>
      </c>
      <c r="K52" s="187"/>
      <c r="L52" s="188">
        <f t="shared" si="17"/>
        <v>5.207</v>
      </c>
      <c r="M52" s="189">
        <f t="shared" si="18"/>
        <v>1</v>
      </c>
      <c r="N52" s="189">
        <f t="shared" si="19"/>
        <v>5.207</v>
      </c>
      <c r="O52" s="187"/>
      <c r="P52" s="187"/>
      <c r="Q52" s="188">
        <v>91.0</v>
      </c>
      <c r="R52" s="190">
        <v>25.0</v>
      </c>
      <c r="S52" s="178">
        <f t="shared" si="9"/>
        <v>1.87</v>
      </c>
      <c r="T52" s="162">
        <f t="shared" si="10"/>
        <v>1</v>
      </c>
      <c r="U52" s="162">
        <f t="shared" si="11"/>
        <v>1.87</v>
      </c>
      <c r="V52" s="191">
        <f t="shared" si="12"/>
        <v>87.212125</v>
      </c>
      <c r="W52" s="178">
        <f t="shared" ref="W52:X52" si="40">C52/100</f>
        <v>0.91</v>
      </c>
      <c r="X52" s="178">
        <f t="shared" si="40"/>
        <v>2.05</v>
      </c>
      <c r="Y52" s="178">
        <f t="shared" si="14"/>
        <v>1.87</v>
      </c>
      <c r="Z52" s="192">
        <f t="shared" si="15"/>
        <v>3.488485</v>
      </c>
      <c r="AA52" s="139"/>
      <c r="AB52" s="139"/>
      <c r="AC52" s="139"/>
      <c r="AD52" s="139"/>
      <c r="AE52" s="139"/>
      <c r="AF52" s="139"/>
      <c r="AG52" s="139"/>
      <c r="AH52" s="139"/>
      <c r="AI52" s="139"/>
      <c r="AJ52" s="139"/>
      <c r="AK52" s="139"/>
    </row>
    <row r="53" ht="27.0" customHeight="1">
      <c r="A53" s="162">
        <v>25.0</v>
      </c>
      <c r="B53" s="193" t="s">
        <v>78</v>
      </c>
      <c r="C53" s="193">
        <v>92.0</v>
      </c>
      <c r="D53" s="193">
        <v>205.0</v>
      </c>
      <c r="E53" s="193">
        <v>210.0</v>
      </c>
      <c r="F53" s="193">
        <f t="shared" si="5"/>
        <v>0</v>
      </c>
      <c r="G53" s="193">
        <f t="shared" si="6"/>
        <v>99.015</v>
      </c>
      <c r="H53" s="194">
        <f t="shared" si="7"/>
        <v>99.015</v>
      </c>
      <c r="I53" s="193">
        <v>1.0</v>
      </c>
      <c r="J53" s="195">
        <f t="shared" si="8"/>
        <v>99.015</v>
      </c>
      <c r="K53" s="139"/>
      <c r="L53" s="178">
        <f t="shared" si="17"/>
        <v>5.207</v>
      </c>
      <c r="M53" s="162">
        <f t="shared" si="18"/>
        <v>1</v>
      </c>
      <c r="N53" s="162">
        <f t="shared" si="19"/>
        <v>5.207</v>
      </c>
      <c r="O53" s="139"/>
      <c r="P53" s="139"/>
      <c r="Q53" s="178">
        <v>105.0</v>
      </c>
      <c r="R53" s="190">
        <v>25.0</v>
      </c>
      <c r="S53" s="178">
        <f t="shared" si="9"/>
        <v>2.1</v>
      </c>
      <c r="T53" s="162">
        <f t="shared" si="10"/>
        <v>1</v>
      </c>
      <c r="U53" s="162">
        <f t="shared" si="11"/>
        <v>2.1</v>
      </c>
      <c r="V53" s="191">
        <f t="shared" si="12"/>
        <v>99.015</v>
      </c>
      <c r="W53" s="178">
        <f t="shared" ref="W53:X53" si="41">C53/100</f>
        <v>0.92</v>
      </c>
      <c r="X53" s="178">
        <f t="shared" si="41"/>
        <v>2.05</v>
      </c>
      <c r="Y53" s="178">
        <f t="shared" si="14"/>
        <v>2.1</v>
      </c>
      <c r="Z53" s="192">
        <f t="shared" si="15"/>
        <v>3.9606</v>
      </c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</row>
    <row r="54" ht="27.0" customHeight="1">
      <c r="A54" s="162">
        <v>26.0</v>
      </c>
      <c r="B54" s="193" t="s">
        <v>78</v>
      </c>
      <c r="C54" s="193">
        <v>102.0</v>
      </c>
      <c r="D54" s="193">
        <v>205.0</v>
      </c>
      <c r="E54" s="193">
        <v>2875.0</v>
      </c>
      <c r="F54" s="193">
        <f t="shared" si="5"/>
        <v>0</v>
      </c>
      <c r="G54" s="193">
        <f t="shared" si="6"/>
        <v>1502.90625</v>
      </c>
      <c r="H54" s="194">
        <f t="shared" si="7"/>
        <v>1502.90625</v>
      </c>
      <c r="I54" s="193">
        <v>1.0</v>
      </c>
      <c r="J54" s="195">
        <f t="shared" si="8"/>
        <v>1502.90625</v>
      </c>
      <c r="K54" s="139"/>
      <c r="L54" s="197"/>
      <c r="M54" s="198">
        <f t="shared" si="18"/>
        <v>1</v>
      </c>
      <c r="N54" s="198"/>
      <c r="O54" s="139"/>
      <c r="P54" s="139"/>
      <c r="Q54" s="178">
        <v>1525.0</v>
      </c>
      <c r="R54" s="190">
        <v>25.0</v>
      </c>
      <c r="S54" s="178">
        <f t="shared" si="9"/>
        <v>28.75</v>
      </c>
      <c r="T54" s="162">
        <f t="shared" si="10"/>
        <v>1</v>
      </c>
      <c r="U54" s="162">
        <f t="shared" si="11"/>
        <v>28.75</v>
      </c>
      <c r="V54" s="191">
        <f t="shared" si="12"/>
        <v>1502.90625</v>
      </c>
      <c r="W54" s="178">
        <f t="shared" ref="W54:X54" si="42">C54/100</f>
        <v>1.02</v>
      </c>
      <c r="X54" s="178">
        <f t="shared" si="42"/>
        <v>2.05</v>
      </c>
      <c r="Y54" s="178">
        <f t="shared" si="14"/>
        <v>28.75</v>
      </c>
      <c r="Z54" s="192">
        <f t="shared" si="15"/>
        <v>60.11625</v>
      </c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</row>
    <row r="55" ht="27.0" customHeight="1">
      <c r="A55" s="162">
        <v>27.0</v>
      </c>
      <c r="B55" s="193" t="s">
        <v>78</v>
      </c>
      <c r="C55" s="193">
        <v>101.0</v>
      </c>
      <c r="D55" s="193">
        <v>205.0</v>
      </c>
      <c r="E55" s="193">
        <v>2875.0</v>
      </c>
      <c r="F55" s="193">
        <f t="shared" si="5"/>
        <v>0</v>
      </c>
      <c r="G55" s="193">
        <f t="shared" si="6"/>
        <v>1488.171875</v>
      </c>
      <c r="H55" s="194">
        <f t="shared" si="7"/>
        <v>1488.171875</v>
      </c>
      <c r="I55" s="193">
        <v>1.0</v>
      </c>
      <c r="J55" s="195">
        <f t="shared" si="8"/>
        <v>1488.171875</v>
      </c>
      <c r="K55" s="139"/>
      <c r="L55" s="197"/>
      <c r="M55" s="198">
        <f t="shared" si="18"/>
        <v>1</v>
      </c>
      <c r="N55" s="198"/>
      <c r="O55" s="139"/>
      <c r="P55" s="139"/>
      <c r="Q55" s="178">
        <v>1500.0</v>
      </c>
      <c r="R55" s="190">
        <v>25.0</v>
      </c>
      <c r="S55" s="178">
        <f t="shared" si="9"/>
        <v>28.75</v>
      </c>
      <c r="T55" s="162">
        <f t="shared" si="10"/>
        <v>1</v>
      </c>
      <c r="U55" s="162">
        <f t="shared" si="11"/>
        <v>28.75</v>
      </c>
      <c r="V55" s="191">
        <f t="shared" si="12"/>
        <v>1488.171875</v>
      </c>
      <c r="W55" s="178">
        <f t="shared" ref="W55:X55" si="43">C55/100</f>
        <v>1.01</v>
      </c>
      <c r="X55" s="178">
        <f t="shared" si="43"/>
        <v>2.05</v>
      </c>
      <c r="Y55" s="178">
        <f t="shared" si="14"/>
        <v>28.75</v>
      </c>
      <c r="Z55" s="192">
        <f t="shared" si="15"/>
        <v>59.526875</v>
      </c>
      <c r="AA55" s="139"/>
      <c r="AB55" s="139"/>
      <c r="AC55" s="139"/>
      <c r="AD55" s="139"/>
      <c r="AE55" s="139"/>
      <c r="AF55" s="139"/>
      <c r="AG55" s="139"/>
      <c r="AH55" s="139"/>
      <c r="AI55" s="139"/>
      <c r="AJ55" s="139"/>
      <c r="AK55" s="139"/>
    </row>
    <row r="56" ht="27.0" customHeight="1">
      <c r="A56" s="162">
        <v>28.0</v>
      </c>
      <c r="B56" s="193" t="s">
        <v>78</v>
      </c>
      <c r="C56" s="193">
        <v>102.0</v>
      </c>
      <c r="D56" s="193">
        <v>205.0</v>
      </c>
      <c r="E56" s="193">
        <v>2714.0</v>
      </c>
      <c r="F56" s="193">
        <f t="shared" si="5"/>
        <v>0</v>
      </c>
      <c r="G56" s="193">
        <f t="shared" si="6"/>
        <v>1418.7435</v>
      </c>
      <c r="H56" s="194">
        <f t="shared" si="7"/>
        <v>1418.7435</v>
      </c>
      <c r="I56" s="193">
        <v>1.0</v>
      </c>
      <c r="J56" s="195">
        <f t="shared" si="8"/>
        <v>1418.7435</v>
      </c>
      <c r="K56" s="139"/>
      <c r="L56" s="197"/>
      <c r="M56" s="198">
        <f t="shared" si="18"/>
        <v>1</v>
      </c>
      <c r="N56" s="198"/>
      <c r="O56" s="139"/>
      <c r="P56" s="139"/>
      <c r="Q56" s="178">
        <v>1425.0</v>
      </c>
      <c r="R56" s="190">
        <v>25.0</v>
      </c>
      <c r="S56" s="178">
        <f t="shared" si="9"/>
        <v>27.14</v>
      </c>
      <c r="T56" s="162">
        <f t="shared" si="10"/>
        <v>1</v>
      </c>
      <c r="U56" s="162">
        <f t="shared" si="11"/>
        <v>27.14</v>
      </c>
      <c r="V56" s="191">
        <f t="shared" si="12"/>
        <v>1418.7435</v>
      </c>
      <c r="W56" s="178">
        <f t="shared" ref="W56:X56" si="44">C56/100</f>
        <v>1.02</v>
      </c>
      <c r="X56" s="178">
        <f t="shared" si="44"/>
        <v>2.05</v>
      </c>
      <c r="Y56" s="178">
        <f t="shared" si="14"/>
        <v>27.14</v>
      </c>
      <c r="Z56" s="192">
        <f t="shared" si="15"/>
        <v>56.74974</v>
      </c>
      <c r="AA56" s="139"/>
      <c r="AB56" s="139"/>
      <c r="AC56" s="139"/>
      <c r="AD56" s="139"/>
      <c r="AE56" s="139"/>
      <c r="AF56" s="139"/>
      <c r="AG56" s="139"/>
      <c r="AH56" s="139"/>
      <c r="AI56" s="139"/>
      <c r="AJ56" s="139"/>
      <c r="AK56" s="139"/>
    </row>
    <row r="57" ht="27.0" customHeight="1">
      <c r="A57" s="162">
        <v>29.0</v>
      </c>
      <c r="B57" s="193" t="s">
        <v>78</v>
      </c>
      <c r="C57" s="193">
        <v>103.0</v>
      </c>
      <c r="D57" s="193">
        <v>205.0</v>
      </c>
      <c r="E57" s="193">
        <v>2871.0</v>
      </c>
      <c r="F57" s="193">
        <f t="shared" si="5"/>
        <v>0</v>
      </c>
      <c r="G57" s="193">
        <f t="shared" si="6"/>
        <v>1515.529125</v>
      </c>
      <c r="H57" s="194">
        <f t="shared" si="7"/>
        <v>1515.529125</v>
      </c>
      <c r="I57" s="193">
        <v>1.0</v>
      </c>
      <c r="J57" s="195">
        <f t="shared" si="8"/>
        <v>1515.529125</v>
      </c>
      <c r="K57" s="139"/>
      <c r="L57" s="197"/>
      <c r="M57" s="198">
        <f t="shared" si="18"/>
        <v>1</v>
      </c>
      <c r="N57" s="198"/>
      <c r="O57" s="139"/>
      <c r="P57" s="139"/>
      <c r="Q57" s="178">
        <v>1505.0</v>
      </c>
      <c r="R57" s="190">
        <v>25.0</v>
      </c>
      <c r="S57" s="178">
        <f t="shared" si="9"/>
        <v>28.71</v>
      </c>
      <c r="T57" s="162">
        <f t="shared" si="10"/>
        <v>1</v>
      </c>
      <c r="U57" s="162">
        <f t="shared" si="11"/>
        <v>28.71</v>
      </c>
      <c r="V57" s="191">
        <f t="shared" si="12"/>
        <v>1515.529125</v>
      </c>
      <c r="W57" s="178">
        <f t="shared" ref="W57:X57" si="45">C57/100</f>
        <v>1.03</v>
      </c>
      <c r="X57" s="178">
        <f t="shared" si="45"/>
        <v>2.05</v>
      </c>
      <c r="Y57" s="178">
        <f t="shared" si="14"/>
        <v>28.71</v>
      </c>
      <c r="Z57" s="192">
        <f t="shared" si="15"/>
        <v>60.621165</v>
      </c>
      <c r="AA57" s="139"/>
      <c r="AB57" s="139"/>
      <c r="AC57" s="139"/>
      <c r="AD57" s="139"/>
      <c r="AE57" s="139"/>
      <c r="AF57" s="139"/>
      <c r="AG57" s="139"/>
      <c r="AH57" s="139"/>
      <c r="AI57" s="139"/>
      <c r="AJ57" s="139"/>
      <c r="AK57" s="139"/>
    </row>
    <row r="58" ht="27.0" customHeight="1">
      <c r="A58" s="162">
        <v>30.0</v>
      </c>
      <c r="B58" s="183" t="s">
        <v>63</v>
      </c>
      <c r="C58" s="184">
        <v>95.0</v>
      </c>
      <c r="D58" s="184">
        <v>205.0</v>
      </c>
      <c r="E58" s="184">
        <v>201.0</v>
      </c>
      <c r="F58" s="184">
        <f t="shared" si="5"/>
        <v>0.8</v>
      </c>
      <c r="G58" s="184">
        <f t="shared" si="6"/>
        <v>117.43425</v>
      </c>
      <c r="H58" s="185">
        <f t="shared" si="7"/>
        <v>93.9474</v>
      </c>
      <c r="I58" s="184">
        <v>1.0</v>
      </c>
      <c r="J58" s="186">
        <f t="shared" si="8"/>
        <v>93.9474</v>
      </c>
      <c r="K58" s="187"/>
      <c r="L58" s="188"/>
      <c r="M58" s="189">
        <f t="shared" si="18"/>
        <v>1</v>
      </c>
      <c r="N58" s="189"/>
      <c r="O58" s="187"/>
      <c r="P58" s="187"/>
      <c r="Q58" s="188">
        <v>118.0</v>
      </c>
      <c r="R58" s="190">
        <v>30.0</v>
      </c>
      <c r="S58" s="178">
        <f t="shared" si="9"/>
        <v>2.01</v>
      </c>
      <c r="T58" s="162">
        <f t="shared" si="10"/>
        <v>1</v>
      </c>
      <c r="U58" s="162">
        <f t="shared" si="11"/>
        <v>2.01</v>
      </c>
      <c r="V58" s="191">
        <f t="shared" si="12"/>
        <v>117.43425</v>
      </c>
      <c r="W58" s="178">
        <f t="shared" ref="W58:X58" si="46">C58/100</f>
        <v>0.95</v>
      </c>
      <c r="X58" s="178">
        <f t="shared" si="46"/>
        <v>2.05</v>
      </c>
      <c r="Y58" s="178">
        <f t="shared" si="14"/>
        <v>2.01</v>
      </c>
      <c r="Z58" s="192">
        <f t="shared" si="15"/>
        <v>3.914475</v>
      </c>
      <c r="AA58" s="139"/>
      <c r="AB58" s="139"/>
      <c r="AC58" s="139"/>
      <c r="AD58" s="139"/>
      <c r="AE58" s="139"/>
      <c r="AF58" s="139"/>
      <c r="AG58" s="139"/>
      <c r="AH58" s="139"/>
      <c r="AI58" s="139"/>
      <c r="AJ58" s="139"/>
      <c r="AK58" s="139"/>
    </row>
    <row r="59" ht="27.0" customHeight="1">
      <c r="A59" s="162">
        <v>31.0</v>
      </c>
      <c r="B59" s="193" t="s">
        <v>55</v>
      </c>
      <c r="C59" s="193">
        <v>98.0</v>
      </c>
      <c r="D59" s="193">
        <v>205.0</v>
      </c>
      <c r="E59" s="193">
        <v>200.0</v>
      </c>
      <c r="F59" s="193">
        <f t="shared" si="5"/>
        <v>0</v>
      </c>
      <c r="G59" s="193">
        <f t="shared" si="6"/>
        <v>120.54</v>
      </c>
      <c r="H59" s="194">
        <f t="shared" si="7"/>
        <v>120.54</v>
      </c>
      <c r="I59" s="193">
        <v>1.0</v>
      </c>
      <c r="J59" s="195">
        <f t="shared" si="8"/>
        <v>120.54</v>
      </c>
      <c r="K59" s="139"/>
      <c r="L59" s="197"/>
      <c r="M59" s="198">
        <f t="shared" si="18"/>
        <v>1</v>
      </c>
      <c r="N59" s="198"/>
      <c r="O59" s="139"/>
      <c r="P59" s="139"/>
      <c r="Q59" s="178">
        <v>121.0</v>
      </c>
      <c r="R59" s="190">
        <v>30.0</v>
      </c>
      <c r="S59" s="178">
        <f t="shared" si="9"/>
        <v>2</v>
      </c>
      <c r="T59" s="162">
        <f t="shared" si="10"/>
        <v>1</v>
      </c>
      <c r="U59" s="162">
        <f t="shared" si="11"/>
        <v>2</v>
      </c>
      <c r="V59" s="191">
        <f t="shared" si="12"/>
        <v>120.54</v>
      </c>
      <c r="W59" s="178">
        <f t="shared" ref="W59:X59" si="47">C59/100</f>
        <v>0.98</v>
      </c>
      <c r="X59" s="178">
        <f t="shared" si="47"/>
        <v>2.05</v>
      </c>
      <c r="Y59" s="178">
        <f t="shared" si="14"/>
        <v>2</v>
      </c>
      <c r="Z59" s="192">
        <f t="shared" si="15"/>
        <v>4.018</v>
      </c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</row>
    <row r="60" ht="27.0" customHeight="1">
      <c r="A60" s="162">
        <v>32.0</v>
      </c>
      <c r="B60" s="193" t="s">
        <v>55</v>
      </c>
      <c r="C60" s="193">
        <v>98.0</v>
      </c>
      <c r="D60" s="193">
        <v>205.0</v>
      </c>
      <c r="E60" s="193">
        <v>2668.0</v>
      </c>
      <c r="F60" s="193">
        <f t="shared" si="5"/>
        <v>0</v>
      </c>
      <c r="G60" s="193">
        <f t="shared" si="6"/>
        <v>1608.0036</v>
      </c>
      <c r="H60" s="194">
        <f t="shared" si="7"/>
        <v>1608.0036</v>
      </c>
      <c r="I60" s="193">
        <v>1.0</v>
      </c>
      <c r="J60" s="195">
        <f t="shared" si="8"/>
        <v>1608.0036</v>
      </c>
      <c r="K60" s="139"/>
      <c r="L60" s="197"/>
      <c r="M60" s="198">
        <f t="shared" si="18"/>
        <v>1</v>
      </c>
      <c r="N60" s="198"/>
      <c r="O60" s="139"/>
      <c r="P60" s="139"/>
      <c r="Q60" s="178">
        <v>1625.0</v>
      </c>
      <c r="R60" s="190">
        <v>30.0</v>
      </c>
      <c r="S60" s="178">
        <f t="shared" si="9"/>
        <v>26.68</v>
      </c>
      <c r="T60" s="162">
        <f t="shared" si="10"/>
        <v>1</v>
      </c>
      <c r="U60" s="162">
        <f t="shared" si="11"/>
        <v>26.68</v>
      </c>
      <c r="V60" s="191">
        <f t="shared" si="12"/>
        <v>1608.0036</v>
      </c>
      <c r="W60" s="178">
        <f t="shared" ref="W60:X60" si="48">C60/100</f>
        <v>0.98</v>
      </c>
      <c r="X60" s="178">
        <f t="shared" si="48"/>
        <v>2.05</v>
      </c>
      <c r="Y60" s="178">
        <f t="shared" si="14"/>
        <v>26.68</v>
      </c>
      <c r="Z60" s="192">
        <f t="shared" si="15"/>
        <v>53.60012</v>
      </c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</row>
    <row r="61" ht="27.0" customHeight="1">
      <c r="A61" s="162">
        <v>33.0</v>
      </c>
      <c r="B61" s="193" t="s">
        <v>55</v>
      </c>
      <c r="C61" s="193">
        <v>98.0</v>
      </c>
      <c r="D61" s="193">
        <v>205.0</v>
      </c>
      <c r="E61" s="193">
        <v>2877.0</v>
      </c>
      <c r="F61" s="193">
        <f t="shared" si="5"/>
        <v>0</v>
      </c>
      <c r="G61" s="193">
        <f t="shared" si="6"/>
        <v>1733.9679</v>
      </c>
      <c r="H61" s="194">
        <f t="shared" si="7"/>
        <v>1733.9679</v>
      </c>
      <c r="I61" s="193">
        <v>1.0</v>
      </c>
      <c r="J61" s="195">
        <f t="shared" si="8"/>
        <v>1733.9679</v>
      </c>
      <c r="K61" s="139"/>
      <c r="L61" s="197"/>
      <c r="M61" s="198">
        <f t="shared" si="18"/>
        <v>1</v>
      </c>
      <c r="N61" s="198"/>
      <c r="O61" s="139"/>
      <c r="P61" s="139"/>
      <c r="Q61" s="178">
        <v>1765.0</v>
      </c>
      <c r="R61" s="190">
        <v>30.0</v>
      </c>
      <c r="S61" s="178">
        <f t="shared" si="9"/>
        <v>28.77</v>
      </c>
      <c r="T61" s="162">
        <f t="shared" si="10"/>
        <v>1</v>
      </c>
      <c r="U61" s="162">
        <f t="shared" si="11"/>
        <v>28.77</v>
      </c>
      <c r="V61" s="191">
        <f t="shared" si="12"/>
        <v>1733.9679</v>
      </c>
      <c r="W61" s="178">
        <f t="shared" ref="W61:X61" si="49">C61/100</f>
        <v>0.98</v>
      </c>
      <c r="X61" s="178">
        <f t="shared" si="49"/>
        <v>2.05</v>
      </c>
      <c r="Y61" s="178">
        <f t="shared" si="14"/>
        <v>28.77</v>
      </c>
      <c r="Z61" s="192">
        <f t="shared" si="15"/>
        <v>57.79893</v>
      </c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</row>
    <row r="62" ht="27.0" customHeight="1">
      <c r="A62" s="162">
        <v>34.0</v>
      </c>
      <c r="B62" s="183" t="s">
        <v>97</v>
      </c>
      <c r="C62" s="184">
        <v>78.0</v>
      </c>
      <c r="D62" s="184">
        <v>205.0</v>
      </c>
      <c r="E62" s="184">
        <v>189.0</v>
      </c>
      <c r="F62" s="184">
        <f t="shared" si="5"/>
        <v>0.8</v>
      </c>
      <c r="G62" s="184">
        <f t="shared" si="6"/>
        <v>66.48642</v>
      </c>
      <c r="H62" s="185">
        <f t="shared" si="7"/>
        <v>53.189136</v>
      </c>
      <c r="I62" s="184">
        <v>1.0</v>
      </c>
      <c r="J62" s="186">
        <f t="shared" si="8"/>
        <v>53.189136</v>
      </c>
      <c r="K62" s="187"/>
      <c r="L62" s="188"/>
      <c r="M62" s="189">
        <f t="shared" si="18"/>
        <v>1</v>
      </c>
      <c r="N62" s="189"/>
      <c r="O62" s="187"/>
      <c r="P62" s="187"/>
      <c r="Q62" s="188">
        <v>71.0</v>
      </c>
      <c r="R62" s="190">
        <v>22.0</v>
      </c>
      <c r="S62" s="178">
        <f t="shared" si="9"/>
        <v>1.89</v>
      </c>
      <c r="T62" s="162">
        <f t="shared" si="10"/>
        <v>1</v>
      </c>
      <c r="U62" s="162">
        <f t="shared" si="11"/>
        <v>1.89</v>
      </c>
      <c r="V62" s="191">
        <f t="shared" si="12"/>
        <v>66.48642</v>
      </c>
      <c r="W62" s="178">
        <f t="shared" ref="W62:X62" si="50">C62/100</f>
        <v>0.78</v>
      </c>
      <c r="X62" s="178">
        <f t="shared" si="50"/>
        <v>2.05</v>
      </c>
      <c r="Y62" s="178">
        <f t="shared" si="14"/>
        <v>1.89</v>
      </c>
      <c r="Z62" s="192">
        <f t="shared" si="15"/>
        <v>3.02211</v>
      </c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</row>
    <row r="63" ht="27.0" customHeight="1">
      <c r="A63" s="162">
        <v>35.0</v>
      </c>
      <c r="B63" s="193" t="s">
        <v>91</v>
      </c>
      <c r="C63" s="193">
        <v>87.0</v>
      </c>
      <c r="D63" s="193">
        <v>205.0</v>
      </c>
      <c r="E63" s="193">
        <v>215.0</v>
      </c>
      <c r="F63" s="193">
        <f t="shared" si="5"/>
        <v>0</v>
      </c>
      <c r="G63" s="193">
        <f t="shared" si="6"/>
        <v>84.35955</v>
      </c>
      <c r="H63" s="194">
        <f t="shared" si="7"/>
        <v>84.35955</v>
      </c>
      <c r="I63" s="193">
        <v>1.0</v>
      </c>
      <c r="J63" s="195">
        <f t="shared" si="8"/>
        <v>84.35955</v>
      </c>
      <c r="K63" s="139"/>
      <c r="L63" s="197"/>
      <c r="M63" s="198">
        <f t="shared" si="18"/>
        <v>1</v>
      </c>
      <c r="N63" s="198"/>
      <c r="O63" s="139"/>
      <c r="P63" s="139"/>
      <c r="Q63" s="178">
        <v>86.0</v>
      </c>
      <c r="R63" s="190">
        <v>22.0</v>
      </c>
      <c r="S63" s="178">
        <f t="shared" si="9"/>
        <v>2.15</v>
      </c>
      <c r="T63" s="162">
        <f t="shared" si="10"/>
        <v>1</v>
      </c>
      <c r="U63" s="162">
        <f t="shared" si="11"/>
        <v>2.15</v>
      </c>
      <c r="V63" s="191">
        <f t="shared" si="12"/>
        <v>84.35955</v>
      </c>
      <c r="W63" s="178">
        <f t="shared" ref="W63:X63" si="51">C63/100</f>
        <v>0.87</v>
      </c>
      <c r="X63" s="178">
        <f t="shared" si="51"/>
        <v>2.05</v>
      </c>
      <c r="Y63" s="178">
        <f t="shared" si="14"/>
        <v>2.15</v>
      </c>
      <c r="Z63" s="192">
        <f t="shared" si="15"/>
        <v>3.834525</v>
      </c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</row>
    <row r="64" ht="27.0" customHeight="1">
      <c r="A64" s="162">
        <v>36.0</v>
      </c>
      <c r="B64" s="193" t="s">
        <v>91</v>
      </c>
      <c r="C64" s="193">
        <v>98.0</v>
      </c>
      <c r="D64" s="193">
        <v>205.0</v>
      </c>
      <c r="E64" s="193">
        <v>2873.0</v>
      </c>
      <c r="F64" s="193">
        <f t="shared" si="5"/>
        <v>0</v>
      </c>
      <c r="G64" s="193">
        <f t="shared" si="6"/>
        <v>1269.80854</v>
      </c>
      <c r="H64" s="194">
        <f t="shared" si="7"/>
        <v>1269.80854</v>
      </c>
      <c r="I64" s="193">
        <v>1.0</v>
      </c>
      <c r="J64" s="195">
        <f t="shared" si="8"/>
        <v>1269.80854</v>
      </c>
      <c r="K64" s="139"/>
      <c r="L64" s="197"/>
      <c r="M64" s="198">
        <f t="shared" si="18"/>
        <v>1</v>
      </c>
      <c r="N64" s="198"/>
      <c r="O64" s="139"/>
      <c r="P64" s="139"/>
      <c r="Q64" s="178">
        <v>1280.0</v>
      </c>
      <c r="R64" s="190">
        <v>22.0</v>
      </c>
      <c r="S64" s="178">
        <f t="shared" si="9"/>
        <v>28.73</v>
      </c>
      <c r="T64" s="162">
        <f t="shared" si="10"/>
        <v>1</v>
      </c>
      <c r="U64" s="162">
        <f t="shared" si="11"/>
        <v>28.73</v>
      </c>
      <c r="V64" s="191">
        <f t="shared" si="12"/>
        <v>1269.80854</v>
      </c>
      <c r="W64" s="178">
        <f t="shared" ref="W64:X64" si="52">C64/100</f>
        <v>0.98</v>
      </c>
      <c r="X64" s="178">
        <f t="shared" si="52"/>
        <v>2.05</v>
      </c>
      <c r="Y64" s="178">
        <f t="shared" si="14"/>
        <v>28.73</v>
      </c>
      <c r="Z64" s="192">
        <f t="shared" si="15"/>
        <v>57.71857</v>
      </c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</row>
    <row r="65" ht="27.0" customHeight="1">
      <c r="A65" s="162">
        <v>37.0</v>
      </c>
      <c r="B65" s="193" t="s">
        <v>91</v>
      </c>
      <c r="C65" s="193">
        <v>98.0</v>
      </c>
      <c r="D65" s="193">
        <v>205.0</v>
      </c>
      <c r="E65" s="193">
        <v>2709.0</v>
      </c>
      <c r="F65" s="193">
        <f t="shared" si="5"/>
        <v>0</v>
      </c>
      <c r="G65" s="193">
        <f t="shared" si="6"/>
        <v>1197.32382</v>
      </c>
      <c r="H65" s="194">
        <f t="shared" si="7"/>
        <v>1197.32382</v>
      </c>
      <c r="I65" s="193">
        <v>1.0</v>
      </c>
      <c r="J65" s="195">
        <f t="shared" si="8"/>
        <v>1197.32382</v>
      </c>
      <c r="K65" s="139"/>
      <c r="L65" s="197"/>
      <c r="M65" s="198">
        <f t="shared" si="18"/>
        <v>1</v>
      </c>
      <c r="N65" s="198"/>
      <c r="O65" s="139"/>
      <c r="P65" s="139"/>
      <c r="Q65" s="178">
        <v>1200.0</v>
      </c>
      <c r="R65" s="190">
        <v>22.0</v>
      </c>
      <c r="S65" s="178">
        <f t="shared" si="9"/>
        <v>27.09</v>
      </c>
      <c r="T65" s="162">
        <f t="shared" si="10"/>
        <v>1</v>
      </c>
      <c r="U65" s="162">
        <f t="shared" si="11"/>
        <v>27.09</v>
      </c>
      <c r="V65" s="191">
        <f t="shared" si="12"/>
        <v>1197.32382</v>
      </c>
      <c r="W65" s="178">
        <f t="shared" ref="W65:X65" si="53">C65/100</f>
        <v>0.98</v>
      </c>
      <c r="X65" s="178">
        <f t="shared" si="53"/>
        <v>2.05</v>
      </c>
      <c r="Y65" s="178">
        <f t="shared" si="14"/>
        <v>27.09</v>
      </c>
      <c r="Z65" s="192">
        <f t="shared" si="15"/>
        <v>54.42381</v>
      </c>
      <c r="AA65" s="139"/>
      <c r="AB65" s="139"/>
      <c r="AC65" s="139"/>
      <c r="AD65" s="139"/>
      <c r="AE65" s="139"/>
      <c r="AF65" s="139"/>
      <c r="AG65" s="139"/>
      <c r="AH65" s="139"/>
      <c r="AI65" s="139"/>
      <c r="AJ65" s="139"/>
      <c r="AK65" s="139"/>
    </row>
    <row r="66" ht="27.0" hidden="1" customHeight="1">
      <c r="A66" s="162">
        <v>101.0</v>
      </c>
      <c r="B66" s="193"/>
      <c r="C66" s="193"/>
      <c r="D66" s="193"/>
      <c r="E66" s="193"/>
      <c r="F66" s="193">
        <f t="shared" si="5"/>
        <v>0</v>
      </c>
      <c r="G66" s="193">
        <f t="shared" si="6"/>
        <v>0</v>
      </c>
      <c r="H66" s="194">
        <f t="shared" si="7"/>
        <v>0</v>
      </c>
      <c r="I66" s="193"/>
      <c r="J66" s="195">
        <f t="shared" si="8"/>
        <v>0</v>
      </c>
      <c r="K66" s="139"/>
      <c r="L66" s="197"/>
      <c r="M66" s="198"/>
      <c r="N66" s="198"/>
      <c r="O66" s="139"/>
      <c r="P66" s="139"/>
      <c r="Q66" s="195"/>
      <c r="R66" s="141"/>
      <c r="S66" s="199">
        <f t="shared" si="9"/>
        <v>0</v>
      </c>
      <c r="T66" s="200" t="str">
        <f t="shared" si="10"/>
        <v/>
      </c>
      <c r="U66" s="200">
        <f t="shared" si="11"/>
        <v>0</v>
      </c>
      <c r="V66" s="203"/>
      <c r="W66" s="199">
        <f t="shared" ref="W66:X66" si="54">C66/100</f>
        <v>0</v>
      </c>
      <c r="X66" s="199">
        <f t="shared" si="54"/>
        <v>0</v>
      </c>
      <c r="Y66" s="199">
        <f t="shared" si="14"/>
        <v>0</v>
      </c>
      <c r="Z66" s="202">
        <f t="shared" si="15"/>
        <v>0</v>
      </c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</row>
    <row r="67" ht="27.0" hidden="1" customHeight="1">
      <c r="A67" s="162">
        <v>102.0</v>
      </c>
      <c r="B67" s="193"/>
      <c r="C67" s="193"/>
      <c r="D67" s="193"/>
      <c r="E67" s="193"/>
      <c r="F67" s="193">
        <f t="shared" si="5"/>
        <v>0</v>
      </c>
      <c r="G67" s="193">
        <f t="shared" si="6"/>
        <v>0</v>
      </c>
      <c r="H67" s="194">
        <f t="shared" si="7"/>
        <v>0</v>
      </c>
      <c r="I67" s="193"/>
      <c r="J67" s="195">
        <f t="shared" si="8"/>
        <v>0</v>
      </c>
      <c r="K67" s="139"/>
      <c r="L67" s="197"/>
      <c r="M67" s="198"/>
      <c r="N67" s="198"/>
      <c r="O67" s="139"/>
      <c r="P67" s="139"/>
      <c r="Q67" s="195"/>
      <c r="R67" s="141"/>
      <c r="S67" s="199">
        <f t="shared" si="9"/>
        <v>0</v>
      </c>
      <c r="T67" s="200" t="str">
        <f t="shared" si="10"/>
        <v/>
      </c>
      <c r="U67" s="200">
        <f t="shared" si="11"/>
        <v>0</v>
      </c>
      <c r="V67" s="203"/>
      <c r="W67" s="199">
        <f t="shared" ref="W67:X67" si="55">C67/100</f>
        <v>0</v>
      </c>
      <c r="X67" s="199">
        <f t="shared" si="55"/>
        <v>0</v>
      </c>
      <c r="Y67" s="199">
        <f t="shared" si="14"/>
        <v>0</v>
      </c>
      <c r="Z67" s="202">
        <f t="shared" si="15"/>
        <v>0</v>
      </c>
      <c r="AA67" s="139"/>
      <c r="AB67" s="139"/>
      <c r="AC67" s="139"/>
      <c r="AD67" s="139"/>
      <c r="AE67" s="139"/>
      <c r="AF67" s="139"/>
      <c r="AG67" s="139"/>
      <c r="AH67" s="139"/>
      <c r="AI67" s="139"/>
      <c r="AJ67" s="139"/>
      <c r="AK67" s="139"/>
    </row>
    <row r="68" ht="27.0" hidden="1" customHeight="1">
      <c r="A68" s="162">
        <v>103.0</v>
      </c>
      <c r="B68" s="193"/>
      <c r="C68" s="193"/>
      <c r="D68" s="193"/>
      <c r="E68" s="193"/>
      <c r="F68" s="193">
        <f t="shared" si="5"/>
        <v>0</v>
      </c>
      <c r="G68" s="193">
        <f t="shared" si="6"/>
        <v>0</v>
      </c>
      <c r="H68" s="194">
        <f t="shared" si="7"/>
        <v>0</v>
      </c>
      <c r="I68" s="193"/>
      <c r="J68" s="195">
        <f t="shared" si="8"/>
        <v>0</v>
      </c>
      <c r="K68" s="139"/>
      <c r="L68" s="197"/>
      <c r="M68" s="198"/>
      <c r="N68" s="198"/>
      <c r="O68" s="139"/>
      <c r="P68" s="139"/>
      <c r="Q68" s="195"/>
      <c r="R68" s="141"/>
      <c r="S68" s="199">
        <f t="shared" si="9"/>
        <v>0</v>
      </c>
      <c r="T68" s="200" t="str">
        <f t="shared" si="10"/>
        <v/>
      </c>
      <c r="U68" s="200">
        <f t="shared" si="11"/>
        <v>0</v>
      </c>
      <c r="V68" s="203"/>
      <c r="W68" s="199">
        <f t="shared" ref="W68:X68" si="56">C68/100</f>
        <v>0</v>
      </c>
      <c r="X68" s="199">
        <f t="shared" si="56"/>
        <v>0</v>
      </c>
      <c r="Y68" s="199">
        <f t="shared" si="14"/>
        <v>0</v>
      </c>
      <c r="Z68" s="202">
        <f t="shared" si="15"/>
        <v>0</v>
      </c>
      <c r="AA68" s="139"/>
      <c r="AB68" s="139"/>
      <c r="AC68" s="139"/>
      <c r="AD68" s="139"/>
      <c r="AE68" s="139"/>
      <c r="AF68" s="139"/>
      <c r="AG68" s="139"/>
      <c r="AH68" s="139"/>
      <c r="AI68" s="139"/>
      <c r="AJ68" s="139"/>
      <c r="AK68" s="139"/>
    </row>
    <row r="69" ht="27.0" hidden="1" customHeight="1">
      <c r="A69" s="162">
        <v>104.0</v>
      </c>
      <c r="B69" s="193"/>
      <c r="C69" s="193"/>
      <c r="D69" s="193"/>
      <c r="E69" s="193"/>
      <c r="F69" s="193">
        <f t="shared" si="5"/>
        <v>0</v>
      </c>
      <c r="G69" s="193">
        <f t="shared" si="6"/>
        <v>0</v>
      </c>
      <c r="H69" s="194">
        <f t="shared" si="7"/>
        <v>0</v>
      </c>
      <c r="I69" s="193"/>
      <c r="J69" s="195">
        <f t="shared" si="8"/>
        <v>0</v>
      </c>
      <c r="K69" s="139"/>
      <c r="L69" s="197"/>
      <c r="M69" s="198"/>
      <c r="N69" s="198"/>
      <c r="O69" s="139"/>
      <c r="P69" s="139"/>
      <c r="Q69" s="195"/>
      <c r="R69" s="141"/>
      <c r="S69" s="199">
        <f t="shared" si="9"/>
        <v>0</v>
      </c>
      <c r="T69" s="200" t="str">
        <f t="shared" si="10"/>
        <v/>
      </c>
      <c r="U69" s="200">
        <f t="shared" si="11"/>
        <v>0</v>
      </c>
      <c r="V69" s="203"/>
      <c r="W69" s="199">
        <f t="shared" ref="W69:X69" si="57">C69/100</f>
        <v>0</v>
      </c>
      <c r="X69" s="199">
        <f t="shared" si="57"/>
        <v>0</v>
      </c>
      <c r="Y69" s="199">
        <f t="shared" si="14"/>
        <v>0</v>
      </c>
      <c r="Z69" s="202">
        <f t="shared" si="15"/>
        <v>0</v>
      </c>
      <c r="AA69" s="139"/>
      <c r="AB69" s="139"/>
      <c r="AC69" s="139"/>
      <c r="AD69" s="139"/>
      <c r="AE69" s="139"/>
      <c r="AF69" s="139"/>
      <c r="AG69" s="139"/>
      <c r="AH69" s="139"/>
      <c r="AI69" s="139"/>
      <c r="AJ69" s="139"/>
      <c r="AK69" s="139"/>
    </row>
    <row r="70" ht="27.0" hidden="1" customHeight="1">
      <c r="A70" s="162">
        <v>105.0</v>
      </c>
      <c r="B70" s="193"/>
      <c r="C70" s="193"/>
      <c r="D70" s="193"/>
      <c r="E70" s="193"/>
      <c r="F70" s="193">
        <f t="shared" si="5"/>
        <v>0</v>
      </c>
      <c r="G70" s="193">
        <f t="shared" si="6"/>
        <v>0</v>
      </c>
      <c r="H70" s="194">
        <f t="shared" si="7"/>
        <v>0</v>
      </c>
      <c r="I70" s="193"/>
      <c r="J70" s="195">
        <f t="shared" si="8"/>
        <v>0</v>
      </c>
      <c r="K70" s="139"/>
      <c r="L70" s="197"/>
      <c r="M70" s="198"/>
      <c r="N70" s="198"/>
      <c r="O70" s="139"/>
      <c r="P70" s="139"/>
      <c r="Q70" s="195"/>
      <c r="R70" s="141"/>
      <c r="S70" s="199">
        <f t="shared" si="9"/>
        <v>0</v>
      </c>
      <c r="T70" s="200" t="str">
        <f t="shared" si="10"/>
        <v/>
      </c>
      <c r="U70" s="200">
        <f t="shared" si="11"/>
        <v>0</v>
      </c>
      <c r="V70" s="203"/>
      <c r="W70" s="199">
        <f t="shared" ref="W70:X70" si="58">C70/100</f>
        <v>0</v>
      </c>
      <c r="X70" s="199">
        <f t="shared" si="58"/>
        <v>0</v>
      </c>
      <c r="Y70" s="199">
        <f t="shared" si="14"/>
        <v>0</v>
      </c>
      <c r="Z70" s="202">
        <f t="shared" si="15"/>
        <v>0</v>
      </c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</row>
    <row r="71" ht="27.0" hidden="1" customHeight="1">
      <c r="A71" s="162">
        <v>106.0</v>
      </c>
      <c r="B71" s="193"/>
      <c r="C71" s="193"/>
      <c r="D71" s="193"/>
      <c r="E71" s="193"/>
      <c r="F71" s="193">
        <f t="shared" si="5"/>
        <v>0</v>
      </c>
      <c r="G71" s="193">
        <f t="shared" si="6"/>
        <v>0</v>
      </c>
      <c r="H71" s="194">
        <f t="shared" si="7"/>
        <v>0</v>
      </c>
      <c r="I71" s="193"/>
      <c r="J71" s="195">
        <f t="shared" si="8"/>
        <v>0</v>
      </c>
      <c r="K71" s="139"/>
      <c r="L71" s="197"/>
      <c r="M71" s="198"/>
      <c r="N71" s="198"/>
      <c r="O71" s="139"/>
      <c r="P71" s="139"/>
      <c r="Q71" s="195"/>
      <c r="R71" s="141"/>
      <c r="S71" s="199">
        <f t="shared" si="9"/>
        <v>0</v>
      </c>
      <c r="T71" s="200" t="str">
        <f t="shared" si="10"/>
        <v/>
      </c>
      <c r="U71" s="200">
        <f t="shared" si="11"/>
        <v>0</v>
      </c>
      <c r="V71" s="203"/>
      <c r="W71" s="199">
        <f t="shared" ref="W71:X71" si="59">C71/100</f>
        <v>0</v>
      </c>
      <c r="X71" s="199">
        <f t="shared" si="59"/>
        <v>0</v>
      </c>
      <c r="Y71" s="199">
        <f t="shared" si="14"/>
        <v>0</v>
      </c>
      <c r="Z71" s="202">
        <f t="shared" si="15"/>
        <v>0</v>
      </c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</row>
    <row r="72" ht="27.0" hidden="1" customHeight="1">
      <c r="A72" s="162">
        <v>107.0</v>
      </c>
      <c r="B72" s="193"/>
      <c r="C72" s="193"/>
      <c r="D72" s="193"/>
      <c r="E72" s="193"/>
      <c r="F72" s="193">
        <f t="shared" si="5"/>
        <v>0</v>
      </c>
      <c r="G72" s="193">
        <f t="shared" si="6"/>
        <v>0</v>
      </c>
      <c r="H72" s="194">
        <f t="shared" si="7"/>
        <v>0</v>
      </c>
      <c r="I72" s="193"/>
      <c r="J72" s="195">
        <f t="shared" si="8"/>
        <v>0</v>
      </c>
      <c r="K72" s="139"/>
      <c r="L72" s="197"/>
      <c r="M72" s="198"/>
      <c r="N72" s="198"/>
      <c r="O72" s="139"/>
      <c r="P72" s="139"/>
      <c r="Q72" s="195"/>
      <c r="R72" s="141"/>
      <c r="S72" s="199">
        <f t="shared" si="9"/>
        <v>0</v>
      </c>
      <c r="T72" s="200" t="str">
        <f t="shared" si="10"/>
        <v/>
      </c>
      <c r="U72" s="200">
        <f t="shared" si="11"/>
        <v>0</v>
      </c>
      <c r="V72" s="203"/>
      <c r="W72" s="199">
        <f t="shared" ref="W72:X72" si="60">C72/100</f>
        <v>0</v>
      </c>
      <c r="X72" s="199">
        <f t="shared" si="60"/>
        <v>0</v>
      </c>
      <c r="Y72" s="199">
        <f t="shared" si="14"/>
        <v>0</v>
      </c>
      <c r="Z72" s="202">
        <f t="shared" si="15"/>
        <v>0</v>
      </c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</row>
    <row r="73" ht="27.0" hidden="1" customHeight="1">
      <c r="A73" s="162">
        <v>108.0</v>
      </c>
      <c r="B73" s="193"/>
      <c r="C73" s="193"/>
      <c r="D73" s="193"/>
      <c r="E73" s="193"/>
      <c r="F73" s="193">
        <f t="shared" si="5"/>
        <v>0</v>
      </c>
      <c r="G73" s="193">
        <f t="shared" si="6"/>
        <v>0</v>
      </c>
      <c r="H73" s="194">
        <f t="shared" si="7"/>
        <v>0</v>
      </c>
      <c r="I73" s="193"/>
      <c r="J73" s="195">
        <f t="shared" si="8"/>
        <v>0</v>
      </c>
      <c r="K73" s="139"/>
      <c r="L73" s="197"/>
      <c r="M73" s="198"/>
      <c r="N73" s="198"/>
      <c r="O73" s="139"/>
      <c r="P73" s="139"/>
      <c r="Q73" s="195"/>
      <c r="R73" s="141"/>
      <c r="S73" s="199">
        <f t="shared" si="9"/>
        <v>0</v>
      </c>
      <c r="T73" s="200" t="str">
        <f t="shared" si="10"/>
        <v/>
      </c>
      <c r="U73" s="200">
        <f t="shared" si="11"/>
        <v>0</v>
      </c>
      <c r="V73" s="203"/>
      <c r="W73" s="199">
        <f t="shared" ref="W73:X73" si="61">C73/100</f>
        <v>0</v>
      </c>
      <c r="X73" s="199">
        <f t="shared" si="61"/>
        <v>0</v>
      </c>
      <c r="Y73" s="199">
        <f t="shared" si="14"/>
        <v>0</v>
      </c>
      <c r="Z73" s="202">
        <f t="shared" si="15"/>
        <v>0</v>
      </c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</row>
    <row r="74" ht="27.0" hidden="1" customHeight="1">
      <c r="A74" s="162">
        <v>109.0</v>
      </c>
      <c r="B74" s="193"/>
      <c r="C74" s="193"/>
      <c r="D74" s="193"/>
      <c r="E74" s="193"/>
      <c r="F74" s="193">
        <f t="shared" si="5"/>
        <v>0</v>
      </c>
      <c r="G74" s="193">
        <f t="shared" si="6"/>
        <v>0</v>
      </c>
      <c r="H74" s="194">
        <f t="shared" si="7"/>
        <v>0</v>
      </c>
      <c r="I74" s="193"/>
      <c r="J74" s="195">
        <f t="shared" si="8"/>
        <v>0</v>
      </c>
      <c r="K74" s="139"/>
      <c r="L74" s="197"/>
      <c r="M74" s="198"/>
      <c r="N74" s="198"/>
      <c r="O74" s="139"/>
      <c r="P74" s="139"/>
      <c r="Q74" s="195"/>
      <c r="R74" s="141"/>
      <c r="S74" s="199">
        <f t="shared" si="9"/>
        <v>0</v>
      </c>
      <c r="T74" s="200" t="str">
        <f t="shared" si="10"/>
        <v/>
      </c>
      <c r="U74" s="200">
        <f t="shared" si="11"/>
        <v>0</v>
      </c>
      <c r="V74" s="203"/>
      <c r="W74" s="199">
        <f t="shared" ref="W74:X74" si="62">C74/100</f>
        <v>0</v>
      </c>
      <c r="X74" s="199">
        <f t="shared" si="62"/>
        <v>0</v>
      </c>
      <c r="Y74" s="199">
        <f t="shared" si="14"/>
        <v>0</v>
      </c>
      <c r="Z74" s="202">
        <f t="shared" si="15"/>
        <v>0</v>
      </c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</row>
    <row r="75" ht="27.0" hidden="1" customHeight="1">
      <c r="A75" s="162">
        <v>110.0</v>
      </c>
      <c r="B75" s="193"/>
      <c r="C75" s="193"/>
      <c r="D75" s="193"/>
      <c r="E75" s="193"/>
      <c r="F75" s="193">
        <f t="shared" si="5"/>
        <v>0</v>
      </c>
      <c r="G75" s="193">
        <f t="shared" si="6"/>
        <v>0</v>
      </c>
      <c r="H75" s="194">
        <f t="shared" si="7"/>
        <v>0</v>
      </c>
      <c r="I75" s="193"/>
      <c r="J75" s="195">
        <f t="shared" si="8"/>
        <v>0</v>
      </c>
      <c r="K75" s="139"/>
      <c r="L75" s="197"/>
      <c r="M75" s="198"/>
      <c r="N75" s="198"/>
      <c r="O75" s="139"/>
      <c r="P75" s="139"/>
      <c r="Q75" s="195"/>
      <c r="R75" s="141"/>
      <c r="S75" s="199">
        <f t="shared" si="9"/>
        <v>0</v>
      </c>
      <c r="T75" s="200" t="str">
        <f t="shared" si="10"/>
        <v/>
      </c>
      <c r="U75" s="200">
        <f t="shared" si="11"/>
        <v>0</v>
      </c>
      <c r="V75" s="203"/>
      <c r="W75" s="199">
        <f t="shared" ref="W75:X75" si="63">C75/100</f>
        <v>0</v>
      </c>
      <c r="X75" s="199">
        <f t="shared" si="63"/>
        <v>0</v>
      </c>
      <c r="Y75" s="199">
        <f t="shared" si="14"/>
        <v>0</v>
      </c>
      <c r="Z75" s="202">
        <f t="shared" si="15"/>
        <v>0</v>
      </c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</row>
    <row r="76" ht="27.0" hidden="1" customHeight="1">
      <c r="A76" s="162">
        <v>111.0</v>
      </c>
      <c r="B76" s="193"/>
      <c r="C76" s="193"/>
      <c r="D76" s="193"/>
      <c r="E76" s="193"/>
      <c r="F76" s="193">
        <f t="shared" si="5"/>
        <v>0</v>
      </c>
      <c r="G76" s="193">
        <f t="shared" si="6"/>
        <v>0</v>
      </c>
      <c r="H76" s="194">
        <f t="shared" si="7"/>
        <v>0</v>
      </c>
      <c r="I76" s="193"/>
      <c r="J76" s="195">
        <f t="shared" si="8"/>
        <v>0</v>
      </c>
      <c r="K76" s="139"/>
      <c r="L76" s="197"/>
      <c r="M76" s="198"/>
      <c r="N76" s="198"/>
      <c r="O76" s="139"/>
      <c r="P76" s="139"/>
      <c r="Q76" s="195"/>
      <c r="R76" s="141"/>
      <c r="S76" s="199">
        <f t="shared" si="9"/>
        <v>0</v>
      </c>
      <c r="T76" s="200" t="str">
        <f t="shared" si="10"/>
        <v/>
      </c>
      <c r="U76" s="200">
        <f t="shared" si="11"/>
        <v>0</v>
      </c>
      <c r="V76" s="203"/>
      <c r="W76" s="199">
        <f t="shared" ref="W76:X76" si="64">C76/100</f>
        <v>0</v>
      </c>
      <c r="X76" s="199">
        <f t="shared" si="64"/>
        <v>0</v>
      </c>
      <c r="Y76" s="199">
        <f t="shared" si="14"/>
        <v>0</v>
      </c>
      <c r="Z76" s="202">
        <f t="shared" si="15"/>
        <v>0</v>
      </c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</row>
    <row r="77" ht="27.0" hidden="1" customHeight="1">
      <c r="A77" s="162">
        <v>112.0</v>
      </c>
      <c r="B77" s="193"/>
      <c r="C77" s="193"/>
      <c r="D77" s="193"/>
      <c r="E77" s="193"/>
      <c r="F77" s="193">
        <f t="shared" si="5"/>
        <v>0</v>
      </c>
      <c r="G77" s="193">
        <f t="shared" si="6"/>
        <v>0</v>
      </c>
      <c r="H77" s="194">
        <f t="shared" si="7"/>
        <v>0</v>
      </c>
      <c r="I77" s="193"/>
      <c r="J77" s="195">
        <f t="shared" si="8"/>
        <v>0</v>
      </c>
      <c r="K77" s="139"/>
      <c r="L77" s="197"/>
      <c r="M77" s="198"/>
      <c r="N77" s="198"/>
      <c r="O77" s="139"/>
      <c r="P77" s="139"/>
      <c r="Q77" s="195"/>
      <c r="R77" s="141"/>
      <c r="S77" s="199">
        <f t="shared" si="9"/>
        <v>0</v>
      </c>
      <c r="T77" s="200" t="str">
        <f t="shared" si="10"/>
        <v/>
      </c>
      <c r="U77" s="200">
        <f t="shared" si="11"/>
        <v>0</v>
      </c>
      <c r="V77" s="203"/>
      <c r="W77" s="199">
        <f t="shared" ref="W77:X77" si="65">C77/100</f>
        <v>0</v>
      </c>
      <c r="X77" s="199">
        <f t="shared" si="65"/>
        <v>0</v>
      </c>
      <c r="Y77" s="199">
        <f t="shared" si="14"/>
        <v>0</v>
      </c>
      <c r="Z77" s="202">
        <f t="shared" si="15"/>
        <v>0</v>
      </c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</row>
    <row r="78" ht="27.0" hidden="1" customHeight="1">
      <c r="A78" s="162">
        <v>113.0</v>
      </c>
      <c r="B78" s="193"/>
      <c r="C78" s="193"/>
      <c r="D78" s="193"/>
      <c r="E78" s="193"/>
      <c r="F78" s="193">
        <f t="shared" si="5"/>
        <v>0</v>
      </c>
      <c r="G78" s="193">
        <f t="shared" si="6"/>
        <v>0</v>
      </c>
      <c r="H78" s="194">
        <f t="shared" si="7"/>
        <v>0</v>
      </c>
      <c r="I78" s="193"/>
      <c r="J78" s="195">
        <f t="shared" si="8"/>
        <v>0</v>
      </c>
      <c r="K78" s="139"/>
      <c r="L78" s="197"/>
      <c r="M78" s="198"/>
      <c r="N78" s="198"/>
      <c r="O78" s="139"/>
      <c r="P78" s="139"/>
      <c r="Q78" s="195"/>
      <c r="R78" s="141"/>
      <c r="S78" s="199">
        <f t="shared" si="9"/>
        <v>0</v>
      </c>
      <c r="T78" s="200" t="str">
        <f t="shared" si="10"/>
        <v/>
      </c>
      <c r="U78" s="200">
        <f t="shared" si="11"/>
        <v>0</v>
      </c>
      <c r="V78" s="203"/>
      <c r="W78" s="199">
        <f t="shared" ref="W78:X78" si="66">C78/100</f>
        <v>0</v>
      </c>
      <c r="X78" s="199">
        <f t="shared" si="66"/>
        <v>0</v>
      </c>
      <c r="Y78" s="199">
        <f t="shared" si="14"/>
        <v>0</v>
      </c>
      <c r="Z78" s="202">
        <f t="shared" si="15"/>
        <v>0</v>
      </c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</row>
    <row r="79" ht="27.0" hidden="1" customHeight="1">
      <c r="A79" s="162">
        <v>114.0</v>
      </c>
      <c r="B79" s="193"/>
      <c r="C79" s="193"/>
      <c r="D79" s="193"/>
      <c r="E79" s="193"/>
      <c r="F79" s="193">
        <f t="shared" si="5"/>
        <v>0</v>
      </c>
      <c r="G79" s="193">
        <f t="shared" si="6"/>
        <v>0</v>
      </c>
      <c r="H79" s="194">
        <f t="shared" si="7"/>
        <v>0</v>
      </c>
      <c r="I79" s="193"/>
      <c r="J79" s="195">
        <f t="shared" si="8"/>
        <v>0</v>
      </c>
      <c r="K79" s="139"/>
      <c r="L79" s="197"/>
      <c r="M79" s="198"/>
      <c r="N79" s="198"/>
      <c r="O79" s="139"/>
      <c r="P79" s="139"/>
      <c r="Q79" s="195"/>
      <c r="R79" s="141"/>
      <c r="S79" s="199">
        <f t="shared" si="9"/>
        <v>0</v>
      </c>
      <c r="T79" s="200" t="str">
        <f t="shared" si="10"/>
        <v/>
      </c>
      <c r="U79" s="200">
        <f t="shared" si="11"/>
        <v>0</v>
      </c>
      <c r="V79" s="203"/>
      <c r="W79" s="199">
        <f t="shared" ref="W79:X79" si="67">C79/100</f>
        <v>0</v>
      </c>
      <c r="X79" s="199">
        <f t="shared" si="67"/>
        <v>0</v>
      </c>
      <c r="Y79" s="199">
        <f t="shared" si="14"/>
        <v>0</v>
      </c>
      <c r="Z79" s="202">
        <f t="shared" si="15"/>
        <v>0</v>
      </c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</row>
    <row r="80" ht="27.0" hidden="1" customHeight="1">
      <c r="A80" s="162">
        <v>115.0</v>
      </c>
      <c r="B80" s="193"/>
      <c r="C80" s="193"/>
      <c r="D80" s="193"/>
      <c r="E80" s="193"/>
      <c r="F80" s="193">
        <f t="shared" si="5"/>
        <v>0</v>
      </c>
      <c r="G80" s="193">
        <f t="shared" si="6"/>
        <v>0</v>
      </c>
      <c r="H80" s="194">
        <f t="shared" si="7"/>
        <v>0</v>
      </c>
      <c r="I80" s="193"/>
      <c r="J80" s="195">
        <f t="shared" si="8"/>
        <v>0</v>
      </c>
      <c r="K80" s="139"/>
      <c r="L80" s="197"/>
      <c r="M80" s="198"/>
      <c r="N80" s="198"/>
      <c r="O80" s="139"/>
      <c r="P80" s="139"/>
      <c r="Q80" s="195"/>
      <c r="R80" s="141"/>
      <c r="S80" s="199">
        <f t="shared" si="9"/>
        <v>0</v>
      </c>
      <c r="T80" s="200" t="str">
        <f t="shared" si="10"/>
        <v/>
      </c>
      <c r="U80" s="200">
        <f t="shared" si="11"/>
        <v>0</v>
      </c>
      <c r="V80" s="203"/>
      <c r="W80" s="199">
        <f t="shared" ref="W80:X80" si="68">C80/100</f>
        <v>0</v>
      </c>
      <c r="X80" s="199">
        <f t="shared" si="68"/>
        <v>0</v>
      </c>
      <c r="Y80" s="199">
        <f t="shared" si="14"/>
        <v>0</v>
      </c>
      <c r="Z80" s="202">
        <f t="shared" si="15"/>
        <v>0</v>
      </c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</row>
    <row r="81" ht="27.0" hidden="1" customHeight="1">
      <c r="A81" s="162">
        <v>116.0</v>
      </c>
      <c r="B81" s="193"/>
      <c r="C81" s="193"/>
      <c r="D81" s="193"/>
      <c r="E81" s="193"/>
      <c r="F81" s="193">
        <f t="shared" si="5"/>
        <v>0</v>
      </c>
      <c r="G81" s="193">
        <f t="shared" si="6"/>
        <v>0</v>
      </c>
      <c r="H81" s="194">
        <f t="shared" si="7"/>
        <v>0</v>
      </c>
      <c r="I81" s="193"/>
      <c r="J81" s="195">
        <f t="shared" si="8"/>
        <v>0</v>
      </c>
      <c r="K81" s="139"/>
      <c r="L81" s="197"/>
      <c r="M81" s="198"/>
      <c r="N81" s="198"/>
      <c r="O81" s="139"/>
      <c r="P81" s="139"/>
      <c r="Q81" s="195"/>
      <c r="R81" s="141"/>
      <c r="S81" s="199">
        <f t="shared" si="9"/>
        <v>0</v>
      </c>
      <c r="T81" s="200" t="str">
        <f t="shared" si="10"/>
        <v/>
      </c>
      <c r="U81" s="200">
        <f t="shared" si="11"/>
        <v>0</v>
      </c>
      <c r="V81" s="203"/>
      <c r="W81" s="199">
        <f t="shared" ref="W81:X81" si="69">C81/100</f>
        <v>0</v>
      </c>
      <c r="X81" s="199">
        <f t="shared" si="69"/>
        <v>0</v>
      </c>
      <c r="Y81" s="199">
        <f t="shared" si="14"/>
        <v>0</v>
      </c>
      <c r="Z81" s="202">
        <f t="shared" si="15"/>
        <v>0</v>
      </c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</row>
    <row r="82" ht="27.0" hidden="1" customHeight="1">
      <c r="A82" s="162">
        <v>117.0</v>
      </c>
      <c r="B82" s="193"/>
      <c r="C82" s="193"/>
      <c r="D82" s="193"/>
      <c r="E82" s="193"/>
      <c r="F82" s="193">
        <f t="shared" si="5"/>
        <v>0</v>
      </c>
      <c r="G82" s="193">
        <f t="shared" si="6"/>
        <v>0</v>
      </c>
      <c r="H82" s="194">
        <f t="shared" si="7"/>
        <v>0</v>
      </c>
      <c r="I82" s="193"/>
      <c r="J82" s="195">
        <f t="shared" si="8"/>
        <v>0</v>
      </c>
      <c r="K82" s="139"/>
      <c r="L82" s="197"/>
      <c r="M82" s="198"/>
      <c r="N82" s="198"/>
      <c r="O82" s="139"/>
      <c r="P82" s="139"/>
      <c r="Q82" s="195"/>
      <c r="R82" s="141"/>
      <c r="S82" s="199">
        <f t="shared" si="9"/>
        <v>0</v>
      </c>
      <c r="T82" s="200" t="str">
        <f t="shared" si="10"/>
        <v/>
      </c>
      <c r="U82" s="200">
        <f t="shared" si="11"/>
        <v>0</v>
      </c>
      <c r="V82" s="203"/>
      <c r="W82" s="199">
        <f t="shared" ref="W82:X82" si="70">C82/100</f>
        <v>0</v>
      </c>
      <c r="X82" s="199">
        <f t="shared" si="70"/>
        <v>0</v>
      </c>
      <c r="Y82" s="199">
        <f t="shared" si="14"/>
        <v>0</v>
      </c>
      <c r="Z82" s="202">
        <f t="shared" si="15"/>
        <v>0</v>
      </c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</row>
    <row r="83" ht="27.0" hidden="1" customHeight="1">
      <c r="A83" s="162">
        <v>118.0</v>
      </c>
      <c r="B83" s="193"/>
      <c r="C83" s="193"/>
      <c r="D83" s="193"/>
      <c r="E83" s="193"/>
      <c r="F83" s="193">
        <f t="shared" si="5"/>
        <v>0</v>
      </c>
      <c r="G83" s="193">
        <f t="shared" si="6"/>
        <v>0</v>
      </c>
      <c r="H83" s="194">
        <f t="shared" si="7"/>
        <v>0</v>
      </c>
      <c r="I83" s="193"/>
      <c r="J83" s="195">
        <f t="shared" si="8"/>
        <v>0</v>
      </c>
      <c r="K83" s="139"/>
      <c r="L83" s="197"/>
      <c r="M83" s="198"/>
      <c r="N83" s="198"/>
      <c r="O83" s="139"/>
      <c r="P83" s="139"/>
      <c r="Q83" s="195"/>
      <c r="R83" s="141"/>
      <c r="S83" s="199">
        <f t="shared" si="9"/>
        <v>0</v>
      </c>
      <c r="T83" s="200" t="str">
        <f t="shared" si="10"/>
        <v/>
      </c>
      <c r="U83" s="200">
        <f t="shared" si="11"/>
        <v>0</v>
      </c>
      <c r="V83" s="203"/>
      <c r="W83" s="199">
        <f t="shared" ref="W83:X83" si="71">C83/100</f>
        <v>0</v>
      </c>
      <c r="X83" s="199">
        <f t="shared" si="71"/>
        <v>0</v>
      </c>
      <c r="Y83" s="199">
        <f t="shared" si="14"/>
        <v>0</v>
      </c>
      <c r="Z83" s="202">
        <f t="shared" si="15"/>
        <v>0</v>
      </c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</row>
    <row r="84" ht="27.0" hidden="1" customHeight="1">
      <c r="A84" s="162">
        <v>119.0</v>
      </c>
      <c r="B84" s="193"/>
      <c r="C84" s="193"/>
      <c r="D84" s="193"/>
      <c r="E84" s="193"/>
      <c r="F84" s="193">
        <f t="shared" si="5"/>
        <v>0</v>
      </c>
      <c r="G84" s="193">
        <f t="shared" si="6"/>
        <v>0</v>
      </c>
      <c r="H84" s="194">
        <f t="shared" si="7"/>
        <v>0</v>
      </c>
      <c r="I84" s="193"/>
      <c r="J84" s="195">
        <f t="shared" si="8"/>
        <v>0</v>
      </c>
      <c r="K84" s="139"/>
      <c r="L84" s="197"/>
      <c r="M84" s="198"/>
      <c r="N84" s="198"/>
      <c r="O84" s="139"/>
      <c r="P84" s="139"/>
      <c r="Q84" s="195"/>
      <c r="R84" s="141"/>
      <c r="S84" s="199">
        <f t="shared" si="9"/>
        <v>0</v>
      </c>
      <c r="T84" s="200" t="str">
        <f t="shared" si="10"/>
        <v/>
      </c>
      <c r="U84" s="200">
        <f t="shared" si="11"/>
        <v>0</v>
      </c>
      <c r="V84" s="203"/>
      <c r="W84" s="199">
        <f t="shared" ref="W84:X84" si="72">C84/100</f>
        <v>0</v>
      </c>
      <c r="X84" s="199">
        <f t="shared" si="72"/>
        <v>0</v>
      </c>
      <c r="Y84" s="199">
        <f t="shared" si="14"/>
        <v>0</v>
      </c>
      <c r="Z84" s="202">
        <f t="shared" si="15"/>
        <v>0</v>
      </c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</row>
    <row r="85" ht="27.0" hidden="1" customHeight="1">
      <c r="A85" s="162">
        <v>120.0</v>
      </c>
      <c r="B85" s="193"/>
      <c r="C85" s="193"/>
      <c r="D85" s="193"/>
      <c r="E85" s="193"/>
      <c r="F85" s="193">
        <f t="shared" si="5"/>
        <v>0</v>
      </c>
      <c r="G85" s="193">
        <f t="shared" si="6"/>
        <v>0</v>
      </c>
      <c r="H85" s="194">
        <f t="shared" si="7"/>
        <v>0</v>
      </c>
      <c r="I85" s="193"/>
      <c r="J85" s="195">
        <f t="shared" si="8"/>
        <v>0</v>
      </c>
      <c r="K85" s="139"/>
      <c r="L85" s="197"/>
      <c r="M85" s="198"/>
      <c r="N85" s="198"/>
      <c r="O85" s="139"/>
      <c r="P85" s="139"/>
      <c r="Q85" s="195"/>
      <c r="R85" s="141"/>
      <c r="S85" s="199">
        <f t="shared" si="9"/>
        <v>0</v>
      </c>
      <c r="T85" s="200" t="str">
        <f t="shared" si="10"/>
        <v/>
      </c>
      <c r="U85" s="200">
        <f t="shared" si="11"/>
        <v>0</v>
      </c>
      <c r="V85" s="203"/>
      <c r="W85" s="199">
        <f t="shared" ref="W85:X85" si="73">C85/100</f>
        <v>0</v>
      </c>
      <c r="X85" s="199">
        <f t="shared" si="73"/>
        <v>0</v>
      </c>
      <c r="Y85" s="199">
        <f t="shared" si="14"/>
        <v>0</v>
      </c>
      <c r="Z85" s="202">
        <f t="shared" si="15"/>
        <v>0</v>
      </c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</row>
    <row r="86" ht="27.0" hidden="1" customHeight="1">
      <c r="A86" s="162">
        <v>121.0</v>
      </c>
      <c r="B86" s="193"/>
      <c r="C86" s="193"/>
      <c r="D86" s="193"/>
      <c r="E86" s="193"/>
      <c r="F86" s="193">
        <f t="shared" si="5"/>
        <v>0</v>
      </c>
      <c r="G86" s="193">
        <f t="shared" si="6"/>
        <v>0</v>
      </c>
      <c r="H86" s="194">
        <f t="shared" si="7"/>
        <v>0</v>
      </c>
      <c r="I86" s="193"/>
      <c r="J86" s="195">
        <f t="shared" si="8"/>
        <v>0</v>
      </c>
      <c r="K86" s="139"/>
      <c r="L86" s="197"/>
      <c r="M86" s="198"/>
      <c r="N86" s="198"/>
      <c r="O86" s="139"/>
      <c r="P86" s="139"/>
      <c r="Q86" s="195"/>
      <c r="R86" s="141"/>
      <c r="S86" s="199">
        <f t="shared" si="9"/>
        <v>0</v>
      </c>
      <c r="T86" s="200" t="str">
        <f t="shared" si="10"/>
        <v/>
      </c>
      <c r="U86" s="200">
        <f t="shared" si="11"/>
        <v>0</v>
      </c>
      <c r="V86" s="203"/>
      <c r="W86" s="199">
        <f t="shared" ref="W86:X86" si="74">C86/100</f>
        <v>0</v>
      </c>
      <c r="X86" s="199">
        <f t="shared" si="74"/>
        <v>0</v>
      </c>
      <c r="Y86" s="199">
        <f t="shared" si="14"/>
        <v>0</v>
      </c>
      <c r="Z86" s="202">
        <f t="shared" si="15"/>
        <v>0</v>
      </c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</row>
    <row r="87" ht="27.0" hidden="1" customHeight="1">
      <c r="A87" s="162">
        <v>122.0</v>
      </c>
      <c r="B87" s="193"/>
      <c r="C87" s="193"/>
      <c r="D87" s="193"/>
      <c r="E87" s="193"/>
      <c r="F87" s="193">
        <f t="shared" si="5"/>
        <v>0</v>
      </c>
      <c r="G87" s="193">
        <f t="shared" si="6"/>
        <v>0</v>
      </c>
      <c r="H87" s="194">
        <f t="shared" si="7"/>
        <v>0</v>
      </c>
      <c r="I87" s="193"/>
      <c r="J87" s="195">
        <f t="shared" si="8"/>
        <v>0</v>
      </c>
      <c r="K87" s="139"/>
      <c r="L87" s="197"/>
      <c r="M87" s="198"/>
      <c r="N87" s="198"/>
      <c r="O87" s="139"/>
      <c r="P87" s="139"/>
      <c r="Q87" s="195"/>
      <c r="R87" s="141"/>
      <c r="S87" s="199">
        <f t="shared" si="9"/>
        <v>0</v>
      </c>
      <c r="T87" s="200" t="str">
        <f t="shared" si="10"/>
        <v/>
      </c>
      <c r="U87" s="200">
        <f t="shared" si="11"/>
        <v>0</v>
      </c>
      <c r="V87" s="203"/>
      <c r="W87" s="199">
        <f t="shared" ref="W87:X87" si="75">C87/100</f>
        <v>0</v>
      </c>
      <c r="X87" s="199">
        <f t="shared" si="75"/>
        <v>0</v>
      </c>
      <c r="Y87" s="199">
        <f t="shared" si="14"/>
        <v>0</v>
      </c>
      <c r="Z87" s="202">
        <f t="shared" si="15"/>
        <v>0</v>
      </c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</row>
    <row r="88" ht="27.0" hidden="1" customHeight="1">
      <c r="A88" s="162">
        <v>123.0</v>
      </c>
      <c r="B88" s="193"/>
      <c r="C88" s="193"/>
      <c r="D88" s="193"/>
      <c r="E88" s="193"/>
      <c r="F88" s="193">
        <f t="shared" si="5"/>
        <v>0</v>
      </c>
      <c r="G88" s="193">
        <f t="shared" si="6"/>
        <v>0</v>
      </c>
      <c r="H88" s="194">
        <f t="shared" si="7"/>
        <v>0</v>
      </c>
      <c r="I88" s="193"/>
      <c r="J88" s="195">
        <f t="shared" si="8"/>
        <v>0</v>
      </c>
      <c r="K88" s="139"/>
      <c r="L88" s="197"/>
      <c r="M88" s="198"/>
      <c r="N88" s="198"/>
      <c r="O88" s="139"/>
      <c r="P88" s="139"/>
      <c r="Q88" s="195"/>
      <c r="R88" s="141"/>
      <c r="S88" s="199">
        <f t="shared" si="9"/>
        <v>0</v>
      </c>
      <c r="T88" s="200" t="str">
        <f t="shared" si="10"/>
        <v/>
      </c>
      <c r="U88" s="200">
        <f t="shared" si="11"/>
        <v>0</v>
      </c>
      <c r="V88" s="203"/>
      <c r="W88" s="199">
        <f t="shared" ref="W88:X88" si="76">C88/100</f>
        <v>0</v>
      </c>
      <c r="X88" s="199">
        <f t="shared" si="76"/>
        <v>0</v>
      </c>
      <c r="Y88" s="199">
        <f t="shared" si="14"/>
        <v>0</v>
      </c>
      <c r="Z88" s="202">
        <f t="shared" si="15"/>
        <v>0</v>
      </c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</row>
    <row r="89" ht="27.0" hidden="1" customHeight="1">
      <c r="A89" s="162">
        <v>124.0</v>
      </c>
      <c r="B89" s="193"/>
      <c r="C89" s="193"/>
      <c r="D89" s="193"/>
      <c r="E89" s="193"/>
      <c r="F89" s="193">
        <f t="shared" si="5"/>
        <v>0</v>
      </c>
      <c r="G89" s="193">
        <f t="shared" si="6"/>
        <v>0</v>
      </c>
      <c r="H89" s="194">
        <f t="shared" si="7"/>
        <v>0</v>
      </c>
      <c r="I89" s="193"/>
      <c r="J89" s="195">
        <f t="shared" si="8"/>
        <v>0</v>
      </c>
      <c r="K89" s="139"/>
      <c r="L89" s="197"/>
      <c r="M89" s="198"/>
      <c r="N89" s="198"/>
      <c r="O89" s="139"/>
      <c r="P89" s="139"/>
      <c r="Q89" s="195"/>
      <c r="R89" s="141"/>
      <c r="S89" s="199">
        <f t="shared" si="9"/>
        <v>0</v>
      </c>
      <c r="T89" s="200" t="str">
        <f t="shared" si="10"/>
        <v/>
      </c>
      <c r="U89" s="200">
        <f t="shared" si="11"/>
        <v>0</v>
      </c>
      <c r="V89" s="203"/>
      <c r="W89" s="199">
        <f t="shared" ref="W89:X89" si="77">C89/100</f>
        <v>0</v>
      </c>
      <c r="X89" s="199">
        <f t="shared" si="77"/>
        <v>0</v>
      </c>
      <c r="Y89" s="199">
        <f t="shared" si="14"/>
        <v>0</v>
      </c>
      <c r="Z89" s="202">
        <f t="shared" si="15"/>
        <v>0</v>
      </c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</row>
    <row r="90" ht="27.0" hidden="1" customHeight="1">
      <c r="A90" s="162">
        <v>125.0</v>
      </c>
      <c r="B90" s="193"/>
      <c r="C90" s="193"/>
      <c r="D90" s="193"/>
      <c r="E90" s="193"/>
      <c r="F90" s="193">
        <f t="shared" si="5"/>
        <v>0</v>
      </c>
      <c r="G90" s="193">
        <f t="shared" si="6"/>
        <v>0</v>
      </c>
      <c r="H90" s="194">
        <f t="shared" si="7"/>
        <v>0</v>
      </c>
      <c r="I90" s="193"/>
      <c r="J90" s="195">
        <f t="shared" si="8"/>
        <v>0</v>
      </c>
      <c r="K90" s="139"/>
      <c r="L90" s="197"/>
      <c r="M90" s="198"/>
      <c r="N90" s="198"/>
      <c r="O90" s="139"/>
      <c r="P90" s="139"/>
      <c r="Q90" s="195"/>
      <c r="R90" s="141"/>
      <c r="S90" s="199">
        <f t="shared" si="9"/>
        <v>0</v>
      </c>
      <c r="T90" s="200" t="str">
        <f t="shared" si="10"/>
        <v/>
      </c>
      <c r="U90" s="200">
        <f t="shared" si="11"/>
        <v>0</v>
      </c>
      <c r="V90" s="203"/>
      <c r="W90" s="199">
        <f t="shared" ref="W90:X90" si="78">C90/100</f>
        <v>0</v>
      </c>
      <c r="X90" s="199">
        <f t="shared" si="78"/>
        <v>0</v>
      </c>
      <c r="Y90" s="199">
        <f t="shared" si="14"/>
        <v>0</v>
      </c>
      <c r="Z90" s="202">
        <f t="shared" si="15"/>
        <v>0</v>
      </c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</row>
    <row r="91" ht="27.0" hidden="1" customHeight="1">
      <c r="A91" s="162">
        <v>126.0</v>
      </c>
      <c r="B91" s="193"/>
      <c r="C91" s="193"/>
      <c r="D91" s="193"/>
      <c r="E91" s="193"/>
      <c r="F91" s="193">
        <f t="shared" si="5"/>
        <v>0</v>
      </c>
      <c r="G91" s="193">
        <f t="shared" si="6"/>
        <v>0</v>
      </c>
      <c r="H91" s="194">
        <f t="shared" si="7"/>
        <v>0</v>
      </c>
      <c r="I91" s="193"/>
      <c r="J91" s="195">
        <f t="shared" si="8"/>
        <v>0</v>
      </c>
      <c r="K91" s="139"/>
      <c r="L91" s="197"/>
      <c r="M91" s="198"/>
      <c r="N91" s="198"/>
      <c r="O91" s="139"/>
      <c r="P91" s="139"/>
      <c r="Q91" s="195"/>
      <c r="R91" s="141"/>
      <c r="S91" s="199">
        <f t="shared" si="9"/>
        <v>0</v>
      </c>
      <c r="T91" s="200" t="str">
        <f t="shared" si="10"/>
        <v/>
      </c>
      <c r="U91" s="200">
        <f t="shared" si="11"/>
        <v>0</v>
      </c>
      <c r="V91" s="203"/>
      <c r="W91" s="199">
        <f t="shared" ref="W91:X91" si="79">C91/100</f>
        <v>0</v>
      </c>
      <c r="X91" s="199">
        <f t="shared" si="79"/>
        <v>0</v>
      </c>
      <c r="Y91" s="199">
        <f t="shared" si="14"/>
        <v>0</v>
      </c>
      <c r="Z91" s="202">
        <f t="shared" si="15"/>
        <v>0</v>
      </c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</row>
    <row r="92" ht="27.0" hidden="1" customHeight="1">
      <c r="A92" s="162">
        <v>127.0</v>
      </c>
      <c r="B92" s="193"/>
      <c r="C92" s="193"/>
      <c r="D92" s="193"/>
      <c r="E92" s="193"/>
      <c r="F92" s="193">
        <f t="shared" si="5"/>
        <v>0</v>
      </c>
      <c r="G92" s="193">
        <f t="shared" si="6"/>
        <v>0</v>
      </c>
      <c r="H92" s="194">
        <f t="shared" si="7"/>
        <v>0</v>
      </c>
      <c r="I92" s="193"/>
      <c r="J92" s="195">
        <f t="shared" si="8"/>
        <v>0</v>
      </c>
      <c r="K92" s="139"/>
      <c r="L92" s="197"/>
      <c r="M92" s="198"/>
      <c r="N92" s="198"/>
      <c r="O92" s="139"/>
      <c r="P92" s="139"/>
      <c r="Q92" s="195"/>
      <c r="R92" s="141"/>
      <c r="S92" s="199">
        <f t="shared" si="9"/>
        <v>0</v>
      </c>
      <c r="T92" s="200" t="str">
        <f t="shared" si="10"/>
        <v/>
      </c>
      <c r="U92" s="200">
        <f t="shared" si="11"/>
        <v>0</v>
      </c>
      <c r="V92" s="203"/>
      <c r="W92" s="199">
        <f t="shared" ref="W92:X92" si="80">C92/100</f>
        <v>0</v>
      </c>
      <c r="X92" s="199">
        <f t="shared" si="80"/>
        <v>0</v>
      </c>
      <c r="Y92" s="199">
        <f t="shared" si="14"/>
        <v>0</v>
      </c>
      <c r="Z92" s="202">
        <f t="shared" si="15"/>
        <v>0</v>
      </c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</row>
    <row r="93" ht="27.0" hidden="1" customHeight="1">
      <c r="A93" s="162">
        <v>128.0</v>
      </c>
      <c r="B93" s="193"/>
      <c r="C93" s="193"/>
      <c r="D93" s="193"/>
      <c r="E93" s="193"/>
      <c r="F93" s="193">
        <f t="shared" si="5"/>
        <v>0</v>
      </c>
      <c r="G93" s="193">
        <f t="shared" si="6"/>
        <v>0</v>
      </c>
      <c r="H93" s="194">
        <f t="shared" si="7"/>
        <v>0</v>
      </c>
      <c r="I93" s="193"/>
      <c r="J93" s="195">
        <f t="shared" si="8"/>
        <v>0</v>
      </c>
      <c r="K93" s="139"/>
      <c r="L93" s="197"/>
      <c r="M93" s="198"/>
      <c r="N93" s="198"/>
      <c r="O93" s="139"/>
      <c r="P93" s="139"/>
      <c r="Q93" s="195"/>
      <c r="R93" s="141"/>
      <c r="S93" s="199">
        <f t="shared" si="9"/>
        <v>0</v>
      </c>
      <c r="T93" s="200" t="str">
        <f t="shared" si="10"/>
        <v/>
      </c>
      <c r="U93" s="200">
        <f t="shared" si="11"/>
        <v>0</v>
      </c>
      <c r="V93" s="203"/>
      <c r="W93" s="199">
        <f t="shared" ref="W93:X93" si="81">C93/100</f>
        <v>0</v>
      </c>
      <c r="X93" s="199">
        <f t="shared" si="81"/>
        <v>0</v>
      </c>
      <c r="Y93" s="199">
        <f t="shared" si="14"/>
        <v>0</v>
      </c>
      <c r="Z93" s="202">
        <f t="shared" si="15"/>
        <v>0</v>
      </c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</row>
    <row r="94" ht="27.0" hidden="1" customHeight="1">
      <c r="A94" s="162">
        <v>129.0</v>
      </c>
      <c r="B94" s="193"/>
      <c r="C94" s="193"/>
      <c r="D94" s="193"/>
      <c r="E94" s="193"/>
      <c r="F94" s="193">
        <f t="shared" si="5"/>
        <v>0</v>
      </c>
      <c r="G94" s="193">
        <f t="shared" si="6"/>
        <v>0</v>
      </c>
      <c r="H94" s="194">
        <f t="shared" si="7"/>
        <v>0</v>
      </c>
      <c r="I94" s="193"/>
      <c r="J94" s="195">
        <f t="shared" si="8"/>
        <v>0</v>
      </c>
      <c r="K94" s="139"/>
      <c r="L94" s="197"/>
      <c r="M94" s="198"/>
      <c r="N94" s="198"/>
      <c r="O94" s="139"/>
      <c r="P94" s="139"/>
      <c r="Q94" s="195"/>
      <c r="R94" s="141"/>
      <c r="S94" s="199">
        <f t="shared" si="9"/>
        <v>0</v>
      </c>
      <c r="T94" s="200" t="str">
        <f t="shared" si="10"/>
        <v/>
      </c>
      <c r="U94" s="200">
        <f t="shared" si="11"/>
        <v>0</v>
      </c>
      <c r="V94" s="203"/>
      <c r="W94" s="199">
        <f t="shared" ref="W94:X94" si="82">C94/100</f>
        <v>0</v>
      </c>
      <c r="X94" s="199">
        <f t="shared" si="82"/>
        <v>0</v>
      </c>
      <c r="Y94" s="199">
        <f t="shared" si="14"/>
        <v>0</v>
      </c>
      <c r="Z94" s="202">
        <f t="shared" si="15"/>
        <v>0</v>
      </c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</row>
    <row r="95" ht="27.0" hidden="1" customHeight="1">
      <c r="A95" s="162">
        <v>130.0</v>
      </c>
      <c r="B95" s="193"/>
      <c r="C95" s="193"/>
      <c r="D95" s="193"/>
      <c r="E95" s="193"/>
      <c r="F95" s="193">
        <f t="shared" si="5"/>
        <v>0</v>
      </c>
      <c r="G95" s="193">
        <f t="shared" si="6"/>
        <v>0</v>
      </c>
      <c r="H95" s="194">
        <f t="shared" si="7"/>
        <v>0</v>
      </c>
      <c r="I95" s="193"/>
      <c r="J95" s="195">
        <f t="shared" si="8"/>
        <v>0</v>
      </c>
      <c r="K95" s="139"/>
      <c r="L95" s="197"/>
      <c r="M95" s="198"/>
      <c r="N95" s="198"/>
      <c r="O95" s="139"/>
      <c r="P95" s="139"/>
      <c r="Q95" s="195"/>
      <c r="R95" s="141"/>
      <c r="S95" s="199">
        <f t="shared" si="9"/>
        <v>0</v>
      </c>
      <c r="T95" s="200" t="str">
        <f t="shared" si="10"/>
        <v/>
      </c>
      <c r="U95" s="200">
        <f t="shared" si="11"/>
        <v>0</v>
      </c>
      <c r="V95" s="203"/>
      <c r="W95" s="199">
        <f t="shared" ref="W95:X95" si="83">C95/100</f>
        <v>0</v>
      </c>
      <c r="X95" s="199">
        <f t="shared" si="83"/>
        <v>0</v>
      </c>
      <c r="Y95" s="199">
        <f t="shared" si="14"/>
        <v>0</v>
      </c>
      <c r="Z95" s="202">
        <f t="shared" si="15"/>
        <v>0</v>
      </c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</row>
    <row r="96" ht="27.0" hidden="1" customHeight="1">
      <c r="A96" s="162">
        <v>131.0</v>
      </c>
      <c r="B96" s="193"/>
      <c r="C96" s="193"/>
      <c r="D96" s="193"/>
      <c r="E96" s="193"/>
      <c r="F96" s="193">
        <f t="shared" si="5"/>
        <v>0</v>
      </c>
      <c r="G96" s="193">
        <f t="shared" si="6"/>
        <v>0</v>
      </c>
      <c r="H96" s="194">
        <f t="shared" si="7"/>
        <v>0</v>
      </c>
      <c r="I96" s="193"/>
      <c r="J96" s="195">
        <f t="shared" si="8"/>
        <v>0</v>
      </c>
      <c r="K96" s="139"/>
      <c r="L96" s="197"/>
      <c r="M96" s="198"/>
      <c r="N96" s="198"/>
      <c r="O96" s="139"/>
      <c r="P96" s="139"/>
      <c r="Q96" s="195"/>
      <c r="R96" s="141"/>
      <c r="S96" s="199">
        <f t="shared" si="9"/>
        <v>0</v>
      </c>
      <c r="T96" s="200" t="str">
        <f t="shared" si="10"/>
        <v/>
      </c>
      <c r="U96" s="200">
        <f t="shared" si="11"/>
        <v>0</v>
      </c>
      <c r="V96" s="203"/>
      <c r="W96" s="199">
        <f t="shared" ref="W96:X96" si="84">C96/100</f>
        <v>0</v>
      </c>
      <c r="X96" s="199">
        <f t="shared" si="84"/>
        <v>0</v>
      </c>
      <c r="Y96" s="199">
        <f t="shared" si="14"/>
        <v>0</v>
      </c>
      <c r="Z96" s="202">
        <f t="shared" si="15"/>
        <v>0</v>
      </c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</row>
    <row r="97" ht="27.0" hidden="1" customHeight="1">
      <c r="A97" s="162">
        <v>132.0</v>
      </c>
      <c r="B97" s="193"/>
      <c r="C97" s="193"/>
      <c r="D97" s="193"/>
      <c r="E97" s="193"/>
      <c r="F97" s="193">
        <f t="shared" si="5"/>
        <v>0</v>
      </c>
      <c r="G97" s="193">
        <f t="shared" si="6"/>
        <v>0</v>
      </c>
      <c r="H97" s="194">
        <f t="shared" si="7"/>
        <v>0</v>
      </c>
      <c r="I97" s="193"/>
      <c r="J97" s="195">
        <f t="shared" si="8"/>
        <v>0</v>
      </c>
      <c r="K97" s="139"/>
      <c r="L97" s="197"/>
      <c r="M97" s="198"/>
      <c r="N97" s="198"/>
      <c r="O97" s="139"/>
      <c r="P97" s="139"/>
      <c r="Q97" s="195"/>
      <c r="R97" s="141"/>
      <c r="S97" s="199">
        <f t="shared" si="9"/>
        <v>0</v>
      </c>
      <c r="T97" s="200" t="str">
        <f t="shared" si="10"/>
        <v/>
      </c>
      <c r="U97" s="200">
        <f t="shared" si="11"/>
        <v>0</v>
      </c>
      <c r="V97" s="203"/>
      <c r="W97" s="199">
        <f t="shared" ref="W97:X97" si="85">C97/100</f>
        <v>0</v>
      </c>
      <c r="X97" s="199">
        <f t="shared" si="85"/>
        <v>0</v>
      </c>
      <c r="Y97" s="199">
        <f t="shared" si="14"/>
        <v>0</v>
      </c>
      <c r="Z97" s="202">
        <f t="shared" si="15"/>
        <v>0</v>
      </c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</row>
    <row r="98" ht="27.0" hidden="1" customHeight="1">
      <c r="A98" s="162">
        <v>133.0</v>
      </c>
      <c r="B98" s="193"/>
      <c r="C98" s="193"/>
      <c r="D98" s="193"/>
      <c r="E98" s="193"/>
      <c r="F98" s="193">
        <f t="shared" si="5"/>
        <v>0</v>
      </c>
      <c r="G98" s="193">
        <f t="shared" si="6"/>
        <v>0</v>
      </c>
      <c r="H98" s="194">
        <f t="shared" si="7"/>
        <v>0</v>
      </c>
      <c r="I98" s="193"/>
      <c r="J98" s="195">
        <f t="shared" si="8"/>
        <v>0</v>
      </c>
      <c r="K98" s="139"/>
      <c r="L98" s="197"/>
      <c r="M98" s="198"/>
      <c r="N98" s="198"/>
      <c r="O98" s="139"/>
      <c r="P98" s="139"/>
      <c r="Q98" s="195"/>
      <c r="R98" s="141"/>
      <c r="S98" s="199">
        <f t="shared" si="9"/>
        <v>0</v>
      </c>
      <c r="T98" s="200" t="str">
        <f t="shared" si="10"/>
        <v/>
      </c>
      <c r="U98" s="200">
        <f t="shared" si="11"/>
        <v>0</v>
      </c>
      <c r="V98" s="203"/>
      <c r="W98" s="199">
        <f t="shared" ref="W98:X98" si="86">C98/100</f>
        <v>0</v>
      </c>
      <c r="X98" s="199">
        <f t="shared" si="86"/>
        <v>0</v>
      </c>
      <c r="Y98" s="199">
        <f t="shared" si="14"/>
        <v>0</v>
      </c>
      <c r="Z98" s="202">
        <f t="shared" si="15"/>
        <v>0</v>
      </c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</row>
    <row r="99" ht="27.0" hidden="1" customHeight="1">
      <c r="A99" s="162">
        <v>134.0</v>
      </c>
      <c r="B99" s="193"/>
      <c r="C99" s="193"/>
      <c r="D99" s="193"/>
      <c r="E99" s="193"/>
      <c r="F99" s="193">
        <f t="shared" si="5"/>
        <v>0</v>
      </c>
      <c r="G99" s="193">
        <f t="shared" si="6"/>
        <v>0</v>
      </c>
      <c r="H99" s="194">
        <f t="shared" si="7"/>
        <v>0</v>
      </c>
      <c r="I99" s="193"/>
      <c r="J99" s="195">
        <f t="shared" si="8"/>
        <v>0</v>
      </c>
      <c r="K99" s="139"/>
      <c r="L99" s="197"/>
      <c r="M99" s="198"/>
      <c r="N99" s="198"/>
      <c r="O99" s="139"/>
      <c r="P99" s="139"/>
      <c r="Q99" s="195"/>
      <c r="R99" s="141"/>
      <c r="S99" s="199">
        <f t="shared" si="9"/>
        <v>0</v>
      </c>
      <c r="T99" s="200" t="str">
        <f t="shared" si="10"/>
        <v/>
      </c>
      <c r="U99" s="200">
        <f t="shared" si="11"/>
        <v>0</v>
      </c>
      <c r="V99" s="203"/>
      <c r="W99" s="199">
        <f t="shared" ref="W99:X99" si="87">C99/100</f>
        <v>0</v>
      </c>
      <c r="X99" s="199">
        <f t="shared" si="87"/>
        <v>0</v>
      </c>
      <c r="Y99" s="199">
        <f t="shared" si="14"/>
        <v>0</v>
      </c>
      <c r="Z99" s="202">
        <f t="shared" si="15"/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</row>
    <row r="100" ht="27.0" hidden="1" customHeight="1">
      <c r="A100" s="162">
        <v>135.0</v>
      </c>
      <c r="B100" s="193"/>
      <c r="C100" s="193"/>
      <c r="D100" s="193"/>
      <c r="E100" s="193"/>
      <c r="F100" s="193">
        <f t="shared" si="5"/>
        <v>0</v>
      </c>
      <c r="G100" s="193">
        <f t="shared" si="6"/>
        <v>0</v>
      </c>
      <c r="H100" s="194">
        <f t="shared" si="7"/>
        <v>0</v>
      </c>
      <c r="I100" s="193"/>
      <c r="J100" s="195">
        <f t="shared" si="8"/>
        <v>0</v>
      </c>
      <c r="K100" s="139"/>
      <c r="L100" s="197"/>
      <c r="M100" s="198"/>
      <c r="N100" s="198"/>
      <c r="O100" s="139"/>
      <c r="P100" s="139"/>
      <c r="Q100" s="195"/>
      <c r="R100" s="141"/>
      <c r="S100" s="199">
        <f t="shared" si="9"/>
        <v>0</v>
      </c>
      <c r="T100" s="200" t="str">
        <f t="shared" si="10"/>
        <v/>
      </c>
      <c r="U100" s="200">
        <f t="shared" si="11"/>
        <v>0</v>
      </c>
      <c r="V100" s="203"/>
      <c r="W100" s="199">
        <f t="shared" ref="W100:X100" si="88">C100/100</f>
        <v>0</v>
      </c>
      <c r="X100" s="199">
        <f t="shared" si="88"/>
        <v>0</v>
      </c>
      <c r="Y100" s="199">
        <f t="shared" si="14"/>
        <v>0</v>
      </c>
      <c r="Z100" s="202">
        <f t="shared" si="15"/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</row>
    <row r="101" ht="27.0" hidden="1" customHeight="1">
      <c r="A101" s="162">
        <v>136.0</v>
      </c>
      <c r="B101" s="193"/>
      <c r="C101" s="193"/>
      <c r="D101" s="193"/>
      <c r="E101" s="193"/>
      <c r="F101" s="193">
        <f t="shared" si="5"/>
        <v>0</v>
      </c>
      <c r="G101" s="193">
        <f t="shared" si="6"/>
        <v>0</v>
      </c>
      <c r="H101" s="194">
        <f t="shared" si="7"/>
        <v>0</v>
      </c>
      <c r="I101" s="193"/>
      <c r="J101" s="195">
        <f t="shared" si="8"/>
        <v>0</v>
      </c>
      <c r="K101" s="139"/>
      <c r="L101" s="197"/>
      <c r="M101" s="198"/>
      <c r="N101" s="198"/>
      <c r="O101" s="139"/>
      <c r="P101" s="139"/>
      <c r="Q101" s="195"/>
      <c r="R101" s="141"/>
      <c r="S101" s="199">
        <f t="shared" si="9"/>
        <v>0</v>
      </c>
      <c r="T101" s="200" t="str">
        <f t="shared" si="10"/>
        <v/>
      </c>
      <c r="U101" s="200">
        <f t="shared" si="11"/>
        <v>0</v>
      </c>
      <c r="V101" s="203"/>
      <c r="W101" s="199">
        <f t="shared" ref="W101:X101" si="89">C101/100</f>
        <v>0</v>
      </c>
      <c r="X101" s="199">
        <f t="shared" si="89"/>
        <v>0</v>
      </c>
      <c r="Y101" s="199">
        <f t="shared" si="14"/>
        <v>0</v>
      </c>
      <c r="Z101" s="202">
        <f t="shared" si="15"/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ht="27.0" hidden="1" customHeight="1">
      <c r="A102" s="162">
        <v>137.0</v>
      </c>
      <c r="B102" s="193"/>
      <c r="C102" s="193"/>
      <c r="D102" s="193"/>
      <c r="E102" s="193"/>
      <c r="F102" s="193">
        <f t="shared" si="5"/>
        <v>0</v>
      </c>
      <c r="G102" s="193">
        <f t="shared" si="6"/>
        <v>0</v>
      </c>
      <c r="H102" s="194">
        <f t="shared" si="7"/>
        <v>0</v>
      </c>
      <c r="I102" s="193"/>
      <c r="J102" s="195">
        <f t="shared" si="8"/>
        <v>0</v>
      </c>
      <c r="K102" s="139"/>
      <c r="L102" s="197"/>
      <c r="M102" s="198"/>
      <c r="N102" s="198"/>
      <c r="O102" s="139"/>
      <c r="P102" s="139"/>
      <c r="Q102" s="195"/>
      <c r="R102" s="141"/>
      <c r="S102" s="199">
        <f t="shared" si="9"/>
        <v>0</v>
      </c>
      <c r="T102" s="200" t="str">
        <f t="shared" si="10"/>
        <v/>
      </c>
      <c r="U102" s="200">
        <f t="shared" si="11"/>
        <v>0</v>
      </c>
      <c r="V102" s="203"/>
      <c r="W102" s="199">
        <f t="shared" ref="W102:X102" si="90">C102/100</f>
        <v>0</v>
      </c>
      <c r="X102" s="199">
        <f t="shared" si="90"/>
        <v>0</v>
      </c>
      <c r="Y102" s="199">
        <f t="shared" si="14"/>
        <v>0</v>
      </c>
      <c r="Z102" s="202">
        <f t="shared" si="15"/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</row>
    <row r="103" ht="27.0" hidden="1" customHeight="1">
      <c r="A103" s="162">
        <v>138.0</v>
      </c>
      <c r="B103" s="193"/>
      <c r="C103" s="193"/>
      <c r="D103" s="193"/>
      <c r="E103" s="193"/>
      <c r="F103" s="193">
        <f t="shared" si="5"/>
        <v>0</v>
      </c>
      <c r="G103" s="193">
        <f t="shared" si="6"/>
        <v>0</v>
      </c>
      <c r="H103" s="194">
        <f t="shared" si="7"/>
        <v>0</v>
      </c>
      <c r="I103" s="193"/>
      <c r="J103" s="195">
        <f t="shared" si="8"/>
        <v>0</v>
      </c>
      <c r="K103" s="139"/>
      <c r="L103" s="197"/>
      <c r="M103" s="198"/>
      <c r="N103" s="198"/>
      <c r="O103" s="139"/>
      <c r="P103" s="139"/>
      <c r="Q103" s="195"/>
      <c r="R103" s="141"/>
      <c r="S103" s="199">
        <f t="shared" si="9"/>
        <v>0</v>
      </c>
      <c r="T103" s="200" t="str">
        <f t="shared" si="10"/>
        <v/>
      </c>
      <c r="U103" s="200">
        <f t="shared" si="11"/>
        <v>0</v>
      </c>
      <c r="V103" s="203"/>
      <c r="W103" s="199">
        <f t="shared" ref="W103:X103" si="91">C103/100</f>
        <v>0</v>
      </c>
      <c r="X103" s="199">
        <f t="shared" si="91"/>
        <v>0</v>
      </c>
      <c r="Y103" s="199">
        <f t="shared" si="14"/>
        <v>0</v>
      </c>
      <c r="Z103" s="202">
        <f t="shared" si="15"/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</row>
    <row r="104" ht="27.0" hidden="1" customHeight="1">
      <c r="A104" s="162">
        <v>139.0</v>
      </c>
      <c r="B104" s="193"/>
      <c r="C104" s="193"/>
      <c r="D104" s="193"/>
      <c r="E104" s="193"/>
      <c r="F104" s="193">
        <f t="shared" si="5"/>
        <v>0</v>
      </c>
      <c r="G104" s="193">
        <f t="shared" si="6"/>
        <v>0</v>
      </c>
      <c r="H104" s="194">
        <f t="shared" si="7"/>
        <v>0</v>
      </c>
      <c r="I104" s="193"/>
      <c r="J104" s="195">
        <f t="shared" si="8"/>
        <v>0</v>
      </c>
      <c r="K104" s="139"/>
      <c r="L104" s="197"/>
      <c r="M104" s="198"/>
      <c r="N104" s="198"/>
      <c r="O104" s="139"/>
      <c r="P104" s="139"/>
      <c r="Q104" s="195"/>
      <c r="R104" s="141"/>
      <c r="S104" s="199">
        <f t="shared" si="9"/>
        <v>0</v>
      </c>
      <c r="T104" s="200" t="str">
        <f t="shared" si="10"/>
        <v/>
      </c>
      <c r="U104" s="200">
        <f t="shared" si="11"/>
        <v>0</v>
      </c>
      <c r="V104" s="203"/>
      <c r="W104" s="199">
        <f t="shared" ref="W104:X104" si="92">C104/100</f>
        <v>0</v>
      </c>
      <c r="X104" s="199">
        <f t="shared" si="92"/>
        <v>0</v>
      </c>
      <c r="Y104" s="199">
        <f t="shared" si="14"/>
        <v>0</v>
      </c>
      <c r="Z104" s="202">
        <f t="shared" si="15"/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</row>
    <row r="105" ht="27.0" hidden="1" customHeight="1">
      <c r="A105" s="162">
        <v>140.0</v>
      </c>
      <c r="B105" s="193"/>
      <c r="C105" s="193"/>
      <c r="D105" s="193"/>
      <c r="E105" s="193"/>
      <c r="F105" s="193">
        <f t="shared" si="5"/>
        <v>0</v>
      </c>
      <c r="G105" s="193">
        <f t="shared" si="6"/>
        <v>0</v>
      </c>
      <c r="H105" s="194">
        <f t="shared" si="7"/>
        <v>0</v>
      </c>
      <c r="I105" s="193"/>
      <c r="J105" s="195">
        <f t="shared" si="8"/>
        <v>0</v>
      </c>
      <c r="K105" s="139"/>
      <c r="L105" s="197"/>
      <c r="M105" s="198"/>
      <c r="N105" s="198"/>
      <c r="O105" s="139"/>
      <c r="P105" s="139"/>
      <c r="Q105" s="195"/>
      <c r="R105" s="141"/>
      <c r="S105" s="199">
        <f t="shared" si="9"/>
        <v>0</v>
      </c>
      <c r="T105" s="200" t="str">
        <f t="shared" si="10"/>
        <v/>
      </c>
      <c r="U105" s="200">
        <f t="shared" si="11"/>
        <v>0</v>
      </c>
      <c r="V105" s="203"/>
      <c r="W105" s="199">
        <f t="shared" ref="W105:X105" si="93">C105/100</f>
        <v>0</v>
      </c>
      <c r="X105" s="199">
        <f t="shared" si="93"/>
        <v>0</v>
      </c>
      <c r="Y105" s="199">
        <f t="shared" si="14"/>
        <v>0</v>
      </c>
      <c r="Z105" s="202">
        <f t="shared" si="15"/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</row>
    <row r="106" ht="27.0" hidden="1" customHeight="1">
      <c r="A106" s="162">
        <v>141.0</v>
      </c>
      <c r="B106" s="193"/>
      <c r="C106" s="193"/>
      <c r="D106" s="193"/>
      <c r="E106" s="193"/>
      <c r="F106" s="193">
        <f t="shared" si="5"/>
        <v>0</v>
      </c>
      <c r="G106" s="193">
        <f t="shared" si="6"/>
        <v>0</v>
      </c>
      <c r="H106" s="194">
        <f t="shared" si="7"/>
        <v>0</v>
      </c>
      <c r="I106" s="193"/>
      <c r="J106" s="195">
        <f t="shared" si="8"/>
        <v>0</v>
      </c>
      <c r="K106" s="139"/>
      <c r="L106" s="197"/>
      <c r="M106" s="198"/>
      <c r="N106" s="198"/>
      <c r="O106" s="139"/>
      <c r="P106" s="139"/>
      <c r="Q106" s="195"/>
      <c r="R106" s="141"/>
      <c r="S106" s="199">
        <f t="shared" si="9"/>
        <v>0</v>
      </c>
      <c r="T106" s="200" t="str">
        <f t="shared" si="10"/>
        <v/>
      </c>
      <c r="U106" s="200">
        <f t="shared" si="11"/>
        <v>0</v>
      </c>
      <c r="V106" s="203"/>
      <c r="W106" s="199">
        <f t="shared" ref="W106:X106" si="94">C106/100</f>
        <v>0</v>
      </c>
      <c r="X106" s="199">
        <f t="shared" si="94"/>
        <v>0</v>
      </c>
      <c r="Y106" s="199">
        <f t="shared" si="14"/>
        <v>0</v>
      </c>
      <c r="Z106" s="202">
        <f t="shared" si="15"/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</row>
    <row r="107" ht="27.0" hidden="1" customHeight="1">
      <c r="A107" s="162">
        <v>142.0</v>
      </c>
      <c r="B107" s="193"/>
      <c r="C107" s="193"/>
      <c r="D107" s="193"/>
      <c r="E107" s="193"/>
      <c r="F107" s="193">
        <f t="shared" si="5"/>
        <v>0</v>
      </c>
      <c r="G107" s="193">
        <f t="shared" si="6"/>
        <v>0</v>
      </c>
      <c r="H107" s="194">
        <f t="shared" si="7"/>
        <v>0</v>
      </c>
      <c r="I107" s="193"/>
      <c r="J107" s="195">
        <f t="shared" si="8"/>
        <v>0</v>
      </c>
      <c r="K107" s="139"/>
      <c r="L107" s="197"/>
      <c r="M107" s="198"/>
      <c r="N107" s="198"/>
      <c r="O107" s="139"/>
      <c r="P107" s="139"/>
      <c r="Q107" s="195"/>
      <c r="R107" s="141"/>
      <c r="S107" s="199">
        <f t="shared" si="9"/>
        <v>0</v>
      </c>
      <c r="T107" s="200" t="str">
        <f t="shared" si="10"/>
        <v/>
      </c>
      <c r="U107" s="200">
        <f t="shared" si="11"/>
        <v>0</v>
      </c>
      <c r="V107" s="203"/>
      <c r="W107" s="199">
        <f t="shared" ref="W107:X107" si="95">C107/100</f>
        <v>0</v>
      </c>
      <c r="X107" s="199">
        <f t="shared" si="95"/>
        <v>0</v>
      </c>
      <c r="Y107" s="199">
        <f t="shared" si="14"/>
        <v>0</v>
      </c>
      <c r="Z107" s="202">
        <f t="shared" si="15"/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</row>
    <row r="108" ht="27.0" hidden="1" customHeight="1">
      <c r="A108" s="162">
        <v>143.0</v>
      </c>
      <c r="B108" s="193"/>
      <c r="C108" s="193"/>
      <c r="D108" s="193"/>
      <c r="E108" s="193"/>
      <c r="F108" s="193">
        <f t="shared" si="5"/>
        <v>0</v>
      </c>
      <c r="G108" s="193">
        <f t="shared" si="6"/>
        <v>0</v>
      </c>
      <c r="H108" s="194">
        <f t="shared" si="7"/>
        <v>0</v>
      </c>
      <c r="I108" s="193"/>
      <c r="J108" s="195">
        <f t="shared" si="8"/>
        <v>0</v>
      </c>
      <c r="K108" s="139"/>
      <c r="L108" s="197"/>
      <c r="M108" s="198"/>
      <c r="N108" s="198"/>
      <c r="O108" s="139"/>
      <c r="P108" s="139"/>
      <c r="Q108" s="195"/>
      <c r="R108" s="141"/>
      <c r="S108" s="199">
        <f t="shared" si="9"/>
        <v>0</v>
      </c>
      <c r="T108" s="200" t="str">
        <f t="shared" si="10"/>
        <v/>
      </c>
      <c r="U108" s="200">
        <f t="shared" si="11"/>
        <v>0</v>
      </c>
      <c r="V108" s="203"/>
      <c r="W108" s="199">
        <f t="shared" ref="W108:X108" si="96">C108/100</f>
        <v>0</v>
      </c>
      <c r="X108" s="199">
        <f t="shared" si="96"/>
        <v>0</v>
      </c>
      <c r="Y108" s="199">
        <f t="shared" si="14"/>
        <v>0</v>
      </c>
      <c r="Z108" s="202">
        <f t="shared" si="15"/>
        <v>0</v>
      </c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</row>
    <row r="109" ht="27.0" hidden="1" customHeight="1">
      <c r="A109" s="162">
        <v>144.0</v>
      </c>
      <c r="B109" s="193"/>
      <c r="C109" s="193"/>
      <c r="D109" s="193"/>
      <c r="E109" s="193"/>
      <c r="F109" s="193">
        <f t="shared" si="5"/>
        <v>0</v>
      </c>
      <c r="G109" s="193">
        <f t="shared" si="6"/>
        <v>0</v>
      </c>
      <c r="H109" s="194">
        <f t="shared" si="7"/>
        <v>0</v>
      </c>
      <c r="I109" s="193"/>
      <c r="J109" s="195">
        <f t="shared" si="8"/>
        <v>0</v>
      </c>
      <c r="K109" s="139"/>
      <c r="L109" s="197"/>
      <c r="M109" s="198"/>
      <c r="N109" s="198"/>
      <c r="O109" s="139"/>
      <c r="P109" s="139"/>
      <c r="Q109" s="195"/>
      <c r="R109" s="141"/>
      <c r="S109" s="199">
        <f t="shared" si="9"/>
        <v>0</v>
      </c>
      <c r="T109" s="200" t="str">
        <f t="shared" si="10"/>
        <v/>
      </c>
      <c r="U109" s="200">
        <f t="shared" si="11"/>
        <v>0</v>
      </c>
      <c r="V109" s="203"/>
      <c r="W109" s="199">
        <f t="shared" ref="W109:X109" si="97">C109/100</f>
        <v>0</v>
      </c>
      <c r="X109" s="199">
        <f t="shared" si="97"/>
        <v>0</v>
      </c>
      <c r="Y109" s="199">
        <f t="shared" si="14"/>
        <v>0</v>
      </c>
      <c r="Z109" s="202">
        <f t="shared" si="15"/>
        <v>0</v>
      </c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</row>
    <row r="110" ht="27.0" hidden="1" customHeight="1">
      <c r="A110" s="162">
        <v>145.0</v>
      </c>
      <c r="B110" s="193"/>
      <c r="C110" s="193"/>
      <c r="D110" s="193"/>
      <c r="E110" s="193"/>
      <c r="F110" s="193">
        <f t="shared" si="5"/>
        <v>0</v>
      </c>
      <c r="G110" s="193">
        <f t="shared" si="6"/>
        <v>0</v>
      </c>
      <c r="H110" s="194">
        <f t="shared" si="7"/>
        <v>0</v>
      </c>
      <c r="I110" s="193"/>
      <c r="J110" s="195">
        <f t="shared" si="8"/>
        <v>0</v>
      </c>
      <c r="K110" s="139"/>
      <c r="L110" s="197"/>
      <c r="M110" s="198"/>
      <c r="N110" s="198"/>
      <c r="O110" s="139"/>
      <c r="P110" s="139"/>
      <c r="Q110" s="195"/>
      <c r="R110" s="141"/>
      <c r="S110" s="199">
        <f t="shared" si="9"/>
        <v>0</v>
      </c>
      <c r="T110" s="200" t="str">
        <f t="shared" si="10"/>
        <v/>
      </c>
      <c r="U110" s="200">
        <f t="shared" si="11"/>
        <v>0</v>
      </c>
      <c r="V110" s="203"/>
      <c r="W110" s="199">
        <f t="shared" ref="W110:X110" si="98">C110/100</f>
        <v>0</v>
      </c>
      <c r="X110" s="199">
        <f t="shared" si="98"/>
        <v>0</v>
      </c>
      <c r="Y110" s="199">
        <f t="shared" si="14"/>
        <v>0</v>
      </c>
      <c r="Z110" s="202">
        <f t="shared" si="15"/>
        <v>0</v>
      </c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</row>
    <row r="111" ht="27.0" hidden="1" customHeight="1">
      <c r="A111" s="162">
        <v>146.0</v>
      </c>
      <c r="B111" s="193"/>
      <c r="C111" s="193"/>
      <c r="D111" s="193"/>
      <c r="E111" s="193"/>
      <c r="F111" s="193">
        <f t="shared" si="5"/>
        <v>0</v>
      </c>
      <c r="G111" s="193">
        <f t="shared" si="6"/>
        <v>0</v>
      </c>
      <c r="H111" s="194">
        <f t="shared" si="7"/>
        <v>0</v>
      </c>
      <c r="I111" s="193"/>
      <c r="J111" s="195">
        <f t="shared" si="8"/>
        <v>0</v>
      </c>
      <c r="K111" s="139"/>
      <c r="L111" s="197"/>
      <c r="M111" s="198"/>
      <c r="N111" s="198"/>
      <c r="O111" s="139"/>
      <c r="P111" s="139"/>
      <c r="Q111" s="195"/>
      <c r="R111" s="141"/>
      <c r="S111" s="199">
        <f t="shared" si="9"/>
        <v>0</v>
      </c>
      <c r="T111" s="200" t="str">
        <f t="shared" si="10"/>
        <v/>
      </c>
      <c r="U111" s="200">
        <f t="shared" si="11"/>
        <v>0</v>
      </c>
      <c r="V111" s="203"/>
      <c r="W111" s="199">
        <f t="shared" ref="W111:X111" si="99">C111/100</f>
        <v>0</v>
      </c>
      <c r="X111" s="199">
        <f t="shared" si="99"/>
        <v>0</v>
      </c>
      <c r="Y111" s="199">
        <f t="shared" si="14"/>
        <v>0</v>
      </c>
      <c r="Z111" s="202">
        <f t="shared" si="15"/>
        <v>0</v>
      </c>
      <c r="AA111" s="139"/>
      <c r="AB111" s="139"/>
      <c r="AC111" s="139"/>
      <c r="AD111" s="139"/>
      <c r="AE111" s="139"/>
      <c r="AF111" s="139"/>
      <c r="AG111" s="139"/>
      <c r="AH111" s="139"/>
      <c r="AI111" s="139"/>
      <c r="AJ111" s="139"/>
      <c r="AK111" s="139"/>
    </row>
    <row r="112" ht="27.0" hidden="1" customHeight="1">
      <c r="A112" s="162">
        <v>147.0</v>
      </c>
      <c r="B112" s="193"/>
      <c r="C112" s="193"/>
      <c r="D112" s="193"/>
      <c r="E112" s="193"/>
      <c r="F112" s="193">
        <f t="shared" si="5"/>
        <v>0</v>
      </c>
      <c r="G112" s="193">
        <f t="shared" si="6"/>
        <v>0</v>
      </c>
      <c r="H112" s="194">
        <f t="shared" si="7"/>
        <v>0</v>
      </c>
      <c r="I112" s="193"/>
      <c r="J112" s="195">
        <f t="shared" si="8"/>
        <v>0</v>
      </c>
      <c r="K112" s="139"/>
      <c r="L112" s="197"/>
      <c r="M112" s="198"/>
      <c r="N112" s="198"/>
      <c r="O112" s="139"/>
      <c r="P112" s="139"/>
      <c r="Q112" s="195"/>
      <c r="R112" s="141"/>
      <c r="S112" s="199">
        <f t="shared" si="9"/>
        <v>0</v>
      </c>
      <c r="T112" s="200" t="str">
        <f t="shared" si="10"/>
        <v/>
      </c>
      <c r="U112" s="200">
        <f t="shared" si="11"/>
        <v>0</v>
      </c>
      <c r="V112" s="203"/>
      <c r="W112" s="199">
        <f t="shared" ref="W112:X112" si="100">C112/100</f>
        <v>0</v>
      </c>
      <c r="X112" s="199">
        <f t="shared" si="100"/>
        <v>0</v>
      </c>
      <c r="Y112" s="199">
        <f t="shared" si="14"/>
        <v>0</v>
      </c>
      <c r="Z112" s="202">
        <f t="shared" si="15"/>
        <v>0</v>
      </c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</row>
    <row r="113" ht="27.0" hidden="1" customHeight="1">
      <c r="A113" s="162">
        <v>148.0</v>
      </c>
      <c r="B113" s="193"/>
      <c r="C113" s="193"/>
      <c r="D113" s="193"/>
      <c r="E113" s="193"/>
      <c r="F113" s="193">
        <f t="shared" si="5"/>
        <v>0</v>
      </c>
      <c r="G113" s="193">
        <f t="shared" si="6"/>
        <v>0</v>
      </c>
      <c r="H113" s="194">
        <f t="shared" si="7"/>
        <v>0</v>
      </c>
      <c r="I113" s="193"/>
      <c r="J113" s="195">
        <f t="shared" si="8"/>
        <v>0</v>
      </c>
      <c r="K113" s="139"/>
      <c r="L113" s="197"/>
      <c r="M113" s="198"/>
      <c r="N113" s="198"/>
      <c r="O113" s="139"/>
      <c r="P113" s="139"/>
      <c r="Q113" s="195"/>
      <c r="R113" s="141"/>
      <c r="S113" s="199">
        <f t="shared" si="9"/>
        <v>0</v>
      </c>
      <c r="T113" s="200" t="str">
        <f t="shared" si="10"/>
        <v/>
      </c>
      <c r="U113" s="200">
        <f t="shared" si="11"/>
        <v>0</v>
      </c>
      <c r="V113" s="203"/>
      <c r="W113" s="199">
        <f t="shared" ref="W113:X113" si="101">C113/100</f>
        <v>0</v>
      </c>
      <c r="X113" s="199">
        <f t="shared" si="101"/>
        <v>0</v>
      </c>
      <c r="Y113" s="199">
        <f t="shared" si="14"/>
        <v>0</v>
      </c>
      <c r="Z113" s="202">
        <f t="shared" si="15"/>
        <v>0</v>
      </c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</row>
    <row r="114" ht="27.0" hidden="1" customHeight="1">
      <c r="A114" s="162">
        <v>149.0</v>
      </c>
      <c r="B114" s="193"/>
      <c r="C114" s="193"/>
      <c r="D114" s="193"/>
      <c r="E114" s="193"/>
      <c r="F114" s="193">
        <f t="shared" si="5"/>
        <v>0</v>
      </c>
      <c r="G114" s="193">
        <f t="shared" si="6"/>
        <v>0</v>
      </c>
      <c r="H114" s="194">
        <f t="shared" si="7"/>
        <v>0</v>
      </c>
      <c r="I114" s="193"/>
      <c r="J114" s="195">
        <f t="shared" si="8"/>
        <v>0</v>
      </c>
      <c r="K114" s="139"/>
      <c r="L114" s="197"/>
      <c r="M114" s="198"/>
      <c r="N114" s="198"/>
      <c r="O114" s="139"/>
      <c r="P114" s="139"/>
      <c r="Q114" s="195"/>
      <c r="R114" s="141"/>
      <c r="S114" s="199">
        <f t="shared" si="9"/>
        <v>0</v>
      </c>
      <c r="T114" s="200" t="str">
        <f t="shared" si="10"/>
        <v/>
      </c>
      <c r="U114" s="200">
        <f t="shared" si="11"/>
        <v>0</v>
      </c>
      <c r="V114" s="203"/>
      <c r="W114" s="199">
        <f t="shared" ref="W114:X114" si="102">C114/100</f>
        <v>0</v>
      </c>
      <c r="X114" s="199">
        <f t="shared" si="102"/>
        <v>0</v>
      </c>
      <c r="Y114" s="199">
        <f t="shared" si="14"/>
        <v>0</v>
      </c>
      <c r="Z114" s="202">
        <f t="shared" si="15"/>
        <v>0</v>
      </c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</row>
    <row r="115" ht="27.0" hidden="1" customHeight="1">
      <c r="A115" s="162">
        <v>150.0</v>
      </c>
      <c r="B115" s="193"/>
      <c r="C115" s="193"/>
      <c r="D115" s="193"/>
      <c r="E115" s="193"/>
      <c r="F115" s="193">
        <f t="shared" si="5"/>
        <v>0</v>
      </c>
      <c r="G115" s="193">
        <f t="shared" si="6"/>
        <v>0</v>
      </c>
      <c r="H115" s="194">
        <f t="shared" si="7"/>
        <v>0</v>
      </c>
      <c r="I115" s="193"/>
      <c r="J115" s="195">
        <f t="shared" si="8"/>
        <v>0</v>
      </c>
      <c r="K115" s="139"/>
      <c r="L115" s="197"/>
      <c r="M115" s="198"/>
      <c r="N115" s="198"/>
      <c r="O115" s="139"/>
      <c r="P115" s="139"/>
      <c r="Q115" s="195"/>
      <c r="R115" s="141"/>
      <c r="S115" s="199">
        <f t="shared" si="9"/>
        <v>0</v>
      </c>
      <c r="T115" s="200" t="str">
        <f t="shared" si="10"/>
        <v/>
      </c>
      <c r="U115" s="200">
        <f t="shared" si="11"/>
        <v>0</v>
      </c>
      <c r="V115" s="203"/>
      <c r="W115" s="199">
        <f t="shared" ref="W115:X115" si="103">C115/100</f>
        <v>0</v>
      </c>
      <c r="X115" s="199">
        <f t="shared" si="103"/>
        <v>0</v>
      </c>
      <c r="Y115" s="199">
        <f t="shared" si="14"/>
        <v>0</v>
      </c>
      <c r="Z115" s="202">
        <f t="shared" si="15"/>
        <v>0</v>
      </c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</row>
    <row r="116" ht="27.0" hidden="1" customHeight="1">
      <c r="A116" s="162">
        <v>151.0</v>
      </c>
      <c r="B116" s="193"/>
      <c r="C116" s="193"/>
      <c r="D116" s="193"/>
      <c r="E116" s="193"/>
      <c r="F116" s="193">
        <f t="shared" si="5"/>
        <v>0</v>
      </c>
      <c r="G116" s="193">
        <f t="shared" si="6"/>
        <v>0</v>
      </c>
      <c r="H116" s="194">
        <f t="shared" si="7"/>
        <v>0</v>
      </c>
      <c r="I116" s="193"/>
      <c r="J116" s="195">
        <f t="shared" si="8"/>
        <v>0</v>
      </c>
      <c r="K116" s="139"/>
      <c r="L116" s="197"/>
      <c r="M116" s="198"/>
      <c r="N116" s="198"/>
      <c r="O116" s="139"/>
      <c r="P116" s="139"/>
      <c r="Q116" s="195"/>
      <c r="R116" s="141"/>
      <c r="S116" s="199">
        <f t="shared" si="9"/>
        <v>0</v>
      </c>
      <c r="T116" s="200" t="str">
        <f t="shared" si="10"/>
        <v/>
      </c>
      <c r="U116" s="200">
        <f t="shared" si="11"/>
        <v>0</v>
      </c>
      <c r="V116" s="203"/>
      <c r="W116" s="199">
        <f t="shared" ref="W116:X116" si="104">C116/100</f>
        <v>0</v>
      </c>
      <c r="X116" s="199">
        <f t="shared" si="104"/>
        <v>0</v>
      </c>
      <c r="Y116" s="199">
        <f t="shared" si="14"/>
        <v>0</v>
      </c>
      <c r="Z116" s="202">
        <f t="shared" si="15"/>
        <v>0</v>
      </c>
      <c r="AA116" s="139"/>
      <c r="AB116" s="139"/>
      <c r="AC116" s="139"/>
      <c r="AD116" s="139"/>
      <c r="AE116" s="139"/>
      <c r="AF116" s="139"/>
      <c r="AG116" s="139"/>
      <c r="AH116" s="139"/>
      <c r="AI116" s="139"/>
      <c r="AJ116" s="139"/>
      <c r="AK116" s="139"/>
    </row>
    <row r="117" ht="27.0" hidden="1" customHeight="1">
      <c r="A117" s="162">
        <v>152.0</v>
      </c>
      <c r="B117" s="193"/>
      <c r="C117" s="193"/>
      <c r="D117" s="193"/>
      <c r="E117" s="193"/>
      <c r="F117" s="193">
        <f t="shared" si="5"/>
        <v>0</v>
      </c>
      <c r="G117" s="193">
        <f t="shared" si="6"/>
        <v>0</v>
      </c>
      <c r="H117" s="194">
        <f t="shared" si="7"/>
        <v>0</v>
      </c>
      <c r="I117" s="193"/>
      <c r="J117" s="195">
        <f t="shared" si="8"/>
        <v>0</v>
      </c>
      <c r="K117" s="139"/>
      <c r="L117" s="197"/>
      <c r="M117" s="198"/>
      <c r="N117" s="198"/>
      <c r="O117" s="139"/>
      <c r="P117" s="139"/>
      <c r="Q117" s="195"/>
      <c r="R117" s="141"/>
      <c r="S117" s="199">
        <f t="shared" si="9"/>
        <v>0</v>
      </c>
      <c r="T117" s="200" t="str">
        <f t="shared" si="10"/>
        <v/>
      </c>
      <c r="U117" s="200">
        <f t="shared" si="11"/>
        <v>0</v>
      </c>
      <c r="V117" s="203"/>
      <c r="W117" s="199">
        <f t="shared" ref="W117:X117" si="105">C117/100</f>
        <v>0</v>
      </c>
      <c r="X117" s="199">
        <f t="shared" si="105"/>
        <v>0</v>
      </c>
      <c r="Y117" s="199">
        <f t="shared" si="14"/>
        <v>0</v>
      </c>
      <c r="Z117" s="202">
        <f t="shared" si="15"/>
        <v>0</v>
      </c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</row>
    <row r="118" ht="27.0" hidden="1" customHeight="1">
      <c r="A118" s="162">
        <v>153.0</v>
      </c>
      <c r="B118" s="193"/>
      <c r="C118" s="193"/>
      <c r="D118" s="193"/>
      <c r="E118" s="193"/>
      <c r="F118" s="193">
        <f t="shared" si="5"/>
        <v>0</v>
      </c>
      <c r="G118" s="193">
        <f t="shared" si="6"/>
        <v>0</v>
      </c>
      <c r="H118" s="194">
        <f t="shared" si="7"/>
        <v>0</v>
      </c>
      <c r="I118" s="193"/>
      <c r="J118" s="195">
        <f t="shared" si="8"/>
        <v>0</v>
      </c>
      <c r="K118" s="139"/>
      <c r="L118" s="197"/>
      <c r="M118" s="198"/>
      <c r="N118" s="198"/>
      <c r="O118" s="139"/>
      <c r="P118" s="139"/>
      <c r="Q118" s="195"/>
      <c r="R118" s="141"/>
      <c r="S118" s="199">
        <f t="shared" si="9"/>
        <v>0</v>
      </c>
      <c r="T118" s="200" t="str">
        <f t="shared" si="10"/>
        <v/>
      </c>
      <c r="U118" s="200">
        <f t="shared" si="11"/>
        <v>0</v>
      </c>
      <c r="V118" s="203"/>
      <c r="W118" s="199">
        <f t="shared" ref="W118:X118" si="106">C118/100</f>
        <v>0</v>
      </c>
      <c r="X118" s="199">
        <f t="shared" si="106"/>
        <v>0</v>
      </c>
      <c r="Y118" s="199">
        <f t="shared" si="14"/>
        <v>0</v>
      </c>
      <c r="Z118" s="202">
        <f t="shared" si="15"/>
        <v>0</v>
      </c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</row>
    <row r="119" ht="27.0" hidden="1" customHeight="1">
      <c r="A119" s="162">
        <v>154.0</v>
      </c>
      <c r="B119" s="193"/>
      <c r="C119" s="193"/>
      <c r="D119" s="193"/>
      <c r="E119" s="193"/>
      <c r="F119" s="193">
        <f t="shared" si="5"/>
        <v>0</v>
      </c>
      <c r="G119" s="193">
        <f t="shared" si="6"/>
        <v>0</v>
      </c>
      <c r="H119" s="194">
        <f t="shared" si="7"/>
        <v>0</v>
      </c>
      <c r="I119" s="193"/>
      <c r="J119" s="195">
        <f t="shared" si="8"/>
        <v>0</v>
      </c>
      <c r="K119" s="139"/>
      <c r="L119" s="197"/>
      <c r="M119" s="198"/>
      <c r="N119" s="198"/>
      <c r="O119" s="139"/>
      <c r="P119" s="139"/>
      <c r="Q119" s="195"/>
      <c r="R119" s="141"/>
      <c r="S119" s="199">
        <f t="shared" si="9"/>
        <v>0</v>
      </c>
      <c r="T119" s="200" t="str">
        <f t="shared" si="10"/>
        <v/>
      </c>
      <c r="U119" s="200">
        <f t="shared" si="11"/>
        <v>0</v>
      </c>
      <c r="V119" s="203"/>
      <c r="W119" s="199">
        <f t="shared" ref="W119:X119" si="107">C119/100</f>
        <v>0</v>
      </c>
      <c r="X119" s="199">
        <f t="shared" si="107"/>
        <v>0</v>
      </c>
      <c r="Y119" s="199">
        <f t="shared" si="14"/>
        <v>0</v>
      </c>
      <c r="Z119" s="202">
        <f t="shared" si="15"/>
        <v>0</v>
      </c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</row>
    <row r="120" ht="27.0" hidden="1" customHeight="1">
      <c r="A120" s="162">
        <v>155.0</v>
      </c>
      <c r="B120" s="193"/>
      <c r="C120" s="193"/>
      <c r="D120" s="193"/>
      <c r="E120" s="193"/>
      <c r="F120" s="193">
        <f t="shared" si="5"/>
        <v>0</v>
      </c>
      <c r="G120" s="193">
        <f t="shared" si="6"/>
        <v>0</v>
      </c>
      <c r="H120" s="194">
        <f t="shared" si="7"/>
        <v>0</v>
      </c>
      <c r="I120" s="193"/>
      <c r="J120" s="195">
        <f t="shared" si="8"/>
        <v>0</v>
      </c>
      <c r="K120" s="139"/>
      <c r="L120" s="197"/>
      <c r="M120" s="198"/>
      <c r="N120" s="198"/>
      <c r="O120" s="139"/>
      <c r="P120" s="139"/>
      <c r="Q120" s="195"/>
      <c r="R120" s="141"/>
      <c r="S120" s="199">
        <f t="shared" si="9"/>
        <v>0</v>
      </c>
      <c r="T120" s="200" t="str">
        <f t="shared" si="10"/>
        <v/>
      </c>
      <c r="U120" s="200">
        <f t="shared" si="11"/>
        <v>0</v>
      </c>
      <c r="V120" s="203"/>
      <c r="W120" s="199">
        <f t="shared" ref="W120:X120" si="108">C120/100</f>
        <v>0</v>
      </c>
      <c r="X120" s="199">
        <f t="shared" si="108"/>
        <v>0</v>
      </c>
      <c r="Y120" s="199">
        <f t="shared" si="14"/>
        <v>0</v>
      </c>
      <c r="Z120" s="202">
        <f t="shared" si="15"/>
        <v>0</v>
      </c>
      <c r="AA120" s="139"/>
      <c r="AB120" s="139"/>
      <c r="AC120" s="139"/>
      <c r="AD120" s="139"/>
      <c r="AE120" s="139"/>
      <c r="AF120" s="139"/>
      <c r="AG120" s="139"/>
      <c r="AH120" s="139"/>
      <c r="AI120" s="139"/>
      <c r="AJ120" s="139"/>
      <c r="AK120" s="139"/>
    </row>
    <row r="121" ht="27.0" hidden="1" customHeight="1">
      <c r="A121" s="162">
        <v>156.0</v>
      </c>
      <c r="B121" s="193"/>
      <c r="C121" s="193"/>
      <c r="D121" s="193"/>
      <c r="E121" s="193"/>
      <c r="F121" s="193">
        <f t="shared" si="5"/>
        <v>0</v>
      </c>
      <c r="G121" s="193">
        <f t="shared" si="6"/>
        <v>0</v>
      </c>
      <c r="H121" s="194">
        <f t="shared" si="7"/>
        <v>0</v>
      </c>
      <c r="I121" s="193"/>
      <c r="J121" s="195">
        <f t="shared" si="8"/>
        <v>0</v>
      </c>
      <c r="K121" s="139"/>
      <c r="L121" s="197"/>
      <c r="M121" s="198"/>
      <c r="N121" s="198"/>
      <c r="O121" s="139"/>
      <c r="P121" s="139"/>
      <c r="Q121" s="195"/>
      <c r="R121" s="141"/>
      <c r="S121" s="199">
        <f t="shared" si="9"/>
        <v>0</v>
      </c>
      <c r="T121" s="200" t="str">
        <f t="shared" si="10"/>
        <v/>
      </c>
      <c r="U121" s="200">
        <f t="shared" si="11"/>
        <v>0</v>
      </c>
      <c r="V121" s="203"/>
      <c r="W121" s="199">
        <f t="shared" ref="W121:X121" si="109">C121/100</f>
        <v>0</v>
      </c>
      <c r="X121" s="199">
        <f t="shared" si="109"/>
        <v>0</v>
      </c>
      <c r="Y121" s="199">
        <f t="shared" si="14"/>
        <v>0</v>
      </c>
      <c r="Z121" s="202">
        <f t="shared" si="15"/>
        <v>0</v>
      </c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</row>
    <row r="122" ht="27.0" hidden="1" customHeight="1">
      <c r="A122" s="162">
        <v>157.0</v>
      </c>
      <c r="B122" s="193"/>
      <c r="C122" s="193"/>
      <c r="D122" s="193"/>
      <c r="E122" s="193"/>
      <c r="F122" s="193">
        <f t="shared" si="5"/>
        <v>0</v>
      </c>
      <c r="G122" s="193">
        <f t="shared" si="6"/>
        <v>0</v>
      </c>
      <c r="H122" s="194">
        <f t="shared" si="7"/>
        <v>0</v>
      </c>
      <c r="I122" s="193"/>
      <c r="J122" s="195">
        <f t="shared" si="8"/>
        <v>0</v>
      </c>
      <c r="K122" s="139"/>
      <c r="L122" s="197"/>
      <c r="M122" s="198"/>
      <c r="N122" s="198"/>
      <c r="O122" s="139"/>
      <c r="P122" s="139"/>
      <c r="Q122" s="195"/>
      <c r="R122" s="141"/>
      <c r="S122" s="199">
        <f t="shared" si="9"/>
        <v>0</v>
      </c>
      <c r="T122" s="200" t="str">
        <f t="shared" si="10"/>
        <v/>
      </c>
      <c r="U122" s="200">
        <f t="shared" si="11"/>
        <v>0</v>
      </c>
      <c r="V122" s="203"/>
      <c r="W122" s="199">
        <f t="shared" ref="W122:X122" si="110">C122/100</f>
        <v>0</v>
      </c>
      <c r="X122" s="199">
        <f t="shared" si="110"/>
        <v>0</v>
      </c>
      <c r="Y122" s="199">
        <f t="shared" si="14"/>
        <v>0</v>
      </c>
      <c r="Z122" s="202">
        <f t="shared" si="15"/>
        <v>0</v>
      </c>
      <c r="AA122" s="139"/>
      <c r="AB122" s="139"/>
      <c r="AC122" s="139"/>
      <c r="AD122" s="139"/>
      <c r="AE122" s="139"/>
      <c r="AF122" s="139"/>
      <c r="AG122" s="139"/>
      <c r="AH122" s="139"/>
      <c r="AI122" s="139"/>
      <c r="AJ122" s="139"/>
      <c r="AK122" s="139"/>
    </row>
    <row r="123" ht="27.0" hidden="1" customHeight="1">
      <c r="A123" s="162">
        <v>158.0</v>
      </c>
      <c r="B123" s="193"/>
      <c r="C123" s="193"/>
      <c r="D123" s="193"/>
      <c r="E123" s="193"/>
      <c r="F123" s="193">
        <f t="shared" si="5"/>
        <v>0</v>
      </c>
      <c r="G123" s="193">
        <f t="shared" si="6"/>
        <v>0</v>
      </c>
      <c r="H123" s="194">
        <f t="shared" si="7"/>
        <v>0</v>
      </c>
      <c r="I123" s="193"/>
      <c r="J123" s="195">
        <f t="shared" si="8"/>
        <v>0</v>
      </c>
      <c r="K123" s="139"/>
      <c r="L123" s="197"/>
      <c r="M123" s="198"/>
      <c r="N123" s="198"/>
      <c r="O123" s="139"/>
      <c r="P123" s="139"/>
      <c r="Q123" s="195"/>
      <c r="R123" s="141"/>
      <c r="S123" s="199">
        <f t="shared" si="9"/>
        <v>0</v>
      </c>
      <c r="T123" s="200" t="str">
        <f t="shared" si="10"/>
        <v/>
      </c>
      <c r="U123" s="200">
        <f t="shared" si="11"/>
        <v>0</v>
      </c>
      <c r="V123" s="203"/>
      <c r="W123" s="199">
        <f t="shared" ref="W123:X123" si="111">C123/100</f>
        <v>0</v>
      </c>
      <c r="X123" s="199">
        <f t="shared" si="111"/>
        <v>0</v>
      </c>
      <c r="Y123" s="199">
        <f t="shared" si="14"/>
        <v>0</v>
      </c>
      <c r="Z123" s="202">
        <f t="shared" si="15"/>
        <v>0</v>
      </c>
      <c r="AA123" s="139"/>
      <c r="AB123" s="139"/>
      <c r="AC123" s="139"/>
      <c r="AD123" s="139"/>
      <c r="AE123" s="139"/>
      <c r="AF123" s="139"/>
      <c r="AG123" s="139"/>
      <c r="AH123" s="139"/>
      <c r="AI123" s="139"/>
      <c r="AJ123" s="139"/>
      <c r="AK123" s="139"/>
    </row>
    <row r="124" ht="27.0" hidden="1" customHeight="1">
      <c r="A124" s="162">
        <v>159.0</v>
      </c>
      <c r="B124" s="193"/>
      <c r="C124" s="193"/>
      <c r="D124" s="193"/>
      <c r="E124" s="193"/>
      <c r="F124" s="193">
        <f t="shared" si="5"/>
        <v>0</v>
      </c>
      <c r="G124" s="193">
        <f t="shared" si="6"/>
        <v>0</v>
      </c>
      <c r="H124" s="194">
        <f t="shared" si="7"/>
        <v>0</v>
      </c>
      <c r="I124" s="193"/>
      <c r="J124" s="195">
        <f t="shared" si="8"/>
        <v>0</v>
      </c>
      <c r="K124" s="139"/>
      <c r="L124" s="197"/>
      <c r="M124" s="198"/>
      <c r="N124" s="198"/>
      <c r="O124" s="139"/>
      <c r="P124" s="139"/>
      <c r="Q124" s="195"/>
      <c r="R124" s="141"/>
      <c r="S124" s="199">
        <f t="shared" si="9"/>
        <v>0</v>
      </c>
      <c r="T124" s="200" t="str">
        <f t="shared" si="10"/>
        <v/>
      </c>
      <c r="U124" s="200">
        <f t="shared" si="11"/>
        <v>0</v>
      </c>
      <c r="V124" s="203"/>
      <c r="W124" s="199">
        <f t="shared" ref="W124:X124" si="112">C124/100</f>
        <v>0</v>
      </c>
      <c r="X124" s="199">
        <f t="shared" si="112"/>
        <v>0</v>
      </c>
      <c r="Y124" s="199">
        <f t="shared" si="14"/>
        <v>0</v>
      </c>
      <c r="Z124" s="202">
        <f t="shared" si="15"/>
        <v>0</v>
      </c>
      <c r="AA124" s="139"/>
      <c r="AB124" s="139"/>
      <c r="AC124" s="139"/>
      <c r="AD124" s="139"/>
      <c r="AE124" s="139"/>
      <c r="AF124" s="139"/>
      <c r="AG124" s="139"/>
      <c r="AH124" s="139"/>
      <c r="AI124" s="139"/>
      <c r="AJ124" s="139"/>
      <c r="AK124" s="139"/>
    </row>
    <row r="125" ht="27.0" hidden="1" customHeight="1">
      <c r="A125" s="162">
        <v>160.0</v>
      </c>
      <c r="B125" s="193"/>
      <c r="C125" s="193"/>
      <c r="D125" s="193"/>
      <c r="E125" s="193"/>
      <c r="F125" s="193">
        <f t="shared" si="5"/>
        <v>0</v>
      </c>
      <c r="G125" s="193">
        <f t="shared" si="6"/>
        <v>0</v>
      </c>
      <c r="H125" s="194">
        <f t="shared" si="7"/>
        <v>0</v>
      </c>
      <c r="I125" s="193"/>
      <c r="J125" s="195">
        <f t="shared" si="8"/>
        <v>0</v>
      </c>
      <c r="K125" s="139"/>
      <c r="L125" s="197"/>
      <c r="M125" s="198"/>
      <c r="N125" s="198"/>
      <c r="O125" s="139"/>
      <c r="P125" s="139"/>
      <c r="Q125" s="195"/>
      <c r="R125" s="141"/>
      <c r="S125" s="199">
        <f t="shared" si="9"/>
        <v>0</v>
      </c>
      <c r="T125" s="200" t="str">
        <f t="shared" si="10"/>
        <v/>
      </c>
      <c r="U125" s="200">
        <f t="shared" si="11"/>
        <v>0</v>
      </c>
      <c r="V125" s="203"/>
      <c r="W125" s="199">
        <f t="shared" ref="W125:X125" si="113">C125/100</f>
        <v>0</v>
      </c>
      <c r="X125" s="199">
        <f t="shared" si="113"/>
        <v>0</v>
      </c>
      <c r="Y125" s="199">
        <f t="shared" si="14"/>
        <v>0</v>
      </c>
      <c r="Z125" s="202">
        <f t="shared" si="15"/>
        <v>0</v>
      </c>
      <c r="AA125" s="139"/>
      <c r="AB125" s="139"/>
      <c r="AC125" s="139"/>
      <c r="AD125" s="139"/>
      <c r="AE125" s="139"/>
      <c r="AF125" s="139"/>
      <c r="AG125" s="139"/>
      <c r="AH125" s="139"/>
      <c r="AI125" s="139"/>
      <c r="AJ125" s="139"/>
      <c r="AK125" s="139"/>
    </row>
    <row r="126" ht="27.0" hidden="1" customHeight="1">
      <c r="A126" s="162">
        <v>161.0</v>
      </c>
      <c r="B126" s="193"/>
      <c r="C126" s="193"/>
      <c r="D126" s="193"/>
      <c r="E126" s="193"/>
      <c r="F126" s="193">
        <f t="shared" si="5"/>
        <v>0</v>
      </c>
      <c r="G126" s="193">
        <f t="shared" si="6"/>
        <v>0</v>
      </c>
      <c r="H126" s="194">
        <f t="shared" si="7"/>
        <v>0</v>
      </c>
      <c r="I126" s="193"/>
      <c r="J126" s="195">
        <f t="shared" si="8"/>
        <v>0</v>
      </c>
      <c r="K126" s="139"/>
      <c r="L126" s="197"/>
      <c r="M126" s="198"/>
      <c r="N126" s="198"/>
      <c r="O126" s="139"/>
      <c r="P126" s="139"/>
      <c r="Q126" s="195"/>
      <c r="R126" s="141"/>
      <c r="S126" s="199">
        <f t="shared" si="9"/>
        <v>0</v>
      </c>
      <c r="T126" s="200" t="str">
        <f t="shared" si="10"/>
        <v/>
      </c>
      <c r="U126" s="200">
        <f t="shared" si="11"/>
        <v>0</v>
      </c>
      <c r="V126" s="203"/>
      <c r="W126" s="199">
        <f t="shared" ref="W126:X126" si="114">C126/100</f>
        <v>0</v>
      </c>
      <c r="X126" s="199">
        <f t="shared" si="114"/>
        <v>0</v>
      </c>
      <c r="Y126" s="199">
        <f t="shared" si="14"/>
        <v>0</v>
      </c>
      <c r="Z126" s="202">
        <f t="shared" si="15"/>
        <v>0</v>
      </c>
      <c r="AA126" s="139"/>
      <c r="AB126" s="139"/>
      <c r="AC126" s="139"/>
      <c r="AD126" s="139"/>
      <c r="AE126" s="139"/>
      <c r="AF126" s="139"/>
      <c r="AG126" s="139"/>
      <c r="AH126" s="139"/>
      <c r="AI126" s="139"/>
      <c r="AJ126" s="139"/>
      <c r="AK126" s="139"/>
    </row>
    <row r="127" ht="27.0" hidden="1" customHeight="1">
      <c r="A127" s="162">
        <v>162.0</v>
      </c>
      <c r="B127" s="193"/>
      <c r="C127" s="193"/>
      <c r="D127" s="193"/>
      <c r="E127" s="193"/>
      <c r="F127" s="193">
        <f t="shared" si="5"/>
        <v>0</v>
      </c>
      <c r="G127" s="193">
        <f t="shared" si="6"/>
        <v>0</v>
      </c>
      <c r="H127" s="194">
        <f t="shared" si="7"/>
        <v>0</v>
      </c>
      <c r="I127" s="193"/>
      <c r="J127" s="195">
        <f t="shared" si="8"/>
        <v>0</v>
      </c>
      <c r="K127" s="139"/>
      <c r="L127" s="197"/>
      <c r="M127" s="198"/>
      <c r="N127" s="198"/>
      <c r="O127" s="139"/>
      <c r="P127" s="139"/>
      <c r="Q127" s="195"/>
      <c r="R127" s="141"/>
      <c r="S127" s="199">
        <f t="shared" si="9"/>
        <v>0</v>
      </c>
      <c r="T127" s="200" t="str">
        <f t="shared" si="10"/>
        <v/>
      </c>
      <c r="U127" s="200">
        <f t="shared" si="11"/>
        <v>0</v>
      </c>
      <c r="V127" s="203"/>
      <c r="W127" s="199">
        <f t="shared" ref="W127:X127" si="115">C127/100</f>
        <v>0</v>
      </c>
      <c r="X127" s="199">
        <f t="shared" si="115"/>
        <v>0</v>
      </c>
      <c r="Y127" s="199">
        <f t="shared" si="14"/>
        <v>0</v>
      </c>
      <c r="Z127" s="202">
        <f t="shared" si="15"/>
        <v>0</v>
      </c>
      <c r="AA127" s="139"/>
      <c r="AB127" s="139"/>
      <c r="AC127" s="139"/>
      <c r="AD127" s="139"/>
      <c r="AE127" s="139"/>
      <c r="AF127" s="139"/>
      <c r="AG127" s="139"/>
      <c r="AH127" s="139"/>
      <c r="AI127" s="139"/>
      <c r="AJ127" s="139"/>
      <c r="AK127" s="139"/>
    </row>
    <row r="128" ht="27.0" hidden="1" customHeight="1">
      <c r="A128" s="162">
        <v>163.0</v>
      </c>
      <c r="B128" s="193"/>
      <c r="C128" s="193"/>
      <c r="D128" s="193"/>
      <c r="E128" s="193"/>
      <c r="F128" s="193">
        <f t="shared" si="5"/>
        <v>0</v>
      </c>
      <c r="G128" s="193">
        <f t="shared" si="6"/>
        <v>0</v>
      </c>
      <c r="H128" s="194">
        <f t="shared" si="7"/>
        <v>0</v>
      </c>
      <c r="I128" s="193"/>
      <c r="J128" s="195">
        <f t="shared" si="8"/>
        <v>0</v>
      </c>
      <c r="K128" s="139"/>
      <c r="L128" s="197"/>
      <c r="M128" s="198"/>
      <c r="N128" s="198"/>
      <c r="O128" s="139"/>
      <c r="P128" s="139"/>
      <c r="Q128" s="195"/>
      <c r="R128" s="141"/>
      <c r="S128" s="199">
        <f t="shared" si="9"/>
        <v>0</v>
      </c>
      <c r="T128" s="200" t="str">
        <f t="shared" si="10"/>
        <v/>
      </c>
      <c r="U128" s="200">
        <f t="shared" si="11"/>
        <v>0</v>
      </c>
      <c r="V128" s="203"/>
      <c r="W128" s="199">
        <f t="shared" ref="W128:X128" si="116">C128/100</f>
        <v>0</v>
      </c>
      <c r="X128" s="199">
        <f t="shared" si="116"/>
        <v>0</v>
      </c>
      <c r="Y128" s="199">
        <f t="shared" si="14"/>
        <v>0</v>
      </c>
      <c r="Z128" s="202">
        <f t="shared" si="15"/>
        <v>0</v>
      </c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</row>
    <row r="129" ht="27.0" hidden="1" customHeight="1">
      <c r="A129" s="162">
        <v>164.0</v>
      </c>
      <c r="B129" s="193"/>
      <c r="C129" s="193"/>
      <c r="D129" s="193"/>
      <c r="E129" s="193"/>
      <c r="F129" s="193">
        <f t="shared" si="5"/>
        <v>0</v>
      </c>
      <c r="G129" s="193">
        <f t="shared" si="6"/>
        <v>0</v>
      </c>
      <c r="H129" s="194">
        <f t="shared" si="7"/>
        <v>0</v>
      </c>
      <c r="I129" s="193"/>
      <c r="J129" s="195">
        <f t="shared" si="8"/>
        <v>0</v>
      </c>
      <c r="K129" s="139"/>
      <c r="L129" s="197"/>
      <c r="M129" s="198"/>
      <c r="N129" s="198"/>
      <c r="O129" s="139"/>
      <c r="P129" s="139"/>
      <c r="Q129" s="195"/>
      <c r="R129" s="141"/>
      <c r="S129" s="199">
        <f t="shared" si="9"/>
        <v>0</v>
      </c>
      <c r="T129" s="200" t="str">
        <f t="shared" si="10"/>
        <v/>
      </c>
      <c r="U129" s="200">
        <f t="shared" si="11"/>
        <v>0</v>
      </c>
      <c r="V129" s="203"/>
      <c r="W129" s="199">
        <f t="shared" ref="W129:X129" si="117">C129/100</f>
        <v>0</v>
      </c>
      <c r="X129" s="199">
        <f t="shared" si="117"/>
        <v>0</v>
      </c>
      <c r="Y129" s="199">
        <f t="shared" si="14"/>
        <v>0</v>
      </c>
      <c r="Z129" s="202">
        <f t="shared" si="15"/>
        <v>0</v>
      </c>
      <c r="AA129" s="139"/>
      <c r="AB129" s="139"/>
      <c r="AC129" s="139"/>
      <c r="AD129" s="139"/>
      <c r="AE129" s="139"/>
      <c r="AF129" s="139"/>
      <c r="AG129" s="139"/>
      <c r="AH129" s="139"/>
      <c r="AI129" s="139"/>
      <c r="AJ129" s="139"/>
      <c r="AK129" s="139"/>
    </row>
    <row r="130" ht="27.0" hidden="1" customHeight="1">
      <c r="A130" s="162">
        <v>165.0</v>
      </c>
      <c r="B130" s="193"/>
      <c r="C130" s="193"/>
      <c r="D130" s="193"/>
      <c r="E130" s="193"/>
      <c r="F130" s="193">
        <f t="shared" si="5"/>
        <v>0</v>
      </c>
      <c r="G130" s="193">
        <f t="shared" si="6"/>
        <v>0</v>
      </c>
      <c r="H130" s="194">
        <f t="shared" si="7"/>
        <v>0</v>
      </c>
      <c r="I130" s="193"/>
      <c r="J130" s="195">
        <f t="shared" si="8"/>
        <v>0</v>
      </c>
      <c r="K130" s="139"/>
      <c r="L130" s="197"/>
      <c r="M130" s="198"/>
      <c r="N130" s="198"/>
      <c r="O130" s="139"/>
      <c r="P130" s="139"/>
      <c r="Q130" s="195"/>
      <c r="R130" s="141"/>
      <c r="S130" s="199">
        <f t="shared" si="9"/>
        <v>0</v>
      </c>
      <c r="T130" s="200" t="str">
        <f t="shared" si="10"/>
        <v/>
      </c>
      <c r="U130" s="200">
        <f t="shared" si="11"/>
        <v>0</v>
      </c>
      <c r="V130" s="203"/>
      <c r="W130" s="199">
        <f t="shared" ref="W130:X130" si="118">C130/100</f>
        <v>0</v>
      </c>
      <c r="X130" s="199">
        <f t="shared" si="118"/>
        <v>0</v>
      </c>
      <c r="Y130" s="199">
        <f t="shared" si="14"/>
        <v>0</v>
      </c>
      <c r="Z130" s="202">
        <f t="shared" si="15"/>
        <v>0</v>
      </c>
      <c r="AA130" s="139"/>
      <c r="AB130" s="139"/>
      <c r="AC130" s="139"/>
      <c r="AD130" s="139"/>
      <c r="AE130" s="139"/>
      <c r="AF130" s="139"/>
      <c r="AG130" s="139"/>
      <c r="AH130" s="139"/>
      <c r="AI130" s="139"/>
      <c r="AJ130" s="139"/>
      <c r="AK130" s="139"/>
    </row>
    <row r="131" ht="27.0" hidden="1" customHeight="1">
      <c r="A131" s="162">
        <v>166.0</v>
      </c>
      <c r="B131" s="193"/>
      <c r="C131" s="193"/>
      <c r="D131" s="193"/>
      <c r="E131" s="193"/>
      <c r="F131" s="193">
        <f t="shared" si="5"/>
        <v>0</v>
      </c>
      <c r="G131" s="193">
        <f t="shared" si="6"/>
        <v>0</v>
      </c>
      <c r="H131" s="194">
        <f t="shared" si="7"/>
        <v>0</v>
      </c>
      <c r="I131" s="193"/>
      <c r="J131" s="195">
        <f t="shared" si="8"/>
        <v>0</v>
      </c>
      <c r="K131" s="139"/>
      <c r="L131" s="197"/>
      <c r="M131" s="198"/>
      <c r="N131" s="198"/>
      <c r="O131" s="139"/>
      <c r="P131" s="139"/>
      <c r="Q131" s="195"/>
      <c r="R131" s="141"/>
      <c r="S131" s="199">
        <f t="shared" si="9"/>
        <v>0</v>
      </c>
      <c r="T131" s="200" t="str">
        <f t="shared" si="10"/>
        <v/>
      </c>
      <c r="U131" s="200">
        <f t="shared" si="11"/>
        <v>0</v>
      </c>
      <c r="V131" s="203"/>
      <c r="W131" s="199">
        <f t="shared" ref="W131:X131" si="119">C131/100</f>
        <v>0</v>
      </c>
      <c r="X131" s="199">
        <f t="shared" si="119"/>
        <v>0</v>
      </c>
      <c r="Y131" s="199">
        <f t="shared" si="14"/>
        <v>0</v>
      </c>
      <c r="Z131" s="202">
        <f t="shared" si="15"/>
        <v>0</v>
      </c>
      <c r="AA131" s="139"/>
      <c r="AB131" s="139"/>
      <c r="AC131" s="139"/>
      <c r="AD131" s="139"/>
      <c r="AE131" s="139"/>
      <c r="AF131" s="139"/>
      <c r="AG131" s="139"/>
      <c r="AH131" s="139"/>
      <c r="AI131" s="139"/>
      <c r="AJ131" s="139"/>
      <c r="AK131" s="139"/>
    </row>
    <row r="132" ht="27.0" hidden="1" customHeight="1">
      <c r="A132" s="162">
        <v>167.0</v>
      </c>
      <c r="B132" s="193"/>
      <c r="C132" s="193"/>
      <c r="D132" s="193"/>
      <c r="E132" s="193"/>
      <c r="F132" s="193">
        <f t="shared" si="5"/>
        <v>0</v>
      </c>
      <c r="G132" s="193">
        <f t="shared" si="6"/>
        <v>0</v>
      </c>
      <c r="H132" s="194">
        <f t="shared" si="7"/>
        <v>0</v>
      </c>
      <c r="I132" s="193"/>
      <c r="J132" s="195">
        <f t="shared" si="8"/>
        <v>0</v>
      </c>
      <c r="K132" s="139"/>
      <c r="L132" s="197"/>
      <c r="M132" s="198"/>
      <c r="N132" s="198"/>
      <c r="O132" s="139"/>
      <c r="P132" s="139"/>
      <c r="Q132" s="195"/>
      <c r="R132" s="141"/>
      <c r="S132" s="199">
        <f t="shared" si="9"/>
        <v>0</v>
      </c>
      <c r="T132" s="200" t="str">
        <f t="shared" si="10"/>
        <v/>
      </c>
      <c r="U132" s="200">
        <f t="shared" si="11"/>
        <v>0</v>
      </c>
      <c r="V132" s="203"/>
      <c r="W132" s="199">
        <f t="shared" ref="W132:X132" si="120">C132/100</f>
        <v>0</v>
      </c>
      <c r="X132" s="199">
        <f t="shared" si="120"/>
        <v>0</v>
      </c>
      <c r="Y132" s="199">
        <f t="shared" si="14"/>
        <v>0</v>
      </c>
      <c r="Z132" s="202">
        <f t="shared" si="15"/>
        <v>0</v>
      </c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</row>
    <row r="133" ht="27.0" hidden="1" customHeight="1">
      <c r="A133" s="162">
        <v>168.0</v>
      </c>
      <c r="B133" s="193"/>
      <c r="C133" s="193"/>
      <c r="D133" s="193"/>
      <c r="E133" s="193"/>
      <c r="F133" s="193">
        <f t="shared" si="5"/>
        <v>0</v>
      </c>
      <c r="G133" s="193">
        <f t="shared" si="6"/>
        <v>0</v>
      </c>
      <c r="H133" s="194">
        <f t="shared" si="7"/>
        <v>0</v>
      </c>
      <c r="I133" s="193"/>
      <c r="J133" s="195">
        <f t="shared" si="8"/>
        <v>0</v>
      </c>
      <c r="K133" s="139"/>
      <c r="L133" s="197"/>
      <c r="M133" s="198"/>
      <c r="N133" s="198"/>
      <c r="O133" s="139"/>
      <c r="P133" s="139"/>
      <c r="Q133" s="195"/>
      <c r="R133" s="141"/>
      <c r="S133" s="199">
        <f t="shared" si="9"/>
        <v>0</v>
      </c>
      <c r="T133" s="200" t="str">
        <f t="shared" si="10"/>
        <v/>
      </c>
      <c r="U133" s="200">
        <f t="shared" si="11"/>
        <v>0</v>
      </c>
      <c r="V133" s="203"/>
      <c r="W133" s="199">
        <f t="shared" ref="W133:X133" si="121">C133/100</f>
        <v>0</v>
      </c>
      <c r="X133" s="199">
        <f t="shared" si="121"/>
        <v>0</v>
      </c>
      <c r="Y133" s="199">
        <f t="shared" si="14"/>
        <v>0</v>
      </c>
      <c r="Z133" s="202">
        <f t="shared" si="15"/>
        <v>0</v>
      </c>
      <c r="AA133" s="139"/>
      <c r="AB133" s="139"/>
      <c r="AC133" s="139"/>
      <c r="AD133" s="139"/>
      <c r="AE133" s="139"/>
      <c r="AF133" s="139"/>
      <c r="AG133" s="139"/>
      <c r="AH133" s="139"/>
      <c r="AI133" s="139"/>
      <c r="AJ133" s="139"/>
      <c r="AK133" s="139"/>
    </row>
    <row r="134" ht="27.0" hidden="1" customHeight="1">
      <c r="A134" s="162">
        <v>169.0</v>
      </c>
      <c r="B134" s="193"/>
      <c r="C134" s="193"/>
      <c r="D134" s="193"/>
      <c r="E134" s="193"/>
      <c r="F134" s="193">
        <f t="shared" si="5"/>
        <v>0</v>
      </c>
      <c r="G134" s="193">
        <f t="shared" si="6"/>
        <v>0</v>
      </c>
      <c r="H134" s="194">
        <f t="shared" si="7"/>
        <v>0</v>
      </c>
      <c r="I134" s="193"/>
      <c r="J134" s="195">
        <f t="shared" si="8"/>
        <v>0</v>
      </c>
      <c r="K134" s="139"/>
      <c r="L134" s="197"/>
      <c r="M134" s="198"/>
      <c r="N134" s="198"/>
      <c r="O134" s="139"/>
      <c r="P134" s="139"/>
      <c r="Q134" s="195"/>
      <c r="R134" s="141"/>
      <c r="S134" s="199">
        <f t="shared" si="9"/>
        <v>0</v>
      </c>
      <c r="T134" s="200" t="str">
        <f t="shared" si="10"/>
        <v/>
      </c>
      <c r="U134" s="200">
        <f t="shared" si="11"/>
        <v>0</v>
      </c>
      <c r="V134" s="203"/>
      <c r="W134" s="199">
        <f t="shared" ref="W134:X134" si="122">C134/100</f>
        <v>0</v>
      </c>
      <c r="X134" s="199">
        <f t="shared" si="122"/>
        <v>0</v>
      </c>
      <c r="Y134" s="199">
        <f t="shared" si="14"/>
        <v>0</v>
      </c>
      <c r="Z134" s="202">
        <f t="shared" si="15"/>
        <v>0</v>
      </c>
      <c r="AA134" s="139"/>
      <c r="AB134" s="139"/>
      <c r="AC134" s="139"/>
      <c r="AD134" s="139"/>
      <c r="AE134" s="139"/>
      <c r="AF134" s="139"/>
      <c r="AG134" s="139"/>
      <c r="AH134" s="139"/>
      <c r="AI134" s="139"/>
      <c r="AJ134" s="139"/>
      <c r="AK134" s="139"/>
    </row>
    <row r="135" ht="27.0" hidden="1" customHeight="1">
      <c r="A135" s="162">
        <v>170.0</v>
      </c>
      <c r="B135" s="193"/>
      <c r="C135" s="193"/>
      <c r="D135" s="193"/>
      <c r="E135" s="193"/>
      <c r="F135" s="193">
        <f t="shared" si="5"/>
        <v>0</v>
      </c>
      <c r="G135" s="193">
        <f t="shared" si="6"/>
        <v>0</v>
      </c>
      <c r="H135" s="194">
        <f t="shared" si="7"/>
        <v>0</v>
      </c>
      <c r="I135" s="193"/>
      <c r="J135" s="195">
        <f t="shared" si="8"/>
        <v>0</v>
      </c>
      <c r="K135" s="139"/>
      <c r="L135" s="197"/>
      <c r="M135" s="198"/>
      <c r="N135" s="198"/>
      <c r="O135" s="139"/>
      <c r="P135" s="139"/>
      <c r="Q135" s="195"/>
      <c r="R135" s="141"/>
      <c r="S135" s="199">
        <f t="shared" si="9"/>
        <v>0</v>
      </c>
      <c r="T135" s="200" t="str">
        <f t="shared" si="10"/>
        <v/>
      </c>
      <c r="U135" s="200">
        <f t="shared" si="11"/>
        <v>0</v>
      </c>
      <c r="V135" s="203"/>
      <c r="W135" s="199">
        <f t="shared" ref="W135:X135" si="123">C135/100</f>
        <v>0</v>
      </c>
      <c r="X135" s="199">
        <f t="shared" si="123"/>
        <v>0</v>
      </c>
      <c r="Y135" s="199">
        <f t="shared" si="14"/>
        <v>0</v>
      </c>
      <c r="Z135" s="202">
        <f t="shared" si="15"/>
        <v>0</v>
      </c>
      <c r="AA135" s="139"/>
      <c r="AB135" s="139"/>
      <c r="AC135" s="139"/>
      <c r="AD135" s="139"/>
      <c r="AE135" s="139"/>
      <c r="AF135" s="139"/>
      <c r="AG135" s="139"/>
      <c r="AH135" s="139"/>
      <c r="AI135" s="139"/>
      <c r="AJ135" s="139"/>
      <c r="AK135" s="139"/>
    </row>
    <row r="136" ht="27.0" hidden="1" customHeight="1">
      <c r="A136" s="162">
        <v>171.0</v>
      </c>
      <c r="B136" s="193"/>
      <c r="C136" s="193"/>
      <c r="D136" s="193"/>
      <c r="E136" s="193"/>
      <c r="F136" s="193">
        <f t="shared" si="5"/>
        <v>0</v>
      </c>
      <c r="G136" s="193">
        <f t="shared" si="6"/>
        <v>0</v>
      </c>
      <c r="H136" s="194">
        <f t="shared" si="7"/>
        <v>0</v>
      </c>
      <c r="I136" s="193"/>
      <c r="J136" s="195">
        <f t="shared" si="8"/>
        <v>0</v>
      </c>
      <c r="K136" s="139"/>
      <c r="L136" s="197"/>
      <c r="M136" s="198"/>
      <c r="N136" s="198"/>
      <c r="O136" s="139"/>
      <c r="P136" s="139"/>
      <c r="Q136" s="195"/>
      <c r="R136" s="141"/>
      <c r="S136" s="199">
        <f t="shared" si="9"/>
        <v>0</v>
      </c>
      <c r="T136" s="200" t="str">
        <f t="shared" si="10"/>
        <v/>
      </c>
      <c r="U136" s="200">
        <f t="shared" si="11"/>
        <v>0</v>
      </c>
      <c r="V136" s="203"/>
      <c r="W136" s="199">
        <f t="shared" ref="W136:X136" si="124">C136/100</f>
        <v>0</v>
      </c>
      <c r="X136" s="199">
        <f t="shared" si="124"/>
        <v>0</v>
      </c>
      <c r="Y136" s="199">
        <f t="shared" si="14"/>
        <v>0</v>
      </c>
      <c r="Z136" s="202">
        <f t="shared" si="15"/>
        <v>0</v>
      </c>
      <c r="AA136" s="139"/>
      <c r="AB136" s="139"/>
      <c r="AC136" s="139"/>
      <c r="AD136" s="139"/>
      <c r="AE136" s="139"/>
      <c r="AF136" s="139"/>
      <c r="AG136" s="139"/>
      <c r="AH136" s="139"/>
      <c r="AI136" s="139"/>
      <c r="AJ136" s="139"/>
      <c r="AK136" s="139"/>
    </row>
    <row r="137" ht="27.0" hidden="1" customHeight="1">
      <c r="A137" s="162">
        <v>172.0</v>
      </c>
      <c r="B137" s="193"/>
      <c r="C137" s="193"/>
      <c r="D137" s="193"/>
      <c r="E137" s="193"/>
      <c r="F137" s="193">
        <f t="shared" si="5"/>
        <v>0</v>
      </c>
      <c r="G137" s="193">
        <f t="shared" si="6"/>
        <v>0</v>
      </c>
      <c r="H137" s="194">
        <f t="shared" si="7"/>
        <v>0</v>
      </c>
      <c r="I137" s="193"/>
      <c r="J137" s="195">
        <f t="shared" si="8"/>
        <v>0</v>
      </c>
      <c r="K137" s="139"/>
      <c r="L137" s="197"/>
      <c r="M137" s="198"/>
      <c r="N137" s="198"/>
      <c r="O137" s="139"/>
      <c r="P137" s="139"/>
      <c r="Q137" s="195"/>
      <c r="R137" s="141"/>
      <c r="S137" s="199">
        <f t="shared" si="9"/>
        <v>0</v>
      </c>
      <c r="T137" s="200" t="str">
        <f t="shared" si="10"/>
        <v/>
      </c>
      <c r="U137" s="200">
        <f t="shared" si="11"/>
        <v>0</v>
      </c>
      <c r="V137" s="203"/>
      <c r="W137" s="199">
        <f t="shared" ref="W137:X137" si="125">C137/100</f>
        <v>0</v>
      </c>
      <c r="X137" s="199">
        <f t="shared" si="125"/>
        <v>0</v>
      </c>
      <c r="Y137" s="199">
        <f t="shared" si="14"/>
        <v>0</v>
      </c>
      <c r="Z137" s="202">
        <f t="shared" si="15"/>
        <v>0</v>
      </c>
      <c r="AA137" s="139"/>
      <c r="AB137" s="139"/>
      <c r="AC137" s="139"/>
      <c r="AD137" s="139"/>
      <c r="AE137" s="139"/>
      <c r="AF137" s="139"/>
      <c r="AG137" s="139"/>
      <c r="AH137" s="139"/>
      <c r="AI137" s="139"/>
      <c r="AJ137" s="139"/>
      <c r="AK137" s="139"/>
    </row>
    <row r="138" ht="27.0" hidden="1" customHeight="1">
      <c r="A138" s="162">
        <v>173.0</v>
      </c>
      <c r="B138" s="193"/>
      <c r="C138" s="193"/>
      <c r="D138" s="193"/>
      <c r="E138" s="193"/>
      <c r="F138" s="193">
        <f t="shared" si="5"/>
        <v>0</v>
      </c>
      <c r="G138" s="193">
        <f t="shared" si="6"/>
        <v>0</v>
      </c>
      <c r="H138" s="194">
        <f t="shared" si="7"/>
        <v>0</v>
      </c>
      <c r="I138" s="193"/>
      <c r="J138" s="195">
        <f t="shared" si="8"/>
        <v>0</v>
      </c>
      <c r="K138" s="139"/>
      <c r="L138" s="197"/>
      <c r="M138" s="198"/>
      <c r="N138" s="198"/>
      <c r="O138" s="139"/>
      <c r="P138" s="139"/>
      <c r="Q138" s="195"/>
      <c r="R138" s="141"/>
      <c r="S138" s="199">
        <f t="shared" si="9"/>
        <v>0</v>
      </c>
      <c r="T138" s="200" t="str">
        <f t="shared" si="10"/>
        <v/>
      </c>
      <c r="U138" s="200">
        <f t="shared" si="11"/>
        <v>0</v>
      </c>
      <c r="V138" s="203"/>
      <c r="W138" s="199">
        <f t="shared" ref="W138:X138" si="126">C138/100</f>
        <v>0</v>
      </c>
      <c r="X138" s="199">
        <f t="shared" si="126"/>
        <v>0</v>
      </c>
      <c r="Y138" s="199">
        <f t="shared" si="14"/>
        <v>0</v>
      </c>
      <c r="Z138" s="202">
        <f t="shared" si="15"/>
        <v>0</v>
      </c>
      <c r="AA138" s="139"/>
      <c r="AB138" s="139"/>
      <c r="AC138" s="139"/>
      <c r="AD138" s="139"/>
      <c r="AE138" s="139"/>
      <c r="AF138" s="139"/>
      <c r="AG138" s="139"/>
      <c r="AH138" s="139"/>
      <c r="AI138" s="139"/>
      <c r="AJ138" s="139"/>
      <c r="AK138" s="139"/>
    </row>
    <row r="139" ht="27.0" hidden="1" customHeight="1">
      <c r="A139" s="162">
        <v>174.0</v>
      </c>
      <c r="B139" s="193"/>
      <c r="C139" s="193"/>
      <c r="D139" s="193"/>
      <c r="E139" s="193"/>
      <c r="F139" s="193">
        <f t="shared" si="5"/>
        <v>0</v>
      </c>
      <c r="G139" s="193">
        <f t="shared" si="6"/>
        <v>0</v>
      </c>
      <c r="H139" s="194">
        <f t="shared" si="7"/>
        <v>0</v>
      </c>
      <c r="I139" s="193"/>
      <c r="J139" s="195">
        <f t="shared" si="8"/>
        <v>0</v>
      </c>
      <c r="K139" s="139"/>
      <c r="L139" s="197"/>
      <c r="M139" s="198"/>
      <c r="N139" s="198"/>
      <c r="O139" s="139"/>
      <c r="P139" s="139"/>
      <c r="Q139" s="195"/>
      <c r="R139" s="141"/>
      <c r="S139" s="199">
        <f t="shared" si="9"/>
        <v>0</v>
      </c>
      <c r="T139" s="200" t="str">
        <f t="shared" si="10"/>
        <v/>
      </c>
      <c r="U139" s="200">
        <f t="shared" si="11"/>
        <v>0</v>
      </c>
      <c r="V139" s="203"/>
      <c r="W139" s="199">
        <f t="shared" ref="W139:X139" si="127">C139/100</f>
        <v>0</v>
      </c>
      <c r="X139" s="199">
        <f t="shared" si="127"/>
        <v>0</v>
      </c>
      <c r="Y139" s="199">
        <f t="shared" si="14"/>
        <v>0</v>
      </c>
      <c r="Z139" s="202">
        <f t="shared" si="15"/>
        <v>0</v>
      </c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</row>
    <row r="140" ht="27.0" hidden="1" customHeight="1">
      <c r="A140" s="162">
        <v>175.0</v>
      </c>
      <c r="B140" s="193"/>
      <c r="C140" s="193"/>
      <c r="D140" s="193"/>
      <c r="E140" s="193"/>
      <c r="F140" s="193">
        <f t="shared" si="5"/>
        <v>0</v>
      </c>
      <c r="G140" s="193">
        <f t="shared" si="6"/>
        <v>0</v>
      </c>
      <c r="H140" s="194">
        <f t="shared" si="7"/>
        <v>0</v>
      </c>
      <c r="I140" s="193"/>
      <c r="J140" s="195">
        <f t="shared" si="8"/>
        <v>0</v>
      </c>
      <c r="K140" s="139"/>
      <c r="L140" s="197"/>
      <c r="M140" s="198"/>
      <c r="N140" s="198"/>
      <c r="O140" s="139"/>
      <c r="P140" s="139"/>
      <c r="Q140" s="195"/>
      <c r="R140" s="141"/>
      <c r="S140" s="199">
        <f t="shared" si="9"/>
        <v>0</v>
      </c>
      <c r="T140" s="200" t="str">
        <f t="shared" si="10"/>
        <v/>
      </c>
      <c r="U140" s="200">
        <f t="shared" si="11"/>
        <v>0</v>
      </c>
      <c r="V140" s="203"/>
      <c r="W140" s="199">
        <f t="shared" ref="W140:X140" si="128">C140/100</f>
        <v>0</v>
      </c>
      <c r="X140" s="199">
        <f t="shared" si="128"/>
        <v>0</v>
      </c>
      <c r="Y140" s="199">
        <f t="shared" si="14"/>
        <v>0</v>
      </c>
      <c r="Z140" s="202">
        <f t="shared" si="15"/>
        <v>0</v>
      </c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</row>
    <row r="141" ht="27.0" hidden="1" customHeight="1">
      <c r="A141" s="162">
        <v>176.0</v>
      </c>
      <c r="B141" s="193"/>
      <c r="C141" s="193"/>
      <c r="D141" s="193"/>
      <c r="E141" s="193"/>
      <c r="F141" s="193">
        <f t="shared" si="5"/>
        <v>0</v>
      </c>
      <c r="G141" s="193">
        <f t="shared" si="6"/>
        <v>0</v>
      </c>
      <c r="H141" s="194">
        <f t="shared" si="7"/>
        <v>0</v>
      </c>
      <c r="I141" s="193"/>
      <c r="J141" s="195">
        <f t="shared" si="8"/>
        <v>0</v>
      </c>
      <c r="K141" s="139"/>
      <c r="L141" s="197"/>
      <c r="M141" s="198"/>
      <c r="N141" s="198"/>
      <c r="O141" s="139"/>
      <c r="P141" s="139"/>
      <c r="Q141" s="195"/>
      <c r="R141" s="141"/>
      <c r="S141" s="199">
        <f t="shared" si="9"/>
        <v>0</v>
      </c>
      <c r="T141" s="200" t="str">
        <f t="shared" si="10"/>
        <v/>
      </c>
      <c r="U141" s="200">
        <f t="shared" si="11"/>
        <v>0</v>
      </c>
      <c r="V141" s="203"/>
      <c r="W141" s="199">
        <f t="shared" ref="W141:X141" si="129">C141/100</f>
        <v>0</v>
      </c>
      <c r="X141" s="199">
        <f t="shared" si="129"/>
        <v>0</v>
      </c>
      <c r="Y141" s="199">
        <f t="shared" si="14"/>
        <v>0</v>
      </c>
      <c r="Z141" s="202">
        <f t="shared" si="15"/>
        <v>0</v>
      </c>
      <c r="AA141" s="139"/>
      <c r="AB141" s="139"/>
      <c r="AC141" s="139"/>
      <c r="AD141" s="139"/>
      <c r="AE141" s="139"/>
      <c r="AF141" s="139"/>
      <c r="AG141" s="139"/>
      <c r="AH141" s="139"/>
      <c r="AI141" s="139"/>
      <c r="AJ141" s="139"/>
      <c r="AK141" s="139"/>
    </row>
    <row r="142" ht="27.0" hidden="1" customHeight="1">
      <c r="A142" s="162">
        <v>177.0</v>
      </c>
      <c r="B142" s="193"/>
      <c r="C142" s="193"/>
      <c r="D142" s="193"/>
      <c r="E142" s="193"/>
      <c r="F142" s="193">
        <f t="shared" si="5"/>
        <v>0</v>
      </c>
      <c r="G142" s="193">
        <f t="shared" si="6"/>
        <v>0</v>
      </c>
      <c r="H142" s="194">
        <f t="shared" si="7"/>
        <v>0</v>
      </c>
      <c r="I142" s="193"/>
      <c r="J142" s="195">
        <f t="shared" si="8"/>
        <v>0</v>
      </c>
      <c r="K142" s="139"/>
      <c r="L142" s="197"/>
      <c r="M142" s="198"/>
      <c r="N142" s="198"/>
      <c r="O142" s="139"/>
      <c r="P142" s="139"/>
      <c r="Q142" s="195"/>
      <c r="R142" s="141"/>
      <c r="S142" s="199">
        <f t="shared" si="9"/>
        <v>0</v>
      </c>
      <c r="T142" s="200" t="str">
        <f t="shared" si="10"/>
        <v/>
      </c>
      <c r="U142" s="200">
        <f t="shared" si="11"/>
        <v>0</v>
      </c>
      <c r="V142" s="203"/>
      <c r="W142" s="199">
        <f t="shared" ref="W142:X142" si="130">C142/100</f>
        <v>0</v>
      </c>
      <c r="X142" s="199">
        <f t="shared" si="130"/>
        <v>0</v>
      </c>
      <c r="Y142" s="199">
        <f t="shared" si="14"/>
        <v>0</v>
      </c>
      <c r="Z142" s="202">
        <f t="shared" si="15"/>
        <v>0</v>
      </c>
      <c r="AA142" s="139"/>
      <c r="AB142" s="139"/>
      <c r="AC142" s="139"/>
      <c r="AD142" s="139"/>
      <c r="AE142" s="139"/>
      <c r="AF142" s="139"/>
      <c r="AG142" s="139"/>
      <c r="AH142" s="139"/>
      <c r="AI142" s="139"/>
      <c r="AJ142" s="139"/>
      <c r="AK142" s="139"/>
    </row>
    <row r="143" ht="27.0" hidden="1" customHeight="1">
      <c r="A143" s="162">
        <v>178.0</v>
      </c>
      <c r="B143" s="193"/>
      <c r="C143" s="193"/>
      <c r="D143" s="193"/>
      <c r="E143" s="193"/>
      <c r="F143" s="193">
        <f t="shared" si="5"/>
        <v>0</v>
      </c>
      <c r="G143" s="193">
        <f t="shared" si="6"/>
        <v>0</v>
      </c>
      <c r="H143" s="194">
        <f t="shared" si="7"/>
        <v>0</v>
      </c>
      <c r="I143" s="193"/>
      <c r="J143" s="195">
        <f t="shared" si="8"/>
        <v>0</v>
      </c>
      <c r="K143" s="139"/>
      <c r="L143" s="197"/>
      <c r="M143" s="198"/>
      <c r="N143" s="198"/>
      <c r="O143" s="139"/>
      <c r="P143" s="139"/>
      <c r="Q143" s="195"/>
      <c r="R143" s="141"/>
      <c r="S143" s="199">
        <f t="shared" si="9"/>
        <v>0</v>
      </c>
      <c r="T143" s="200" t="str">
        <f t="shared" si="10"/>
        <v/>
      </c>
      <c r="U143" s="200">
        <f t="shared" si="11"/>
        <v>0</v>
      </c>
      <c r="V143" s="203"/>
      <c r="W143" s="199">
        <f t="shared" ref="W143:X143" si="131">C143/100</f>
        <v>0</v>
      </c>
      <c r="X143" s="199">
        <f t="shared" si="131"/>
        <v>0</v>
      </c>
      <c r="Y143" s="199">
        <f t="shared" si="14"/>
        <v>0</v>
      </c>
      <c r="Z143" s="202">
        <f t="shared" si="15"/>
        <v>0</v>
      </c>
      <c r="AA143" s="139"/>
      <c r="AB143" s="139"/>
      <c r="AC143" s="139"/>
      <c r="AD143" s="139"/>
      <c r="AE143" s="139"/>
      <c r="AF143" s="139"/>
      <c r="AG143" s="139"/>
      <c r="AH143" s="139"/>
      <c r="AI143" s="139"/>
      <c r="AJ143" s="139"/>
      <c r="AK143" s="139"/>
    </row>
    <row r="144" ht="27.0" hidden="1" customHeight="1">
      <c r="A144" s="162">
        <v>179.0</v>
      </c>
      <c r="B144" s="193"/>
      <c r="C144" s="193"/>
      <c r="D144" s="193"/>
      <c r="E144" s="193"/>
      <c r="F144" s="193">
        <f t="shared" si="5"/>
        <v>0</v>
      </c>
      <c r="G144" s="193">
        <f t="shared" si="6"/>
        <v>0</v>
      </c>
      <c r="H144" s="194">
        <f t="shared" si="7"/>
        <v>0</v>
      </c>
      <c r="I144" s="193"/>
      <c r="J144" s="195">
        <f t="shared" si="8"/>
        <v>0</v>
      </c>
      <c r="K144" s="139"/>
      <c r="L144" s="197"/>
      <c r="M144" s="198"/>
      <c r="N144" s="198"/>
      <c r="O144" s="139"/>
      <c r="P144" s="139"/>
      <c r="Q144" s="195"/>
      <c r="R144" s="141"/>
      <c r="S144" s="199">
        <f t="shared" si="9"/>
        <v>0</v>
      </c>
      <c r="T144" s="200" t="str">
        <f t="shared" si="10"/>
        <v/>
      </c>
      <c r="U144" s="200">
        <f t="shared" si="11"/>
        <v>0</v>
      </c>
      <c r="V144" s="203"/>
      <c r="W144" s="199">
        <f t="shared" ref="W144:X144" si="132">C144/100</f>
        <v>0</v>
      </c>
      <c r="X144" s="199">
        <f t="shared" si="132"/>
        <v>0</v>
      </c>
      <c r="Y144" s="199">
        <f t="shared" si="14"/>
        <v>0</v>
      </c>
      <c r="Z144" s="202">
        <f t="shared" si="15"/>
        <v>0</v>
      </c>
      <c r="AA144" s="139"/>
      <c r="AB144" s="139"/>
      <c r="AC144" s="139"/>
      <c r="AD144" s="139"/>
      <c r="AE144" s="139"/>
      <c r="AF144" s="139"/>
      <c r="AG144" s="139"/>
      <c r="AH144" s="139"/>
      <c r="AI144" s="139"/>
      <c r="AJ144" s="139"/>
      <c r="AK144" s="139"/>
    </row>
    <row r="145" ht="27.0" hidden="1" customHeight="1">
      <c r="A145" s="162">
        <v>180.0</v>
      </c>
      <c r="B145" s="193"/>
      <c r="C145" s="193"/>
      <c r="D145" s="193"/>
      <c r="E145" s="193"/>
      <c r="F145" s="193">
        <f t="shared" si="5"/>
        <v>0</v>
      </c>
      <c r="G145" s="193">
        <f t="shared" si="6"/>
        <v>0</v>
      </c>
      <c r="H145" s="194">
        <f t="shared" si="7"/>
        <v>0</v>
      </c>
      <c r="I145" s="193"/>
      <c r="J145" s="195">
        <f t="shared" si="8"/>
        <v>0</v>
      </c>
      <c r="K145" s="139"/>
      <c r="L145" s="197"/>
      <c r="M145" s="198"/>
      <c r="N145" s="198"/>
      <c r="O145" s="139"/>
      <c r="P145" s="139"/>
      <c r="Q145" s="195"/>
      <c r="R145" s="141"/>
      <c r="S145" s="199">
        <f t="shared" si="9"/>
        <v>0</v>
      </c>
      <c r="T145" s="200" t="str">
        <f t="shared" si="10"/>
        <v/>
      </c>
      <c r="U145" s="200">
        <f t="shared" si="11"/>
        <v>0</v>
      </c>
      <c r="V145" s="203"/>
      <c r="W145" s="199">
        <f t="shared" ref="W145:X145" si="133">C145/100</f>
        <v>0</v>
      </c>
      <c r="X145" s="199">
        <f t="shared" si="133"/>
        <v>0</v>
      </c>
      <c r="Y145" s="199">
        <f t="shared" si="14"/>
        <v>0</v>
      </c>
      <c r="Z145" s="202">
        <f t="shared" si="15"/>
        <v>0</v>
      </c>
      <c r="AA145" s="139"/>
      <c r="AB145" s="139"/>
      <c r="AC145" s="139"/>
      <c r="AD145" s="139"/>
      <c r="AE145" s="139"/>
      <c r="AF145" s="139"/>
      <c r="AG145" s="139"/>
      <c r="AH145" s="139"/>
      <c r="AI145" s="139"/>
      <c r="AJ145" s="139"/>
      <c r="AK145" s="139"/>
    </row>
    <row r="146" ht="27.0" hidden="1" customHeight="1">
      <c r="A146" s="162">
        <v>181.0</v>
      </c>
      <c r="B146" s="193"/>
      <c r="C146" s="193"/>
      <c r="D146" s="193"/>
      <c r="E146" s="193"/>
      <c r="F146" s="193">
        <f t="shared" si="5"/>
        <v>0</v>
      </c>
      <c r="G146" s="193">
        <f t="shared" si="6"/>
        <v>0</v>
      </c>
      <c r="H146" s="194">
        <f t="shared" si="7"/>
        <v>0</v>
      </c>
      <c r="I146" s="193"/>
      <c r="J146" s="195">
        <f t="shared" si="8"/>
        <v>0</v>
      </c>
      <c r="K146" s="139"/>
      <c r="L146" s="197"/>
      <c r="M146" s="198"/>
      <c r="N146" s="198"/>
      <c r="O146" s="139"/>
      <c r="P146" s="139"/>
      <c r="Q146" s="195"/>
      <c r="R146" s="141"/>
      <c r="S146" s="199">
        <f t="shared" si="9"/>
        <v>0</v>
      </c>
      <c r="T146" s="200" t="str">
        <f t="shared" si="10"/>
        <v/>
      </c>
      <c r="U146" s="200">
        <f t="shared" si="11"/>
        <v>0</v>
      </c>
      <c r="V146" s="203"/>
      <c r="W146" s="199">
        <f t="shared" ref="W146:X146" si="134">C146/100</f>
        <v>0</v>
      </c>
      <c r="X146" s="199">
        <f t="shared" si="134"/>
        <v>0</v>
      </c>
      <c r="Y146" s="199">
        <f t="shared" si="14"/>
        <v>0</v>
      </c>
      <c r="Z146" s="202">
        <f t="shared" si="15"/>
        <v>0</v>
      </c>
      <c r="AA146" s="139"/>
      <c r="AB146" s="139"/>
      <c r="AC146" s="139"/>
      <c r="AD146" s="139"/>
      <c r="AE146" s="139"/>
      <c r="AF146" s="139"/>
      <c r="AG146" s="139"/>
      <c r="AH146" s="139"/>
      <c r="AI146" s="139"/>
      <c r="AJ146" s="139"/>
      <c r="AK146" s="139"/>
    </row>
    <row r="147" ht="27.0" hidden="1" customHeight="1">
      <c r="A147" s="162">
        <v>182.0</v>
      </c>
      <c r="B147" s="193"/>
      <c r="C147" s="193"/>
      <c r="D147" s="193"/>
      <c r="E147" s="193"/>
      <c r="F147" s="193">
        <f t="shared" si="5"/>
        <v>0</v>
      </c>
      <c r="G147" s="193">
        <f t="shared" si="6"/>
        <v>0</v>
      </c>
      <c r="H147" s="194">
        <f t="shared" si="7"/>
        <v>0</v>
      </c>
      <c r="I147" s="193"/>
      <c r="J147" s="195">
        <f t="shared" si="8"/>
        <v>0</v>
      </c>
      <c r="K147" s="139"/>
      <c r="L147" s="197"/>
      <c r="M147" s="198"/>
      <c r="N147" s="198"/>
      <c r="O147" s="139"/>
      <c r="P147" s="139"/>
      <c r="Q147" s="195"/>
      <c r="R147" s="141"/>
      <c r="S147" s="199">
        <f t="shared" si="9"/>
        <v>0</v>
      </c>
      <c r="T147" s="200" t="str">
        <f t="shared" si="10"/>
        <v/>
      </c>
      <c r="U147" s="200">
        <f t="shared" si="11"/>
        <v>0</v>
      </c>
      <c r="V147" s="203"/>
      <c r="W147" s="199">
        <f t="shared" ref="W147:X147" si="135">C147/100</f>
        <v>0</v>
      </c>
      <c r="X147" s="199">
        <f t="shared" si="135"/>
        <v>0</v>
      </c>
      <c r="Y147" s="199">
        <f t="shared" si="14"/>
        <v>0</v>
      </c>
      <c r="Z147" s="202">
        <f t="shared" si="15"/>
        <v>0</v>
      </c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</row>
    <row r="148" ht="27.0" hidden="1" customHeight="1">
      <c r="A148" s="162">
        <v>183.0</v>
      </c>
      <c r="B148" s="193"/>
      <c r="C148" s="193"/>
      <c r="D148" s="193"/>
      <c r="E148" s="193"/>
      <c r="F148" s="193">
        <f t="shared" si="5"/>
        <v>0</v>
      </c>
      <c r="G148" s="193">
        <f t="shared" si="6"/>
        <v>0</v>
      </c>
      <c r="H148" s="194">
        <f t="shared" si="7"/>
        <v>0</v>
      </c>
      <c r="I148" s="193"/>
      <c r="J148" s="195">
        <f t="shared" si="8"/>
        <v>0</v>
      </c>
      <c r="K148" s="139"/>
      <c r="L148" s="197"/>
      <c r="M148" s="198"/>
      <c r="N148" s="198"/>
      <c r="O148" s="139"/>
      <c r="P148" s="139"/>
      <c r="Q148" s="195"/>
      <c r="R148" s="141"/>
      <c r="S148" s="199">
        <f t="shared" si="9"/>
        <v>0</v>
      </c>
      <c r="T148" s="200" t="str">
        <f t="shared" si="10"/>
        <v/>
      </c>
      <c r="U148" s="200">
        <f t="shared" si="11"/>
        <v>0</v>
      </c>
      <c r="V148" s="203"/>
      <c r="W148" s="199">
        <f t="shared" ref="W148:X148" si="136">C148/100</f>
        <v>0</v>
      </c>
      <c r="X148" s="199">
        <f t="shared" si="136"/>
        <v>0</v>
      </c>
      <c r="Y148" s="199">
        <f t="shared" si="14"/>
        <v>0</v>
      </c>
      <c r="Z148" s="202">
        <f t="shared" si="15"/>
        <v>0</v>
      </c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</row>
    <row r="149" ht="27.0" hidden="1" customHeight="1">
      <c r="A149" s="162">
        <v>184.0</v>
      </c>
      <c r="B149" s="193"/>
      <c r="C149" s="193"/>
      <c r="D149" s="193"/>
      <c r="E149" s="193"/>
      <c r="F149" s="193">
        <f t="shared" si="5"/>
        <v>0</v>
      </c>
      <c r="G149" s="193">
        <f t="shared" si="6"/>
        <v>0</v>
      </c>
      <c r="H149" s="194">
        <f t="shared" si="7"/>
        <v>0</v>
      </c>
      <c r="I149" s="193"/>
      <c r="J149" s="195">
        <f t="shared" si="8"/>
        <v>0</v>
      </c>
      <c r="K149" s="139"/>
      <c r="L149" s="197"/>
      <c r="M149" s="198"/>
      <c r="N149" s="198"/>
      <c r="O149" s="139"/>
      <c r="P149" s="139"/>
      <c r="Q149" s="195"/>
      <c r="R149" s="141"/>
      <c r="S149" s="199">
        <f t="shared" si="9"/>
        <v>0</v>
      </c>
      <c r="T149" s="200" t="str">
        <f t="shared" si="10"/>
        <v/>
      </c>
      <c r="U149" s="200">
        <f t="shared" si="11"/>
        <v>0</v>
      </c>
      <c r="V149" s="203"/>
      <c r="W149" s="199">
        <f t="shared" ref="W149:X149" si="137">C149/100</f>
        <v>0</v>
      </c>
      <c r="X149" s="199">
        <f t="shared" si="137"/>
        <v>0</v>
      </c>
      <c r="Y149" s="199">
        <f t="shared" si="14"/>
        <v>0</v>
      </c>
      <c r="Z149" s="202">
        <f t="shared" si="15"/>
        <v>0</v>
      </c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</row>
    <row r="150" ht="27.0" hidden="1" customHeight="1">
      <c r="A150" s="162">
        <v>185.0</v>
      </c>
      <c r="B150" s="193"/>
      <c r="C150" s="193"/>
      <c r="D150" s="193"/>
      <c r="E150" s="193"/>
      <c r="F150" s="193">
        <f t="shared" si="5"/>
        <v>0</v>
      </c>
      <c r="G150" s="193">
        <f t="shared" si="6"/>
        <v>0</v>
      </c>
      <c r="H150" s="194">
        <f t="shared" si="7"/>
        <v>0</v>
      </c>
      <c r="I150" s="193"/>
      <c r="J150" s="195">
        <f t="shared" si="8"/>
        <v>0</v>
      </c>
      <c r="K150" s="139"/>
      <c r="L150" s="197"/>
      <c r="M150" s="198"/>
      <c r="N150" s="198"/>
      <c r="O150" s="139"/>
      <c r="P150" s="139"/>
      <c r="Q150" s="195"/>
      <c r="R150" s="141"/>
      <c r="S150" s="199">
        <f t="shared" si="9"/>
        <v>0</v>
      </c>
      <c r="T150" s="200" t="str">
        <f t="shared" si="10"/>
        <v/>
      </c>
      <c r="U150" s="200">
        <f t="shared" si="11"/>
        <v>0</v>
      </c>
      <c r="V150" s="203"/>
      <c r="W150" s="199">
        <f t="shared" ref="W150:X150" si="138">C150/100</f>
        <v>0</v>
      </c>
      <c r="X150" s="199">
        <f t="shared" si="138"/>
        <v>0</v>
      </c>
      <c r="Y150" s="199">
        <f t="shared" si="14"/>
        <v>0</v>
      </c>
      <c r="Z150" s="202">
        <f t="shared" si="15"/>
        <v>0</v>
      </c>
      <c r="AA150" s="139"/>
      <c r="AB150" s="139"/>
      <c r="AC150" s="139"/>
      <c r="AD150" s="139"/>
      <c r="AE150" s="139"/>
      <c r="AF150" s="139"/>
      <c r="AG150" s="139"/>
      <c r="AH150" s="139"/>
      <c r="AI150" s="139"/>
      <c r="AJ150" s="139"/>
      <c r="AK150" s="139"/>
    </row>
    <row r="151" ht="27.0" hidden="1" customHeight="1">
      <c r="A151" s="162">
        <v>186.0</v>
      </c>
      <c r="B151" s="193"/>
      <c r="C151" s="193"/>
      <c r="D151" s="193"/>
      <c r="E151" s="193"/>
      <c r="F151" s="193">
        <f t="shared" si="5"/>
        <v>0</v>
      </c>
      <c r="G151" s="193">
        <f t="shared" si="6"/>
        <v>0</v>
      </c>
      <c r="H151" s="194">
        <f t="shared" si="7"/>
        <v>0</v>
      </c>
      <c r="I151" s="193"/>
      <c r="J151" s="195">
        <f t="shared" si="8"/>
        <v>0</v>
      </c>
      <c r="K151" s="139"/>
      <c r="L151" s="197"/>
      <c r="M151" s="198"/>
      <c r="N151" s="198"/>
      <c r="O151" s="139"/>
      <c r="P151" s="139"/>
      <c r="Q151" s="195"/>
      <c r="R151" s="141"/>
      <c r="S151" s="199">
        <f t="shared" si="9"/>
        <v>0</v>
      </c>
      <c r="T151" s="200" t="str">
        <f t="shared" si="10"/>
        <v/>
      </c>
      <c r="U151" s="200">
        <f t="shared" si="11"/>
        <v>0</v>
      </c>
      <c r="V151" s="203"/>
      <c r="W151" s="199">
        <f t="shared" ref="W151:X151" si="139">C151/100</f>
        <v>0</v>
      </c>
      <c r="X151" s="199">
        <f t="shared" si="139"/>
        <v>0</v>
      </c>
      <c r="Y151" s="199">
        <f t="shared" si="14"/>
        <v>0</v>
      </c>
      <c r="Z151" s="202">
        <f t="shared" si="15"/>
        <v>0</v>
      </c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</row>
    <row r="152" ht="27.0" hidden="1" customHeight="1">
      <c r="A152" s="162">
        <v>187.0</v>
      </c>
      <c r="B152" s="193"/>
      <c r="C152" s="193"/>
      <c r="D152" s="193"/>
      <c r="E152" s="193"/>
      <c r="F152" s="193">
        <f t="shared" si="5"/>
        <v>0</v>
      </c>
      <c r="G152" s="193">
        <f t="shared" si="6"/>
        <v>0</v>
      </c>
      <c r="H152" s="194">
        <f t="shared" si="7"/>
        <v>0</v>
      </c>
      <c r="I152" s="193"/>
      <c r="J152" s="195">
        <f t="shared" si="8"/>
        <v>0</v>
      </c>
      <c r="K152" s="139"/>
      <c r="L152" s="197"/>
      <c r="M152" s="198"/>
      <c r="N152" s="198"/>
      <c r="O152" s="139"/>
      <c r="P152" s="139"/>
      <c r="Q152" s="195"/>
      <c r="R152" s="141"/>
      <c r="S152" s="199">
        <f t="shared" si="9"/>
        <v>0</v>
      </c>
      <c r="T152" s="200" t="str">
        <f t="shared" si="10"/>
        <v/>
      </c>
      <c r="U152" s="200">
        <f t="shared" si="11"/>
        <v>0</v>
      </c>
      <c r="V152" s="203"/>
      <c r="W152" s="199">
        <f t="shared" ref="W152:X152" si="140">C152/100</f>
        <v>0</v>
      </c>
      <c r="X152" s="199">
        <f t="shared" si="140"/>
        <v>0</v>
      </c>
      <c r="Y152" s="199">
        <f t="shared" si="14"/>
        <v>0</v>
      </c>
      <c r="Z152" s="202">
        <f t="shared" si="15"/>
        <v>0</v>
      </c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</row>
    <row r="153" ht="27.0" hidden="1" customHeight="1">
      <c r="A153" s="162">
        <v>188.0</v>
      </c>
      <c r="B153" s="193"/>
      <c r="C153" s="193"/>
      <c r="D153" s="193"/>
      <c r="E153" s="193"/>
      <c r="F153" s="193">
        <f t="shared" si="5"/>
        <v>0</v>
      </c>
      <c r="G153" s="193">
        <f t="shared" si="6"/>
        <v>0</v>
      </c>
      <c r="H153" s="194">
        <f t="shared" si="7"/>
        <v>0</v>
      </c>
      <c r="I153" s="193"/>
      <c r="J153" s="195">
        <f t="shared" si="8"/>
        <v>0</v>
      </c>
      <c r="K153" s="139"/>
      <c r="L153" s="197"/>
      <c r="M153" s="198"/>
      <c r="N153" s="198"/>
      <c r="O153" s="139"/>
      <c r="P153" s="139"/>
      <c r="Q153" s="195"/>
      <c r="R153" s="141"/>
      <c r="S153" s="199">
        <f t="shared" si="9"/>
        <v>0</v>
      </c>
      <c r="T153" s="200" t="str">
        <f t="shared" si="10"/>
        <v/>
      </c>
      <c r="U153" s="200">
        <f t="shared" si="11"/>
        <v>0</v>
      </c>
      <c r="V153" s="203"/>
      <c r="W153" s="199">
        <f t="shared" ref="W153:X153" si="141">C153/100</f>
        <v>0</v>
      </c>
      <c r="X153" s="199">
        <f t="shared" si="141"/>
        <v>0</v>
      </c>
      <c r="Y153" s="199">
        <f t="shared" si="14"/>
        <v>0</v>
      </c>
      <c r="Z153" s="202">
        <f t="shared" si="15"/>
        <v>0</v>
      </c>
      <c r="AA153" s="139"/>
      <c r="AB153" s="139"/>
      <c r="AC153" s="139"/>
      <c r="AD153" s="139"/>
      <c r="AE153" s="139"/>
      <c r="AF153" s="139"/>
      <c r="AG153" s="139"/>
      <c r="AH153" s="139"/>
      <c r="AI153" s="139"/>
      <c r="AJ153" s="139"/>
      <c r="AK153" s="139"/>
    </row>
    <row r="154" ht="27.0" hidden="1" customHeight="1">
      <c r="A154" s="162">
        <v>189.0</v>
      </c>
      <c r="B154" s="193"/>
      <c r="C154" s="193"/>
      <c r="D154" s="193"/>
      <c r="E154" s="193"/>
      <c r="F154" s="193">
        <f t="shared" si="5"/>
        <v>0</v>
      </c>
      <c r="G154" s="193">
        <f t="shared" si="6"/>
        <v>0</v>
      </c>
      <c r="H154" s="194">
        <f t="shared" si="7"/>
        <v>0</v>
      </c>
      <c r="I154" s="193"/>
      <c r="J154" s="195">
        <f t="shared" si="8"/>
        <v>0</v>
      </c>
      <c r="K154" s="139"/>
      <c r="L154" s="197"/>
      <c r="M154" s="198"/>
      <c r="N154" s="198"/>
      <c r="O154" s="139"/>
      <c r="P154" s="139"/>
      <c r="Q154" s="195"/>
      <c r="R154" s="141"/>
      <c r="S154" s="199">
        <f t="shared" si="9"/>
        <v>0</v>
      </c>
      <c r="T154" s="200" t="str">
        <f t="shared" si="10"/>
        <v/>
      </c>
      <c r="U154" s="200">
        <f t="shared" si="11"/>
        <v>0</v>
      </c>
      <c r="V154" s="203"/>
      <c r="W154" s="199">
        <f t="shared" ref="W154:X154" si="142">C154/100</f>
        <v>0</v>
      </c>
      <c r="X154" s="199">
        <f t="shared" si="142"/>
        <v>0</v>
      </c>
      <c r="Y154" s="199">
        <f t="shared" si="14"/>
        <v>0</v>
      </c>
      <c r="Z154" s="202">
        <f t="shared" si="15"/>
        <v>0</v>
      </c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</row>
    <row r="155" ht="27.0" hidden="1" customHeight="1">
      <c r="A155" s="162">
        <v>190.0</v>
      </c>
      <c r="B155" s="193"/>
      <c r="C155" s="193"/>
      <c r="D155" s="193"/>
      <c r="E155" s="193"/>
      <c r="F155" s="193">
        <f t="shared" si="5"/>
        <v>0</v>
      </c>
      <c r="G155" s="193">
        <f t="shared" si="6"/>
        <v>0</v>
      </c>
      <c r="H155" s="194">
        <f t="shared" si="7"/>
        <v>0</v>
      </c>
      <c r="I155" s="193"/>
      <c r="J155" s="195">
        <f t="shared" si="8"/>
        <v>0</v>
      </c>
      <c r="K155" s="139"/>
      <c r="L155" s="197"/>
      <c r="M155" s="198"/>
      <c r="N155" s="198"/>
      <c r="O155" s="139"/>
      <c r="P155" s="139"/>
      <c r="Q155" s="195"/>
      <c r="R155" s="141"/>
      <c r="S155" s="199">
        <f t="shared" si="9"/>
        <v>0</v>
      </c>
      <c r="T155" s="200" t="str">
        <f t="shared" si="10"/>
        <v/>
      </c>
      <c r="U155" s="200">
        <f t="shared" si="11"/>
        <v>0</v>
      </c>
      <c r="V155" s="203"/>
      <c r="W155" s="199">
        <f t="shared" ref="W155:X155" si="143">C155/100</f>
        <v>0</v>
      </c>
      <c r="X155" s="199">
        <f t="shared" si="143"/>
        <v>0</v>
      </c>
      <c r="Y155" s="199">
        <f t="shared" si="14"/>
        <v>0</v>
      </c>
      <c r="Z155" s="202">
        <f t="shared" si="15"/>
        <v>0</v>
      </c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</row>
    <row r="156" ht="27.0" hidden="1" customHeight="1">
      <c r="A156" s="162">
        <v>191.0</v>
      </c>
      <c r="B156" s="193"/>
      <c r="C156" s="193"/>
      <c r="D156" s="193"/>
      <c r="E156" s="193"/>
      <c r="F156" s="193">
        <f t="shared" si="5"/>
        <v>0</v>
      </c>
      <c r="G156" s="193">
        <f t="shared" si="6"/>
        <v>0</v>
      </c>
      <c r="H156" s="194">
        <f t="shared" si="7"/>
        <v>0</v>
      </c>
      <c r="I156" s="193"/>
      <c r="J156" s="195">
        <f t="shared" si="8"/>
        <v>0</v>
      </c>
      <c r="K156" s="139"/>
      <c r="L156" s="197"/>
      <c r="M156" s="198"/>
      <c r="N156" s="198"/>
      <c r="O156" s="139"/>
      <c r="P156" s="139"/>
      <c r="Q156" s="195"/>
      <c r="R156" s="141"/>
      <c r="S156" s="199">
        <f t="shared" si="9"/>
        <v>0</v>
      </c>
      <c r="T156" s="200" t="str">
        <f t="shared" si="10"/>
        <v/>
      </c>
      <c r="U156" s="200">
        <f t="shared" si="11"/>
        <v>0</v>
      </c>
      <c r="V156" s="203"/>
      <c r="W156" s="199">
        <f t="shared" ref="W156:X156" si="144">C156/100</f>
        <v>0</v>
      </c>
      <c r="X156" s="199">
        <f t="shared" si="144"/>
        <v>0</v>
      </c>
      <c r="Y156" s="199">
        <f t="shared" si="14"/>
        <v>0</v>
      </c>
      <c r="Z156" s="202">
        <f t="shared" si="15"/>
        <v>0</v>
      </c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</row>
    <row r="157" ht="27.0" hidden="1" customHeight="1">
      <c r="A157" s="162">
        <v>192.0</v>
      </c>
      <c r="B157" s="193"/>
      <c r="C157" s="193"/>
      <c r="D157" s="193"/>
      <c r="E157" s="193"/>
      <c r="F157" s="193">
        <f t="shared" si="5"/>
        <v>0</v>
      </c>
      <c r="G157" s="193">
        <f t="shared" si="6"/>
        <v>0</v>
      </c>
      <c r="H157" s="194">
        <f t="shared" si="7"/>
        <v>0</v>
      </c>
      <c r="I157" s="193"/>
      <c r="J157" s="195">
        <f t="shared" si="8"/>
        <v>0</v>
      </c>
      <c r="K157" s="139"/>
      <c r="L157" s="197"/>
      <c r="M157" s="198"/>
      <c r="N157" s="198"/>
      <c r="O157" s="139"/>
      <c r="P157" s="139"/>
      <c r="Q157" s="195"/>
      <c r="R157" s="141"/>
      <c r="S157" s="199">
        <f t="shared" si="9"/>
        <v>0</v>
      </c>
      <c r="T157" s="200" t="str">
        <f t="shared" si="10"/>
        <v/>
      </c>
      <c r="U157" s="200">
        <f t="shared" si="11"/>
        <v>0</v>
      </c>
      <c r="V157" s="203"/>
      <c r="W157" s="199">
        <f t="shared" ref="W157:X157" si="145">C157/100</f>
        <v>0</v>
      </c>
      <c r="X157" s="199">
        <f t="shared" si="145"/>
        <v>0</v>
      </c>
      <c r="Y157" s="199">
        <f t="shared" si="14"/>
        <v>0</v>
      </c>
      <c r="Z157" s="202">
        <f t="shared" si="15"/>
        <v>0</v>
      </c>
      <c r="AA157" s="139"/>
      <c r="AB157" s="139"/>
      <c r="AC157" s="139"/>
      <c r="AD157" s="139"/>
      <c r="AE157" s="139"/>
      <c r="AF157" s="139"/>
      <c r="AG157" s="139"/>
      <c r="AH157" s="139"/>
      <c r="AI157" s="139"/>
      <c r="AJ157" s="139"/>
      <c r="AK157" s="139"/>
    </row>
    <row r="158" ht="27.0" hidden="1" customHeight="1">
      <c r="A158" s="162">
        <v>193.0</v>
      </c>
      <c r="B158" s="193"/>
      <c r="C158" s="193"/>
      <c r="D158" s="193"/>
      <c r="E158" s="193"/>
      <c r="F158" s="193">
        <f t="shared" si="5"/>
        <v>0</v>
      </c>
      <c r="G158" s="193">
        <f t="shared" si="6"/>
        <v>0</v>
      </c>
      <c r="H158" s="194">
        <f t="shared" si="7"/>
        <v>0</v>
      </c>
      <c r="I158" s="193"/>
      <c r="J158" s="195">
        <f t="shared" si="8"/>
        <v>0</v>
      </c>
      <c r="K158" s="139"/>
      <c r="L158" s="197"/>
      <c r="M158" s="198"/>
      <c r="N158" s="198"/>
      <c r="O158" s="139"/>
      <c r="P158" s="139"/>
      <c r="Q158" s="195"/>
      <c r="R158" s="141"/>
      <c r="S158" s="199">
        <f t="shared" si="9"/>
        <v>0</v>
      </c>
      <c r="T158" s="200" t="str">
        <f t="shared" si="10"/>
        <v/>
      </c>
      <c r="U158" s="200">
        <f t="shared" si="11"/>
        <v>0</v>
      </c>
      <c r="V158" s="203"/>
      <c r="W158" s="199">
        <f t="shared" ref="W158:X158" si="146">C158/100</f>
        <v>0</v>
      </c>
      <c r="X158" s="199">
        <f t="shared" si="146"/>
        <v>0</v>
      </c>
      <c r="Y158" s="199">
        <f t="shared" si="14"/>
        <v>0</v>
      </c>
      <c r="Z158" s="202">
        <f t="shared" si="15"/>
        <v>0</v>
      </c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</row>
    <row r="159" ht="27.0" hidden="1" customHeight="1">
      <c r="A159" s="162">
        <v>194.0</v>
      </c>
      <c r="B159" s="193"/>
      <c r="C159" s="193"/>
      <c r="D159" s="193"/>
      <c r="E159" s="193"/>
      <c r="F159" s="193">
        <f t="shared" si="5"/>
        <v>0</v>
      </c>
      <c r="G159" s="193">
        <f t="shared" si="6"/>
        <v>0</v>
      </c>
      <c r="H159" s="194">
        <f t="shared" si="7"/>
        <v>0</v>
      </c>
      <c r="I159" s="193"/>
      <c r="J159" s="195">
        <f t="shared" si="8"/>
        <v>0</v>
      </c>
      <c r="K159" s="139"/>
      <c r="L159" s="197"/>
      <c r="M159" s="198"/>
      <c r="N159" s="198"/>
      <c r="O159" s="139"/>
      <c r="P159" s="139"/>
      <c r="Q159" s="195"/>
      <c r="R159" s="141"/>
      <c r="S159" s="199">
        <f t="shared" si="9"/>
        <v>0</v>
      </c>
      <c r="T159" s="200" t="str">
        <f t="shared" si="10"/>
        <v/>
      </c>
      <c r="U159" s="200">
        <f t="shared" si="11"/>
        <v>0</v>
      </c>
      <c r="V159" s="203"/>
      <c r="W159" s="199">
        <f t="shared" ref="W159:X159" si="147">C159/100</f>
        <v>0</v>
      </c>
      <c r="X159" s="199">
        <f t="shared" si="147"/>
        <v>0</v>
      </c>
      <c r="Y159" s="199">
        <f t="shared" si="14"/>
        <v>0</v>
      </c>
      <c r="Z159" s="202">
        <f t="shared" si="15"/>
        <v>0</v>
      </c>
      <c r="AA159" s="139"/>
      <c r="AB159" s="139"/>
      <c r="AC159" s="139"/>
      <c r="AD159" s="139"/>
      <c r="AE159" s="139"/>
      <c r="AF159" s="139"/>
      <c r="AG159" s="139"/>
      <c r="AH159" s="139"/>
      <c r="AI159" s="139"/>
      <c r="AJ159" s="139"/>
      <c r="AK159" s="139"/>
    </row>
    <row r="160" ht="27.0" hidden="1" customHeight="1">
      <c r="A160" s="162">
        <v>195.0</v>
      </c>
      <c r="B160" s="193"/>
      <c r="C160" s="193"/>
      <c r="D160" s="193"/>
      <c r="E160" s="193"/>
      <c r="F160" s="193">
        <f t="shared" si="5"/>
        <v>0</v>
      </c>
      <c r="G160" s="193">
        <f t="shared" si="6"/>
        <v>0</v>
      </c>
      <c r="H160" s="194">
        <f t="shared" si="7"/>
        <v>0</v>
      </c>
      <c r="I160" s="193"/>
      <c r="J160" s="195">
        <f t="shared" si="8"/>
        <v>0</v>
      </c>
      <c r="K160" s="139"/>
      <c r="L160" s="197"/>
      <c r="M160" s="198"/>
      <c r="N160" s="198"/>
      <c r="O160" s="139"/>
      <c r="P160" s="139"/>
      <c r="Q160" s="195"/>
      <c r="R160" s="141"/>
      <c r="S160" s="199">
        <f t="shared" si="9"/>
        <v>0</v>
      </c>
      <c r="T160" s="200" t="str">
        <f t="shared" si="10"/>
        <v/>
      </c>
      <c r="U160" s="200">
        <f t="shared" si="11"/>
        <v>0</v>
      </c>
      <c r="V160" s="203"/>
      <c r="W160" s="199">
        <f t="shared" ref="W160:X160" si="148">C160/100</f>
        <v>0</v>
      </c>
      <c r="X160" s="199">
        <f t="shared" si="148"/>
        <v>0</v>
      </c>
      <c r="Y160" s="199">
        <f t="shared" si="14"/>
        <v>0</v>
      </c>
      <c r="Z160" s="202">
        <f t="shared" si="15"/>
        <v>0</v>
      </c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</row>
    <row r="161" ht="27.0" hidden="1" customHeight="1">
      <c r="A161" s="162">
        <v>196.0</v>
      </c>
      <c r="B161" s="193"/>
      <c r="C161" s="193"/>
      <c r="D161" s="193"/>
      <c r="E161" s="193"/>
      <c r="F161" s="193">
        <f t="shared" si="5"/>
        <v>0</v>
      </c>
      <c r="G161" s="193">
        <f t="shared" si="6"/>
        <v>0</v>
      </c>
      <c r="H161" s="194">
        <f t="shared" si="7"/>
        <v>0</v>
      </c>
      <c r="I161" s="193"/>
      <c r="J161" s="195">
        <f t="shared" si="8"/>
        <v>0</v>
      </c>
      <c r="K161" s="139"/>
      <c r="L161" s="197"/>
      <c r="M161" s="198"/>
      <c r="N161" s="198"/>
      <c r="O161" s="139"/>
      <c r="P161" s="139"/>
      <c r="Q161" s="195"/>
      <c r="R161" s="141"/>
      <c r="S161" s="199">
        <f t="shared" si="9"/>
        <v>0</v>
      </c>
      <c r="T161" s="200" t="str">
        <f t="shared" si="10"/>
        <v/>
      </c>
      <c r="U161" s="200">
        <f t="shared" si="11"/>
        <v>0</v>
      </c>
      <c r="V161" s="203"/>
      <c r="W161" s="199">
        <f t="shared" ref="W161:X161" si="149">C161/100</f>
        <v>0</v>
      </c>
      <c r="X161" s="199">
        <f t="shared" si="149"/>
        <v>0</v>
      </c>
      <c r="Y161" s="199">
        <f t="shared" si="14"/>
        <v>0</v>
      </c>
      <c r="Z161" s="202">
        <f t="shared" si="15"/>
        <v>0</v>
      </c>
      <c r="AA161" s="139"/>
      <c r="AB161" s="139"/>
      <c r="AC161" s="139"/>
      <c r="AD161" s="139"/>
      <c r="AE161" s="139"/>
      <c r="AF161" s="139"/>
      <c r="AG161" s="139"/>
      <c r="AH161" s="139"/>
      <c r="AI161" s="139"/>
      <c r="AJ161" s="139"/>
      <c r="AK161" s="139"/>
    </row>
    <row r="162" ht="27.0" hidden="1" customHeight="1">
      <c r="A162" s="162">
        <v>197.0</v>
      </c>
      <c r="B162" s="193"/>
      <c r="C162" s="193"/>
      <c r="D162" s="193"/>
      <c r="E162" s="193"/>
      <c r="F162" s="193">
        <f t="shared" si="5"/>
        <v>0</v>
      </c>
      <c r="G162" s="193">
        <f t="shared" si="6"/>
        <v>0</v>
      </c>
      <c r="H162" s="194">
        <f t="shared" si="7"/>
        <v>0</v>
      </c>
      <c r="I162" s="193"/>
      <c r="J162" s="195">
        <f t="shared" si="8"/>
        <v>0</v>
      </c>
      <c r="K162" s="139"/>
      <c r="L162" s="197"/>
      <c r="M162" s="198"/>
      <c r="N162" s="198"/>
      <c r="O162" s="139"/>
      <c r="P162" s="139"/>
      <c r="Q162" s="195"/>
      <c r="R162" s="141"/>
      <c r="S162" s="199">
        <f t="shared" si="9"/>
        <v>0</v>
      </c>
      <c r="T162" s="200" t="str">
        <f t="shared" si="10"/>
        <v/>
      </c>
      <c r="U162" s="200">
        <f t="shared" si="11"/>
        <v>0</v>
      </c>
      <c r="V162" s="203"/>
      <c r="W162" s="199">
        <f t="shared" ref="W162:X162" si="150">C162/100</f>
        <v>0</v>
      </c>
      <c r="X162" s="199">
        <f t="shared" si="150"/>
        <v>0</v>
      </c>
      <c r="Y162" s="199">
        <f t="shared" si="14"/>
        <v>0</v>
      </c>
      <c r="Z162" s="202">
        <f t="shared" si="15"/>
        <v>0</v>
      </c>
      <c r="AA162" s="139"/>
      <c r="AB162" s="139"/>
      <c r="AC162" s="139"/>
      <c r="AD162" s="139"/>
      <c r="AE162" s="139"/>
      <c r="AF162" s="139"/>
      <c r="AG162" s="139"/>
      <c r="AH162" s="139"/>
      <c r="AI162" s="139"/>
      <c r="AJ162" s="139"/>
      <c r="AK162" s="139"/>
    </row>
    <row r="163" ht="27.0" hidden="1" customHeight="1">
      <c r="A163" s="162">
        <v>198.0</v>
      </c>
      <c r="B163" s="193"/>
      <c r="C163" s="193"/>
      <c r="D163" s="193"/>
      <c r="E163" s="193"/>
      <c r="F163" s="193">
        <f t="shared" si="5"/>
        <v>0</v>
      </c>
      <c r="G163" s="193">
        <f t="shared" si="6"/>
        <v>0</v>
      </c>
      <c r="H163" s="194">
        <f t="shared" si="7"/>
        <v>0</v>
      </c>
      <c r="I163" s="193"/>
      <c r="J163" s="195">
        <f t="shared" si="8"/>
        <v>0</v>
      </c>
      <c r="K163" s="139"/>
      <c r="L163" s="197"/>
      <c r="M163" s="198"/>
      <c r="N163" s="198"/>
      <c r="O163" s="139"/>
      <c r="P163" s="139"/>
      <c r="Q163" s="195"/>
      <c r="R163" s="141"/>
      <c r="S163" s="199">
        <f t="shared" si="9"/>
        <v>0</v>
      </c>
      <c r="T163" s="200" t="str">
        <f t="shared" si="10"/>
        <v/>
      </c>
      <c r="U163" s="200">
        <f t="shared" si="11"/>
        <v>0</v>
      </c>
      <c r="V163" s="203"/>
      <c r="W163" s="199">
        <f t="shared" ref="W163:X163" si="151">C163/100</f>
        <v>0</v>
      </c>
      <c r="X163" s="199">
        <f t="shared" si="151"/>
        <v>0</v>
      </c>
      <c r="Y163" s="199">
        <f t="shared" si="14"/>
        <v>0</v>
      </c>
      <c r="Z163" s="202">
        <f t="shared" si="15"/>
        <v>0</v>
      </c>
      <c r="AA163" s="139"/>
      <c r="AB163" s="139"/>
      <c r="AC163" s="139"/>
      <c r="AD163" s="139"/>
      <c r="AE163" s="139"/>
      <c r="AF163" s="139"/>
      <c r="AG163" s="139"/>
      <c r="AH163" s="139"/>
      <c r="AI163" s="139"/>
      <c r="AJ163" s="139"/>
      <c r="AK163" s="139"/>
    </row>
    <row r="164" ht="27.0" hidden="1" customHeight="1">
      <c r="A164" s="162">
        <v>199.0</v>
      </c>
      <c r="B164" s="193"/>
      <c r="C164" s="193"/>
      <c r="D164" s="193"/>
      <c r="E164" s="193"/>
      <c r="F164" s="193">
        <f t="shared" si="5"/>
        <v>0</v>
      </c>
      <c r="G164" s="193">
        <f t="shared" si="6"/>
        <v>0</v>
      </c>
      <c r="H164" s="194">
        <f t="shared" si="7"/>
        <v>0</v>
      </c>
      <c r="I164" s="193"/>
      <c r="J164" s="195">
        <f t="shared" si="8"/>
        <v>0</v>
      </c>
      <c r="K164" s="139"/>
      <c r="L164" s="197"/>
      <c r="M164" s="198"/>
      <c r="N164" s="198"/>
      <c r="O164" s="139"/>
      <c r="P164" s="139"/>
      <c r="Q164" s="195"/>
      <c r="R164" s="141"/>
      <c r="S164" s="199">
        <f t="shared" si="9"/>
        <v>0</v>
      </c>
      <c r="T164" s="200" t="str">
        <f t="shared" si="10"/>
        <v/>
      </c>
      <c r="U164" s="200">
        <f t="shared" si="11"/>
        <v>0</v>
      </c>
      <c r="V164" s="203"/>
      <c r="W164" s="199">
        <f t="shared" ref="W164:X164" si="152">C164/100</f>
        <v>0</v>
      </c>
      <c r="X164" s="199">
        <f t="shared" si="152"/>
        <v>0</v>
      </c>
      <c r="Y164" s="199">
        <f t="shared" si="14"/>
        <v>0</v>
      </c>
      <c r="Z164" s="202">
        <f t="shared" si="15"/>
        <v>0</v>
      </c>
      <c r="AA164" s="139"/>
      <c r="AB164" s="139"/>
      <c r="AC164" s="139"/>
      <c r="AD164" s="139"/>
      <c r="AE164" s="139"/>
      <c r="AF164" s="139"/>
      <c r="AG164" s="139"/>
      <c r="AH164" s="139"/>
      <c r="AI164" s="139"/>
      <c r="AJ164" s="139"/>
      <c r="AK164" s="139"/>
    </row>
    <row r="165" ht="27.0" hidden="1" customHeight="1">
      <c r="A165" s="162">
        <v>200.0</v>
      </c>
      <c r="B165" s="193"/>
      <c r="C165" s="193"/>
      <c r="D165" s="193"/>
      <c r="E165" s="193"/>
      <c r="F165" s="193">
        <f t="shared" si="5"/>
        <v>0</v>
      </c>
      <c r="G165" s="193">
        <f t="shared" si="6"/>
        <v>0</v>
      </c>
      <c r="H165" s="194">
        <f t="shared" si="7"/>
        <v>0</v>
      </c>
      <c r="I165" s="193"/>
      <c r="J165" s="195">
        <f t="shared" si="8"/>
        <v>0</v>
      </c>
      <c r="K165" s="139"/>
      <c r="L165" s="197"/>
      <c r="M165" s="198"/>
      <c r="N165" s="198"/>
      <c r="O165" s="139"/>
      <c r="P165" s="139"/>
      <c r="Q165" s="195"/>
      <c r="R165" s="141"/>
      <c r="S165" s="199">
        <f t="shared" si="9"/>
        <v>0</v>
      </c>
      <c r="T165" s="200" t="str">
        <f t="shared" si="10"/>
        <v/>
      </c>
      <c r="U165" s="200">
        <f t="shared" si="11"/>
        <v>0</v>
      </c>
      <c r="V165" s="203"/>
      <c r="W165" s="199">
        <f t="shared" ref="W165:X165" si="153">C165/100</f>
        <v>0</v>
      </c>
      <c r="X165" s="199">
        <f t="shared" si="153"/>
        <v>0</v>
      </c>
      <c r="Y165" s="199">
        <f t="shared" si="14"/>
        <v>0</v>
      </c>
      <c r="Z165" s="202">
        <f t="shared" si="15"/>
        <v>0</v>
      </c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</row>
    <row r="166" ht="27.0" hidden="1" customHeight="1">
      <c r="A166" s="162">
        <v>201.0</v>
      </c>
      <c r="B166" s="193"/>
      <c r="C166" s="193"/>
      <c r="D166" s="193"/>
      <c r="E166" s="193"/>
      <c r="F166" s="193">
        <f t="shared" si="5"/>
        <v>0</v>
      </c>
      <c r="G166" s="193">
        <f t="shared" si="6"/>
        <v>0</v>
      </c>
      <c r="H166" s="194">
        <f t="shared" si="7"/>
        <v>0</v>
      </c>
      <c r="I166" s="193"/>
      <c r="J166" s="195">
        <f t="shared" si="8"/>
        <v>0</v>
      </c>
      <c r="K166" s="139"/>
      <c r="L166" s="197"/>
      <c r="M166" s="198"/>
      <c r="N166" s="198"/>
      <c r="O166" s="139"/>
      <c r="P166" s="139"/>
      <c r="Q166" s="195"/>
      <c r="R166" s="141"/>
      <c r="S166" s="199">
        <f t="shared" si="9"/>
        <v>0</v>
      </c>
      <c r="T166" s="200" t="str">
        <f t="shared" si="10"/>
        <v/>
      </c>
      <c r="U166" s="200">
        <f t="shared" si="11"/>
        <v>0</v>
      </c>
      <c r="V166" s="203"/>
      <c r="W166" s="199">
        <f t="shared" ref="W166:X166" si="154">C166/100</f>
        <v>0</v>
      </c>
      <c r="X166" s="199">
        <f t="shared" si="154"/>
        <v>0</v>
      </c>
      <c r="Y166" s="199">
        <f t="shared" si="14"/>
        <v>0</v>
      </c>
      <c r="Z166" s="202">
        <f t="shared" si="15"/>
        <v>0</v>
      </c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</row>
    <row r="167" ht="27.0" hidden="1" customHeight="1">
      <c r="A167" s="162">
        <v>202.0</v>
      </c>
      <c r="B167" s="193"/>
      <c r="C167" s="193"/>
      <c r="D167" s="193"/>
      <c r="E167" s="193"/>
      <c r="F167" s="193">
        <f t="shared" si="5"/>
        <v>0</v>
      </c>
      <c r="G167" s="193">
        <f t="shared" si="6"/>
        <v>0</v>
      </c>
      <c r="H167" s="194">
        <f t="shared" si="7"/>
        <v>0</v>
      </c>
      <c r="I167" s="193"/>
      <c r="J167" s="195">
        <f t="shared" si="8"/>
        <v>0</v>
      </c>
      <c r="K167" s="139"/>
      <c r="L167" s="197"/>
      <c r="M167" s="198"/>
      <c r="N167" s="198"/>
      <c r="O167" s="139"/>
      <c r="P167" s="139"/>
      <c r="Q167" s="195"/>
      <c r="R167" s="141"/>
      <c r="S167" s="199">
        <f t="shared" si="9"/>
        <v>0</v>
      </c>
      <c r="T167" s="200" t="str">
        <f t="shared" si="10"/>
        <v/>
      </c>
      <c r="U167" s="200">
        <f t="shared" si="11"/>
        <v>0</v>
      </c>
      <c r="V167" s="203"/>
      <c r="W167" s="199">
        <f t="shared" ref="W167:X167" si="155">C167/100</f>
        <v>0</v>
      </c>
      <c r="X167" s="199">
        <f t="shared" si="155"/>
        <v>0</v>
      </c>
      <c r="Y167" s="199">
        <f t="shared" si="14"/>
        <v>0</v>
      </c>
      <c r="Z167" s="202">
        <f t="shared" si="15"/>
        <v>0</v>
      </c>
      <c r="AA167" s="139"/>
      <c r="AB167" s="139"/>
      <c r="AC167" s="139"/>
      <c r="AD167" s="139"/>
      <c r="AE167" s="139"/>
      <c r="AF167" s="139"/>
      <c r="AG167" s="139"/>
      <c r="AH167" s="139"/>
      <c r="AI167" s="139"/>
      <c r="AJ167" s="139"/>
      <c r="AK167" s="139"/>
    </row>
    <row r="168" ht="27.0" hidden="1" customHeight="1">
      <c r="A168" s="162">
        <v>203.0</v>
      </c>
      <c r="B168" s="193"/>
      <c r="C168" s="193"/>
      <c r="D168" s="193"/>
      <c r="E168" s="193"/>
      <c r="F168" s="193">
        <f t="shared" si="5"/>
        <v>0</v>
      </c>
      <c r="G168" s="193">
        <f t="shared" si="6"/>
        <v>0</v>
      </c>
      <c r="H168" s="194">
        <f t="shared" si="7"/>
        <v>0</v>
      </c>
      <c r="I168" s="193"/>
      <c r="J168" s="195">
        <f t="shared" si="8"/>
        <v>0</v>
      </c>
      <c r="K168" s="139"/>
      <c r="L168" s="197"/>
      <c r="M168" s="198"/>
      <c r="N168" s="198"/>
      <c r="O168" s="139"/>
      <c r="P168" s="139"/>
      <c r="Q168" s="195"/>
      <c r="R168" s="141"/>
      <c r="S168" s="199">
        <f t="shared" si="9"/>
        <v>0</v>
      </c>
      <c r="T168" s="200" t="str">
        <f t="shared" si="10"/>
        <v/>
      </c>
      <c r="U168" s="200">
        <f t="shared" si="11"/>
        <v>0</v>
      </c>
      <c r="V168" s="203"/>
      <c r="W168" s="199">
        <f t="shared" ref="W168:X168" si="156">C168/100</f>
        <v>0</v>
      </c>
      <c r="X168" s="199">
        <f t="shared" si="156"/>
        <v>0</v>
      </c>
      <c r="Y168" s="199">
        <f t="shared" si="14"/>
        <v>0</v>
      </c>
      <c r="Z168" s="202">
        <f t="shared" si="15"/>
        <v>0</v>
      </c>
      <c r="AA168" s="139"/>
      <c r="AB168" s="139"/>
      <c r="AC168" s="139"/>
      <c r="AD168" s="139"/>
      <c r="AE168" s="139"/>
      <c r="AF168" s="139"/>
      <c r="AG168" s="139"/>
      <c r="AH168" s="139"/>
      <c r="AI168" s="139"/>
      <c r="AJ168" s="139"/>
      <c r="AK168" s="139"/>
    </row>
    <row r="169" ht="27.0" hidden="1" customHeight="1">
      <c r="A169" s="162">
        <v>204.0</v>
      </c>
      <c r="B169" s="193"/>
      <c r="C169" s="193"/>
      <c r="D169" s="193"/>
      <c r="E169" s="193"/>
      <c r="F169" s="193">
        <f t="shared" si="5"/>
        <v>0</v>
      </c>
      <c r="G169" s="193">
        <f t="shared" si="6"/>
        <v>0</v>
      </c>
      <c r="H169" s="194">
        <f t="shared" si="7"/>
        <v>0</v>
      </c>
      <c r="I169" s="193"/>
      <c r="J169" s="195">
        <f t="shared" si="8"/>
        <v>0</v>
      </c>
      <c r="K169" s="139"/>
      <c r="L169" s="197"/>
      <c r="M169" s="198"/>
      <c r="N169" s="198"/>
      <c r="O169" s="139"/>
      <c r="P169" s="139"/>
      <c r="Q169" s="195"/>
      <c r="R169" s="141"/>
      <c r="S169" s="199">
        <f t="shared" si="9"/>
        <v>0</v>
      </c>
      <c r="T169" s="200" t="str">
        <f t="shared" si="10"/>
        <v/>
      </c>
      <c r="U169" s="200">
        <f t="shared" si="11"/>
        <v>0</v>
      </c>
      <c r="V169" s="203"/>
      <c r="W169" s="199">
        <f t="shared" ref="W169:X169" si="157">C169/100</f>
        <v>0</v>
      </c>
      <c r="X169" s="199">
        <f t="shared" si="157"/>
        <v>0</v>
      </c>
      <c r="Y169" s="199">
        <f t="shared" si="14"/>
        <v>0</v>
      </c>
      <c r="Z169" s="202">
        <f t="shared" si="15"/>
        <v>0</v>
      </c>
      <c r="AA169" s="139"/>
      <c r="AB169" s="139"/>
      <c r="AC169" s="139"/>
      <c r="AD169" s="139"/>
      <c r="AE169" s="139"/>
      <c r="AF169" s="139"/>
      <c r="AG169" s="139"/>
      <c r="AH169" s="139"/>
      <c r="AI169" s="139"/>
      <c r="AJ169" s="139"/>
      <c r="AK169" s="139"/>
    </row>
    <row r="170" ht="27.0" hidden="1" customHeight="1">
      <c r="A170" s="162">
        <v>205.0</v>
      </c>
      <c r="B170" s="193"/>
      <c r="C170" s="193"/>
      <c r="D170" s="193"/>
      <c r="E170" s="193"/>
      <c r="F170" s="193">
        <f t="shared" si="5"/>
        <v>0</v>
      </c>
      <c r="G170" s="193">
        <f t="shared" si="6"/>
        <v>0</v>
      </c>
      <c r="H170" s="194">
        <f t="shared" si="7"/>
        <v>0</v>
      </c>
      <c r="I170" s="193"/>
      <c r="J170" s="195">
        <f t="shared" si="8"/>
        <v>0</v>
      </c>
      <c r="K170" s="139"/>
      <c r="L170" s="197"/>
      <c r="M170" s="198"/>
      <c r="N170" s="198"/>
      <c r="O170" s="139"/>
      <c r="P170" s="139"/>
      <c r="Q170" s="195"/>
      <c r="R170" s="141"/>
      <c r="S170" s="199">
        <f t="shared" si="9"/>
        <v>0</v>
      </c>
      <c r="T170" s="200" t="str">
        <f t="shared" si="10"/>
        <v/>
      </c>
      <c r="U170" s="200">
        <f t="shared" si="11"/>
        <v>0</v>
      </c>
      <c r="V170" s="203"/>
      <c r="W170" s="199">
        <f t="shared" ref="W170:X170" si="158">C170/100</f>
        <v>0</v>
      </c>
      <c r="X170" s="199">
        <f t="shared" si="158"/>
        <v>0</v>
      </c>
      <c r="Y170" s="199">
        <f t="shared" si="14"/>
        <v>0</v>
      </c>
      <c r="Z170" s="202">
        <f t="shared" si="15"/>
        <v>0</v>
      </c>
      <c r="AA170" s="139"/>
      <c r="AB170" s="139"/>
      <c r="AC170" s="139"/>
      <c r="AD170" s="139"/>
      <c r="AE170" s="139"/>
      <c r="AF170" s="139"/>
      <c r="AG170" s="139"/>
      <c r="AH170" s="139"/>
      <c r="AI170" s="139"/>
      <c r="AJ170" s="139"/>
      <c r="AK170" s="139"/>
    </row>
    <row r="171" ht="27.0" hidden="1" customHeight="1">
      <c r="A171" s="162">
        <v>206.0</v>
      </c>
      <c r="B171" s="193"/>
      <c r="C171" s="193"/>
      <c r="D171" s="193"/>
      <c r="E171" s="193"/>
      <c r="F171" s="193">
        <f t="shared" si="5"/>
        <v>0</v>
      </c>
      <c r="G171" s="193">
        <f t="shared" si="6"/>
        <v>0</v>
      </c>
      <c r="H171" s="194">
        <f t="shared" si="7"/>
        <v>0</v>
      </c>
      <c r="I171" s="193"/>
      <c r="J171" s="195">
        <f t="shared" si="8"/>
        <v>0</v>
      </c>
      <c r="K171" s="139"/>
      <c r="L171" s="197"/>
      <c r="M171" s="198"/>
      <c r="N171" s="198"/>
      <c r="O171" s="139"/>
      <c r="P171" s="139"/>
      <c r="Q171" s="195"/>
      <c r="R171" s="141"/>
      <c r="S171" s="199">
        <f t="shared" si="9"/>
        <v>0</v>
      </c>
      <c r="T171" s="200" t="str">
        <f t="shared" si="10"/>
        <v/>
      </c>
      <c r="U171" s="200">
        <f t="shared" si="11"/>
        <v>0</v>
      </c>
      <c r="V171" s="203"/>
      <c r="W171" s="199">
        <f t="shared" ref="W171:X171" si="159">C171/100</f>
        <v>0</v>
      </c>
      <c r="X171" s="199">
        <f t="shared" si="159"/>
        <v>0</v>
      </c>
      <c r="Y171" s="199">
        <f t="shared" si="14"/>
        <v>0</v>
      </c>
      <c r="Z171" s="202">
        <f t="shared" si="15"/>
        <v>0</v>
      </c>
      <c r="AA171" s="139"/>
      <c r="AB171" s="139"/>
      <c r="AC171" s="139"/>
      <c r="AD171" s="139"/>
      <c r="AE171" s="139"/>
      <c r="AF171" s="139"/>
      <c r="AG171" s="139"/>
      <c r="AH171" s="139"/>
      <c r="AI171" s="139"/>
      <c r="AJ171" s="139"/>
      <c r="AK171" s="139"/>
    </row>
    <row r="172" ht="27.0" hidden="1" customHeight="1">
      <c r="A172" s="162">
        <v>207.0</v>
      </c>
      <c r="B172" s="193"/>
      <c r="C172" s="193"/>
      <c r="D172" s="193"/>
      <c r="E172" s="193"/>
      <c r="F172" s="193">
        <f t="shared" si="5"/>
        <v>0</v>
      </c>
      <c r="G172" s="193">
        <f t="shared" si="6"/>
        <v>0</v>
      </c>
      <c r="H172" s="194">
        <f t="shared" si="7"/>
        <v>0</v>
      </c>
      <c r="I172" s="193"/>
      <c r="J172" s="195">
        <f t="shared" si="8"/>
        <v>0</v>
      </c>
      <c r="K172" s="139"/>
      <c r="L172" s="197"/>
      <c r="M172" s="198"/>
      <c r="N172" s="198"/>
      <c r="O172" s="139"/>
      <c r="P172" s="139"/>
      <c r="Q172" s="195"/>
      <c r="R172" s="141"/>
      <c r="S172" s="199">
        <f t="shared" si="9"/>
        <v>0</v>
      </c>
      <c r="T172" s="200" t="str">
        <f t="shared" si="10"/>
        <v/>
      </c>
      <c r="U172" s="200">
        <f t="shared" si="11"/>
        <v>0</v>
      </c>
      <c r="V172" s="203"/>
      <c r="W172" s="199">
        <f t="shared" ref="W172:X172" si="160">C172/100</f>
        <v>0</v>
      </c>
      <c r="X172" s="199">
        <f t="shared" si="160"/>
        <v>0</v>
      </c>
      <c r="Y172" s="199">
        <f t="shared" si="14"/>
        <v>0</v>
      </c>
      <c r="Z172" s="202">
        <f t="shared" si="15"/>
        <v>0</v>
      </c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</row>
    <row r="173" ht="27.0" hidden="1" customHeight="1">
      <c r="A173" s="162">
        <v>208.0</v>
      </c>
      <c r="B173" s="193"/>
      <c r="C173" s="193"/>
      <c r="D173" s="193"/>
      <c r="E173" s="193"/>
      <c r="F173" s="193">
        <f t="shared" si="5"/>
        <v>0</v>
      </c>
      <c r="G173" s="193">
        <f t="shared" si="6"/>
        <v>0</v>
      </c>
      <c r="H173" s="194">
        <f t="shared" si="7"/>
        <v>0</v>
      </c>
      <c r="I173" s="193"/>
      <c r="J173" s="195">
        <f t="shared" si="8"/>
        <v>0</v>
      </c>
      <c r="K173" s="139"/>
      <c r="L173" s="197"/>
      <c r="M173" s="198"/>
      <c r="N173" s="198"/>
      <c r="O173" s="139"/>
      <c r="P173" s="139"/>
      <c r="Q173" s="195"/>
      <c r="R173" s="141"/>
      <c r="S173" s="199">
        <f t="shared" si="9"/>
        <v>0</v>
      </c>
      <c r="T173" s="200" t="str">
        <f t="shared" si="10"/>
        <v/>
      </c>
      <c r="U173" s="200">
        <f t="shared" si="11"/>
        <v>0</v>
      </c>
      <c r="V173" s="203"/>
      <c r="W173" s="199">
        <f t="shared" ref="W173:X173" si="161">C173/100</f>
        <v>0</v>
      </c>
      <c r="X173" s="199">
        <f t="shared" si="161"/>
        <v>0</v>
      </c>
      <c r="Y173" s="199">
        <f t="shared" si="14"/>
        <v>0</v>
      </c>
      <c r="Z173" s="202">
        <f t="shared" si="15"/>
        <v>0</v>
      </c>
      <c r="AA173" s="139"/>
      <c r="AB173" s="139"/>
      <c r="AC173" s="139"/>
      <c r="AD173" s="139"/>
      <c r="AE173" s="139"/>
      <c r="AF173" s="139"/>
      <c r="AG173" s="139"/>
      <c r="AH173" s="139"/>
      <c r="AI173" s="139"/>
      <c r="AJ173" s="139"/>
      <c r="AK173" s="139"/>
    </row>
    <row r="174" ht="27.0" hidden="1" customHeight="1">
      <c r="A174" s="162">
        <v>209.0</v>
      </c>
      <c r="B174" s="193"/>
      <c r="C174" s="193"/>
      <c r="D174" s="193"/>
      <c r="E174" s="193"/>
      <c r="F174" s="193">
        <f t="shared" si="5"/>
        <v>0</v>
      </c>
      <c r="G174" s="193">
        <f t="shared" si="6"/>
        <v>0</v>
      </c>
      <c r="H174" s="194">
        <f t="shared" si="7"/>
        <v>0</v>
      </c>
      <c r="I174" s="193"/>
      <c r="J174" s="195">
        <f t="shared" si="8"/>
        <v>0</v>
      </c>
      <c r="K174" s="139"/>
      <c r="L174" s="197"/>
      <c r="M174" s="198"/>
      <c r="N174" s="198"/>
      <c r="O174" s="139"/>
      <c r="P174" s="139"/>
      <c r="Q174" s="195"/>
      <c r="R174" s="141"/>
      <c r="S174" s="199">
        <f t="shared" si="9"/>
        <v>0</v>
      </c>
      <c r="T174" s="200" t="str">
        <f t="shared" si="10"/>
        <v/>
      </c>
      <c r="U174" s="200">
        <f t="shared" si="11"/>
        <v>0</v>
      </c>
      <c r="V174" s="203"/>
      <c r="W174" s="199">
        <f t="shared" ref="W174:X174" si="162">C174/100</f>
        <v>0</v>
      </c>
      <c r="X174" s="199">
        <f t="shared" si="162"/>
        <v>0</v>
      </c>
      <c r="Y174" s="199">
        <f t="shared" si="14"/>
        <v>0</v>
      </c>
      <c r="Z174" s="202">
        <f t="shared" si="15"/>
        <v>0</v>
      </c>
      <c r="AA174" s="139"/>
      <c r="AB174" s="139"/>
      <c r="AC174" s="139"/>
      <c r="AD174" s="139"/>
      <c r="AE174" s="139"/>
      <c r="AF174" s="139"/>
      <c r="AG174" s="139"/>
      <c r="AH174" s="139"/>
      <c r="AI174" s="139"/>
      <c r="AJ174" s="139"/>
      <c r="AK174" s="139"/>
    </row>
    <row r="175" ht="27.0" hidden="1" customHeight="1">
      <c r="A175" s="162">
        <v>210.0</v>
      </c>
      <c r="B175" s="193"/>
      <c r="C175" s="193"/>
      <c r="D175" s="193"/>
      <c r="E175" s="193"/>
      <c r="F175" s="193">
        <f t="shared" si="5"/>
        <v>0</v>
      </c>
      <c r="G175" s="193">
        <f t="shared" si="6"/>
        <v>0</v>
      </c>
      <c r="H175" s="194">
        <f t="shared" si="7"/>
        <v>0</v>
      </c>
      <c r="I175" s="193"/>
      <c r="J175" s="195">
        <f t="shared" si="8"/>
        <v>0</v>
      </c>
      <c r="K175" s="139"/>
      <c r="L175" s="197"/>
      <c r="M175" s="198"/>
      <c r="N175" s="198"/>
      <c r="O175" s="139"/>
      <c r="P175" s="139"/>
      <c r="Q175" s="195"/>
      <c r="R175" s="141"/>
      <c r="S175" s="199">
        <f t="shared" si="9"/>
        <v>0</v>
      </c>
      <c r="T175" s="200" t="str">
        <f t="shared" si="10"/>
        <v/>
      </c>
      <c r="U175" s="200">
        <f t="shared" si="11"/>
        <v>0</v>
      </c>
      <c r="V175" s="203"/>
      <c r="W175" s="199">
        <f t="shared" ref="W175:X175" si="163">C175/100</f>
        <v>0</v>
      </c>
      <c r="X175" s="199">
        <f t="shared" si="163"/>
        <v>0</v>
      </c>
      <c r="Y175" s="199">
        <f t="shared" si="14"/>
        <v>0</v>
      </c>
      <c r="Z175" s="202">
        <f t="shared" si="15"/>
        <v>0</v>
      </c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</row>
    <row r="176" ht="27.0" hidden="1" customHeight="1">
      <c r="A176" s="162">
        <v>211.0</v>
      </c>
      <c r="B176" s="193"/>
      <c r="C176" s="193"/>
      <c r="D176" s="193"/>
      <c r="E176" s="193"/>
      <c r="F176" s="193">
        <f t="shared" si="5"/>
        <v>0</v>
      </c>
      <c r="G176" s="193">
        <f t="shared" si="6"/>
        <v>0</v>
      </c>
      <c r="H176" s="194">
        <f t="shared" si="7"/>
        <v>0</v>
      </c>
      <c r="I176" s="193"/>
      <c r="J176" s="195">
        <f t="shared" si="8"/>
        <v>0</v>
      </c>
      <c r="K176" s="139"/>
      <c r="L176" s="197"/>
      <c r="M176" s="198"/>
      <c r="N176" s="198"/>
      <c r="O176" s="139"/>
      <c r="P176" s="139"/>
      <c r="Q176" s="195"/>
      <c r="R176" s="141"/>
      <c r="S176" s="199">
        <f t="shared" si="9"/>
        <v>0</v>
      </c>
      <c r="T176" s="200" t="str">
        <f t="shared" si="10"/>
        <v/>
      </c>
      <c r="U176" s="200">
        <f t="shared" si="11"/>
        <v>0</v>
      </c>
      <c r="V176" s="203"/>
      <c r="W176" s="199">
        <f t="shared" ref="W176:X176" si="164">C176/100</f>
        <v>0</v>
      </c>
      <c r="X176" s="199">
        <f t="shared" si="164"/>
        <v>0</v>
      </c>
      <c r="Y176" s="199">
        <f t="shared" si="14"/>
        <v>0</v>
      </c>
      <c r="Z176" s="202">
        <f t="shared" si="15"/>
        <v>0</v>
      </c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</row>
    <row r="177" ht="27.0" hidden="1" customHeight="1">
      <c r="A177" s="162">
        <v>212.0</v>
      </c>
      <c r="B177" s="193"/>
      <c r="C177" s="193"/>
      <c r="D177" s="193"/>
      <c r="E177" s="193"/>
      <c r="F177" s="193">
        <f t="shared" si="5"/>
        <v>0</v>
      </c>
      <c r="G177" s="193">
        <f t="shared" si="6"/>
        <v>0</v>
      </c>
      <c r="H177" s="194">
        <f t="shared" si="7"/>
        <v>0</v>
      </c>
      <c r="I177" s="193"/>
      <c r="J177" s="195">
        <f t="shared" si="8"/>
        <v>0</v>
      </c>
      <c r="K177" s="139"/>
      <c r="L177" s="197"/>
      <c r="M177" s="198"/>
      <c r="N177" s="198"/>
      <c r="O177" s="139"/>
      <c r="P177" s="139"/>
      <c r="Q177" s="195"/>
      <c r="R177" s="141"/>
      <c r="S177" s="199">
        <f t="shared" si="9"/>
        <v>0</v>
      </c>
      <c r="T177" s="200" t="str">
        <f t="shared" si="10"/>
        <v/>
      </c>
      <c r="U177" s="200">
        <f t="shared" si="11"/>
        <v>0</v>
      </c>
      <c r="V177" s="203"/>
      <c r="W177" s="199">
        <f t="shared" ref="W177:X177" si="165">C177/100</f>
        <v>0</v>
      </c>
      <c r="X177" s="199">
        <f t="shared" si="165"/>
        <v>0</v>
      </c>
      <c r="Y177" s="199">
        <f t="shared" si="14"/>
        <v>0</v>
      </c>
      <c r="Z177" s="202">
        <f t="shared" si="15"/>
        <v>0</v>
      </c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</row>
    <row r="178" ht="27.0" hidden="1" customHeight="1">
      <c r="A178" s="162">
        <v>213.0</v>
      </c>
      <c r="B178" s="193"/>
      <c r="C178" s="193"/>
      <c r="D178" s="193"/>
      <c r="E178" s="193"/>
      <c r="F178" s="193">
        <f t="shared" si="5"/>
        <v>0</v>
      </c>
      <c r="G178" s="193">
        <f t="shared" si="6"/>
        <v>0</v>
      </c>
      <c r="H178" s="194">
        <f t="shared" si="7"/>
        <v>0</v>
      </c>
      <c r="I178" s="193"/>
      <c r="J178" s="195">
        <f t="shared" si="8"/>
        <v>0</v>
      </c>
      <c r="K178" s="139"/>
      <c r="L178" s="197"/>
      <c r="M178" s="198"/>
      <c r="N178" s="198"/>
      <c r="O178" s="139"/>
      <c r="P178" s="139"/>
      <c r="Q178" s="195"/>
      <c r="R178" s="141"/>
      <c r="S178" s="199">
        <f t="shared" si="9"/>
        <v>0</v>
      </c>
      <c r="T178" s="200" t="str">
        <f t="shared" si="10"/>
        <v/>
      </c>
      <c r="U178" s="200">
        <f t="shared" si="11"/>
        <v>0</v>
      </c>
      <c r="V178" s="203"/>
      <c r="W178" s="199">
        <f t="shared" ref="W178:X178" si="166">C178/100</f>
        <v>0</v>
      </c>
      <c r="X178" s="199">
        <f t="shared" si="166"/>
        <v>0</v>
      </c>
      <c r="Y178" s="199">
        <f t="shared" si="14"/>
        <v>0</v>
      </c>
      <c r="Z178" s="202">
        <f t="shared" si="15"/>
        <v>0</v>
      </c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</row>
    <row r="179" ht="27.0" hidden="1" customHeight="1">
      <c r="A179" s="162">
        <v>214.0</v>
      </c>
      <c r="B179" s="193"/>
      <c r="C179" s="193"/>
      <c r="D179" s="193"/>
      <c r="E179" s="193"/>
      <c r="F179" s="193">
        <f t="shared" si="5"/>
        <v>0</v>
      </c>
      <c r="G179" s="193">
        <f t="shared" si="6"/>
        <v>0</v>
      </c>
      <c r="H179" s="194">
        <f t="shared" si="7"/>
        <v>0</v>
      </c>
      <c r="I179" s="193"/>
      <c r="J179" s="195">
        <f t="shared" si="8"/>
        <v>0</v>
      </c>
      <c r="K179" s="139"/>
      <c r="L179" s="197"/>
      <c r="M179" s="198"/>
      <c r="N179" s="198"/>
      <c r="O179" s="139"/>
      <c r="P179" s="139"/>
      <c r="Q179" s="195"/>
      <c r="R179" s="141"/>
      <c r="S179" s="199">
        <f t="shared" si="9"/>
        <v>0</v>
      </c>
      <c r="T179" s="200" t="str">
        <f t="shared" si="10"/>
        <v/>
      </c>
      <c r="U179" s="200">
        <f t="shared" si="11"/>
        <v>0</v>
      </c>
      <c r="V179" s="203"/>
      <c r="W179" s="199">
        <f t="shared" ref="W179:X179" si="167">C179/100</f>
        <v>0</v>
      </c>
      <c r="X179" s="199">
        <f t="shared" si="167"/>
        <v>0</v>
      </c>
      <c r="Y179" s="199">
        <f t="shared" si="14"/>
        <v>0</v>
      </c>
      <c r="Z179" s="202">
        <f t="shared" si="15"/>
        <v>0</v>
      </c>
      <c r="AA179" s="139"/>
      <c r="AB179" s="139"/>
      <c r="AC179" s="139"/>
      <c r="AD179" s="139"/>
      <c r="AE179" s="139"/>
      <c r="AF179" s="139"/>
      <c r="AG179" s="139"/>
      <c r="AH179" s="139"/>
      <c r="AI179" s="139"/>
      <c r="AJ179" s="139"/>
      <c r="AK179" s="139"/>
    </row>
    <row r="180" ht="27.0" hidden="1" customHeight="1">
      <c r="A180" s="162">
        <v>215.0</v>
      </c>
      <c r="B180" s="193"/>
      <c r="C180" s="193"/>
      <c r="D180" s="193"/>
      <c r="E180" s="193"/>
      <c r="F180" s="193">
        <f t="shared" si="5"/>
        <v>0</v>
      </c>
      <c r="G180" s="193">
        <f t="shared" si="6"/>
        <v>0</v>
      </c>
      <c r="H180" s="194">
        <f t="shared" si="7"/>
        <v>0</v>
      </c>
      <c r="I180" s="193"/>
      <c r="J180" s="195">
        <f t="shared" si="8"/>
        <v>0</v>
      </c>
      <c r="K180" s="139"/>
      <c r="L180" s="197"/>
      <c r="M180" s="198"/>
      <c r="N180" s="198"/>
      <c r="O180" s="139"/>
      <c r="P180" s="139"/>
      <c r="Q180" s="195"/>
      <c r="R180" s="141"/>
      <c r="S180" s="199">
        <f t="shared" si="9"/>
        <v>0</v>
      </c>
      <c r="T180" s="200" t="str">
        <f t="shared" si="10"/>
        <v/>
      </c>
      <c r="U180" s="200">
        <f t="shared" si="11"/>
        <v>0</v>
      </c>
      <c r="V180" s="203"/>
      <c r="W180" s="199">
        <f t="shared" ref="W180:X180" si="168">C180/100</f>
        <v>0</v>
      </c>
      <c r="X180" s="199">
        <f t="shared" si="168"/>
        <v>0</v>
      </c>
      <c r="Y180" s="199">
        <f t="shared" si="14"/>
        <v>0</v>
      </c>
      <c r="Z180" s="202">
        <f t="shared" si="15"/>
        <v>0</v>
      </c>
      <c r="AA180" s="139"/>
      <c r="AB180" s="139"/>
      <c r="AC180" s="139"/>
      <c r="AD180" s="139"/>
      <c r="AE180" s="139"/>
      <c r="AF180" s="139"/>
      <c r="AG180" s="139"/>
      <c r="AH180" s="139"/>
      <c r="AI180" s="139"/>
      <c r="AJ180" s="139"/>
      <c r="AK180" s="139"/>
    </row>
    <row r="181" ht="27.0" hidden="1" customHeight="1">
      <c r="A181" s="162">
        <v>216.0</v>
      </c>
      <c r="B181" s="193"/>
      <c r="C181" s="193"/>
      <c r="D181" s="193"/>
      <c r="E181" s="193"/>
      <c r="F181" s="193">
        <f t="shared" si="5"/>
        <v>0</v>
      </c>
      <c r="G181" s="193">
        <f t="shared" si="6"/>
        <v>0</v>
      </c>
      <c r="H181" s="194">
        <f t="shared" si="7"/>
        <v>0</v>
      </c>
      <c r="I181" s="193"/>
      <c r="J181" s="195">
        <f t="shared" si="8"/>
        <v>0</v>
      </c>
      <c r="K181" s="139"/>
      <c r="L181" s="197"/>
      <c r="M181" s="198"/>
      <c r="N181" s="198"/>
      <c r="O181" s="139"/>
      <c r="P181" s="139"/>
      <c r="Q181" s="195"/>
      <c r="R181" s="141"/>
      <c r="S181" s="199">
        <f t="shared" si="9"/>
        <v>0</v>
      </c>
      <c r="T181" s="200" t="str">
        <f t="shared" si="10"/>
        <v/>
      </c>
      <c r="U181" s="200">
        <f t="shared" si="11"/>
        <v>0</v>
      </c>
      <c r="V181" s="203"/>
      <c r="W181" s="199">
        <f t="shared" ref="W181:X181" si="169">C181/100</f>
        <v>0</v>
      </c>
      <c r="X181" s="199">
        <f t="shared" si="169"/>
        <v>0</v>
      </c>
      <c r="Y181" s="199">
        <f t="shared" si="14"/>
        <v>0</v>
      </c>
      <c r="Z181" s="202">
        <f t="shared" si="15"/>
        <v>0</v>
      </c>
      <c r="AA181" s="139"/>
      <c r="AB181" s="139"/>
      <c r="AC181" s="139"/>
      <c r="AD181" s="139"/>
      <c r="AE181" s="139"/>
      <c r="AF181" s="139"/>
      <c r="AG181" s="139"/>
      <c r="AH181" s="139"/>
      <c r="AI181" s="139"/>
      <c r="AJ181" s="139"/>
      <c r="AK181" s="139"/>
    </row>
    <row r="182" ht="27.0" hidden="1" customHeight="1">
      <c r="A182" s="162">
        <v>217.0</v>
      </c>
      <c r="B182" s="193"/>
      <c r="C182" s="193"/>
      <c r="D182" s="193"/>
      <c r="E182" s="193"/>
      <c r="F182" s="193">
        <f t="shared" si="5"/>
        <v>0</v>
      </c>
      <c r="G182" s="193">
        <f t="shared" si="6"/>
        <v>0</v>
      </c>
      <c r="H182" s="194">
        <f t="shared" si="7"/>
        <v>0</v>
      </c>
      <c r="I182" s="193"/>
      <c r="J182" s="195">
        <f t="shared" si="8"/>
        <v>0</v>
      </c>
      <c r="K182" s="139"/>
      <c r="L182" s="197"/>
      <c r="M182" s="198"/>
      <c r="N182" s="198"/>
      <c r="O182" s="139"/>
      <c r="P182" s="139"/>
      <c r="Q182" s="195"/>
      <c r="R182" s="141"/>
      <c r="S182" s="199">
        <f t="shared" si="9"/>
        <v>0</v>
      </c>
      <c r="T182" s="200" t="str">
        <f t="shared" si="10"/>
        <v/>
      </c>
      <c r="U182" s="200">
        <f t="shared" si="11"/>
        <v>0</v>
      </c>
      <c r="V182" s="203"/>
      <c r="W182" s="199">
        <f t="shared" ref="W182:X182" si="170">C182/100</f>
        <v>0</v>
      </c>
      <c r="X182" s="199">
        <f t="shared" si="170"/>
        <v>0</v>
      </c>
      <c r="Y182" s="199">
        <f t="shared" si="14"/>
        <v>0</v>
      </c>
      <c r="Z182" s="202">
        <f t="shared" si="15"/>
        <v>0</v>
      </c>
      <c r="AA182" s="139"/>
      <c r="AB182" s="139"/>
      <c r="AC182" s="139"/>
      <c r="AD182" s="139"/>
      <c r="AE182" s="139"/>
      <c r="AF182" s="139"/>
      <c r="AG182" s="139"/>
      <c r="AH182" s="139"/>
      <c r="AI182" s="139"/>
      <c r="AJ182" s="139"/>
      <c r="AK182" s="139"/>
    </row>
    <row r="183" ht="27.0" customHeight="1">
      <c r="A183" s="162"/>
      <c r="B183" s="178"/>
      <c r="C183" s="178"/>
      <c r="D183" s="178"/>
      <c r="E183" s="178"/>
      <c r="F183" s="178"/>
      <c r="G183" s="178"/>
      <c r="H183" s="181"/>
      <c r="I183" s="162"/>
      <c r="J183" s="204">
        <f>+Q244</f>
        <v>163.2</v>
      </c>
      <c r="K183" s="139"/>
      <c r="L183" s="139"/>
      <c r="M183" s="139"/>
      <c r="N183" s="139"/>
      <c r="O183" s="139"/>
      <c r="P183" s="139"/>
      <c r="Q183" s="139"/>
      <c r="R183" s="205"/>
      <c r="S183" s="199">
        <f t="shared" si="9"/>
        <v>0</v>
      </c>
      <c r="T183" s="200" t="str">
        <f t="shared" si="10"/>
        <v/>
      </c>
      <c r="U183" s="200">
        <f t="shared" si="11"/>
        <v>0</v>
      </c>
      <c r="V183" s="203"/>
      <c r="W183" s="199">
        <f t="shared" ref="W183:X183" si="171">C183/100</f>
        <v>0</v>
      </c>
      <c r="X183" s="199">
        <f t="shared" si="171"/>
        <v>0</v>
      </c>
      <c r="Y183" s="199">
        <f t="shared" si="14"/>
        <v>0</v>
      </c>
      <c r="Z183" s="202">
        <f t="shared" si="15"/>
        <v>0</v>
      </c>
      <c r="AA183" s="139"/>
      <c r="AB183" s="139"/>
      <c r="AC183" s="139"/>
      <c r="AD183" s="139"/>
      <c r="AE183" s="139"/>
      <c r="AF183" s="139"/>
      <c r="AG183" s="139"/>
      <c r="AH183" s="139"/>
      <c r="AI183" s="139"/>
      <c r="AJ183" s="139"/>
      <c r="AK183" s="139"/>
    </row>
    <row r="184" ht="27.0" customHeight="1">
      <c r="A184" s="162"/>
      <c r="B184" s="206"/>
      <c r="C184" s="206"/>
      <c r="D184" s="206"/>
      <c r="E184" s="206"/>
      <c r="F184" s="206"/>
      <c r="G184" s="206"/>
      <c r="H184" s="207"/>
      <c r="I184" s="208">
        <f>SUM(I29:I182)</f>
        <v>37</v>
      </c>
      <c r="J184" s="209">
        <f>SUM(J29:J183)</f>
        <v>40565.30544</v>
      </c>
      <c r="K184" s="210"/>
      <c r="L184" s="210"/>
      <c r="M184" s="210"/>
      <c r="N184" s="210"/>
      <c r="O184" s="210"/>
      <c r="P184" s="210"/>
      <c r="Q184" s="210"/>
      <c r="R184" s="141"/>
      <c r="S184" s="210">
        <f>SUMIFS($T$29:$T$182,$S$29:$S$182,"&gt;=3")</f>
        <v>24</v>
      </c>
      <c r="T184" s="210">
        <f t="shared" ref="T184:U184" si="172">SUM(T29:T182)</f>
        <v>37</v>
      </c>
      <c r="U184" s="210">
        <f t="shared" si="172"/>
        <v>706.88</v>
      </c>
      <c r="V184" s="210"/>
      <c r="W184" s="210"/>
      <c r="X184" s="210"/>
      <c r="Y184" s="210"/>
      <c r="Z184" s="211">
        <f>SUM(Z29:Z183)</f>
        <v>1469.665689</v>
      </c>
      <c r="AA184" s="210"/>
      <c r="AB184" s="210"/>
      <c r="AC184" s="210"/>
      <c r="AD184" s="210"/>
      <c r="AE184" s="210"/>
      <c r="AF184" s="210"/>
      <c r="AG184" s="210"/>
      <c r="AH184" s="210"/>
      <c r="AI184" s="210"/>
      <c r="AJ184" s="210"/>
      <c r="AK184" s="210"/>
    </row>
    <row r="185" ht="29.25" customHeight="1">
      <c r="A185" s="139"/>
      <c r="B185" s="139"/>
      <c r="C185" s="139"/>
      <c r="D185" s="139"/>
      <c r="E185" s="139"/>
      <c r="F185" s="139"/>
      <c r="G185" s="139"/>
      <c r="H185" s="140"/>
      <c r="I185" s="139"/>
      <c r="J185" s="139"/>
      <c r="K185" s="139"/>
      <c r="L185" s="139"/>
      <c r="M185" s="139"/>
      <c r="N185" s="139"/>
      <c r="O185" s="139"/>
      <c r="P185" s="139"/>
      <c r="Q185" s="139"/>
      <c r="R185" s="141"/>
      <c r="S185" s="203"/>
      <c r="T185" s="139">
        <f>+T184-S184</f>
        <v>13</v>
      </c>
      <c r="U185" s="139"/>
      <c r="V185" s="139"/>
      <c r="W185" s="139"/>
      <c r="X185" s="139"/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  <c r="AJ185" s="139"/>
      <c r="AK185" s="139"/>
    </row>
    <row r="186" ht="29.25" customHeight="1">
      <c r="A186" s="139"/>
      <c r="B186" s="139"/>
      <c r="C186" s="139"/>
      <c r="D186" s="139"/>
      <c r="E186" s="139"/>
      <c r="F186" s="139"/>
      <c r="G186" s="139"/>
      <c r="H186" s="140"/>
      <c r="I186" s="139"/>
      <c r="J186" s="139"/>
      <c r="K186" s="139"/>
      <c r="L186" s="139"/>
      <c r="M186" s="139"/>
      <c r="N186" s="139"/>
      <c r="O186" s="139"/>
      <c r="P186" s="139"/>
      <c r="Q186" s="139"/>
      <c r="R186" s="205"/>
      <c r="S186" s="139"/>
      <c r="T186" s="139" t="s">
        <v>48</v>
      </c>
      <c r="U186" s="139" t="s">
        <v>68</v>
      </c>
      <c r="V186" s="139"/>
      <c r="W186" s="139"/>
      <c r="X186" s="139"/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</row>
    <row r="187" ht="29.25" customHeight="1">
      <c r="A187" s="139"/>
      <c r="B187" s="139"/>
      <c r="C187" s="139"/>
      <c r="D187" s="139"/>
      <c r="E187" s="139"/>
      <c r="F187" s="139"/>
      <c r="G187" s="139"/>
      <c r="H187" s="140"/>
      <c r="I187" s="139"/>
      <c r="J187" s="139"/>
      <c r="K187" s="139"/>
      <c r="L187" s="139"/>
      <c r="M187" s="139"/>
      <c r="N187" s="139"/>
      <c r="O187" s="139"/>
      <c r="P187" s="139"/>
      <c r="Q187" s="139"/>
      <c r="R187" s="141"/>
      <c r="S187" s="139" t="s">
        <v>31</v>
      </c>
      <c r="T187" s="212">
        <f>SUMIFS($J$29:$J$182,$S$29:$S$182,"&gt;=3")</f>
        <v>39248.30182</v>
      </c>
      <c r="U187" s="213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39"/>
      <c r="AK187" s="139"/>
    </row>
    <row r="188" ht="29.25" customHeight="1">
      <c r="A188" s="139" t="s">
        <v>32</v>
      </c>
      <c r="B188" s="139"/>
      <c r="C188" s="139"/>
      <c r="D188" s="139" t="s">
        <v>33</v>
      </c>
      <c r="E188" s="139"/>
      <c r="F188" s="139"/>
      <c r="G188" s="139"/>
      <c r="H188" s="140"/>
      <c r="I188" s="139"/>
      <c r="J188" s="139"/>
      <c r="K188" s="139"/>
      <c r="L188" s="139"/>
      <c r="M188" s="139"/>
      <c r="N188" s="139"/>
      <c r="O188" s="139"/>
      <c r="P188" s="139"/>
      <c r="Q188" s="139"/>
      <c r="R188" s="141"/>
      <c r="S188" s="139" t="s">
        <v>34</v>
      </c>
      <c r="T188" s="266">
        <f>J184-T187</f>
        <v>1317.003617</v>
      </c>
      <c r="U188" s="213">
        <f>+SUMIFS($U$29:$U$182,$S$29:$S$182,"&gt;=3")</f>
        <v>681.77</v>
      </c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</row>
    <row r="189" ht="29.25" customHeight="1">
      <c r="A189" s="139"/>
      <c r="B189" s="139"/>
      <c r="C189" s="139"/>
      <c r="D189" s="139"/>
      <c r="E189" s="139"/>
      <c r="F189" s="139"/>
      <c r="G189" s="139"/>
      <c r="H189" s="140"/>
      <c r="I189" s="139"/>
      <c r="J189" s="139"/>
      <c r="K189" s="139"/>
      <c r="L189" s="139"/>
      <c r="M189" s="139"/>
      <c r="N189" s="139"/>
      <c r="O189" s="139"/>
      <c r="P189" s="139"/>
      <c r="Q189" s="139"/>
      <c r="R189" s="205"/>
      <c r="S189" s="139"/>
      <c r="T189" s="214">
        <f>+I184</f>
        <v>37</v>
      </c>
      <c r="U189" s="139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</row>
    <row r="190" ht="39.0" customHeight="1">
      <c r="A190" s="178"/>
      <c r="B190" s="162" t="s">
        <v>12</v>
      </c>
      <c r="C190" s="179" t="s">
        <v>69</v>
      </c>
      <c r="D190" s="52"/>
      <c r="E190" s="53"/>
      <c r="F190" s="180"/>
      <c r="G190" s="180"/>
      <c r="H190" s="181" t="s">
        <v>14</v>
      </c>
      <c r="I190" s="162" t="s">
        <v>15</v>
      </c>
      <c r="J190" s="162" t="s">
        <v>16</v>
      </c>
      <c r="K190" s="139"/>
      <c r="L190" s="139"/>
      <c r="M190" s="139"/>
      <c r="N190" s="139"/>
      <c r="O190" s="139"/>
      <c r="P190" s="139"/>
      <c r="Q190" s="139"/>
      <c r="R190" s="141"/>
      <c r="S190" s="139"/>
      <c r="T190" s="139"/>
      <c r="U190" s="139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</row>
    <row r="191" ht="27.0" customHeight="1">
      <c r="A191" s="155">
        <v>1.0</v>
      </c>
      <c r="B191" s="215" t="s">
        <v>87</v>
      </c>
      <c r="C191" s="215">
        <v>68.0</v>
      </c>
      <c r="D191" s="215">
        <v>216.0</v>
      </c>
      <c r="E191" s="215">
        <v>177.0</v>
      </c>
      <c r="F191" s="215">
        <f t="shared" ref="F191:F206" si="173">1-VALUE(IF(RIGHT(B191, 1)="%", RIGHT(B191, 3), 0))</f>
        <v>0.2</v>
      </c>
      <c r="G191" s="215">
        <f t="shared" ref="G191:G206" si="174">+Q191*C191/100*D191/100*E191/100</f>
        <v>0</v>
      </c>
      <c r="H191" s="216">
        <f t="shared" ref="H191:H206" si="175">IF(F191=0, G191, F191*G191)</f>
        <v>0</v>
      </c>
      <c r="I191" s="215"/>
      <c r="J191" s="217"/>
      <c r="K191" s="139"/>
      <c r="L191" s="178">
        <f t="shared" ref="L191:L194" si="176">D191*25.4/1000</f>
        <v>5.4864</v>
      </c>
      <c r="M191" s="162" t="str">
        <f t="shared" ref="M191:M194" si="177">+I191</f>
        <v/>
      </c>
      <c r="N191" s="162">
        <f t="shared" ref="N191:N194" si="178">M191*L191</f>
        <v>0</v>
      </c>
      <c r="O191" s="139"/>
      <c r="P191" s="139"/>
      <c r="Q191" s="139"/>
      <c r="R191" s="141"/>
      <c r="S191" s="139"/>
      <c r="T191" s="139"/>
      <c r="U191" s="139"/>
      <c r="V191" s="139"/>
      <c r="W191" s="139"/>
      <c r="X191" s="139"/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</row>
    <row r="192" ht="27.0" customHeight="1">
      <c r="A192" s="155">
        <v>2.0</v>
      </c>
      <c r="B192" s="215" t="s">
        <v>94</v>
      </c>
      <c r="C192" s="215">
        <v>91.0</v>
      </c>
      <c r="D192" s="215">
        <v>218.0</v>
      </c>
      <c r="E192" s="215">
        <v>168.0</v>
      </c>
      <c r="F192" s="215">
        <f t="shared" si="173"/>
        <v>0.2</v>
      </c>
      <c r="G192" s="215">
        <f t="shared" si="174"/>
        <v>0</v>
      </c>
      <c r="H192" s="216">
        <f t="shared" si="175"/>
        <v>0</v>
      </c>
      <c r="I192" s="215"/>
      <c r="J192" s="217">
        <f t="shared" ref="J192:J206" si="179">+I192*H192</f>
        <v>0</v>
      </c>
      <c r="K192" s="139"/>
      <c r="L192" s="178">
        <f t="shared" si="176"/>
        <v>5.5372</v>
      </c>
      <c r="M192" s="162" t="str">
        <f t="shared" si="177"/>
        <v/>
      </c>
      <c r="N192" s="162">
        <f t="shared" si="178"/>
        <v>0</v>
      </c>
      <c r="O192" s="139"/>
      <c r="P192" s="139"/>
      <c r="Q192" s="139"/>
      <c r="R192" s="139"/>
      <c r="S192" s="139"/>
      <c r="T192" s="139"/>
      <c r="U192" s="139"/>
      <c r="V192" s="139"/>
      <c r="W192" s="139"/>
      <c r="X192" s="139"/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</row>
    <row r="193" ht="27.0" customHeight="1">
      <c r="A193" s="155">
        <v>3.0</v>
      </c>
      <c r="B193" s="218" t="s">
        <v>155</v>
      </c>
      <c r="C193" s="218">
        <v>94.0</v>
      </c>
      <c r="D193" s="218">
        <v>202.0</v>
      </c>
      <c r="E193" s="218">
        <v>177.0</v>
      </c>
      <c r="F193" s="218">
        <f t="shared" si="173"/>
        <v>0.2</v>
      </c>
      <c r="G193" s="218">
        <f t="shared" si="174"/>
        <v>0</v>
      </c>
      <c r="H193" s="219">
        <f t="shared" si="175"/>
        <v>0</v>
      </c>
      <c r="I193" s="218"/>
      <c r="J193" s="195">
        <f t="shared" si="179"/>
        <v>0</v>
      </c>
      <c r="K193" s="139"/>
      <c r="L193" s="178">
        <f t="shared" si="176"/>
        <v>5.1308</v>
      </c>
      <c r="M193" s="162" t="str">
        <f t="shared" si="177"/>
        <v/>
      </c>
      <c r="N193" s="162">
        <f t="shared" si="178"/>
        <v>0</v>
      </c>
      <c r="O193" s="139"/>
      <c r="P193" s="139"/>
      <c r="Q193" s="139"/>
      <c r="R193" s="139"/>
      <c r="S193" s="220"/>
      <c r="T193" s="139"/>
      <c r="U193" s="139"/>
      <c r="V193" s="139"/>
      <c r="W193" s="139"/>
      <c r="X193" s="139"/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</row>
    <row r="194" ht="27.0" customHeight="1">
      <c r="A194" s="155">
        <v>4.0</v>
      </c>
      <c r="B194" s="218" t="s">
        <v>63</v>
      </c>
      <c r="C194" s="218">
        <v>86.0</v>
      </c>
      <c r="D194" s="218">
        <v>202.0</v>
      </c>
      <c r="E194" s="218">
        <v>197.0</v>
      </c>
      <c r="F194" s="218">
        <f t="shared" si="173"/>
        <v>0.2</v>
      </c>
      <c r="G194" s="218">
        <f t="shared" si="174"/>
        <v>0</v>
      </c>
      <c r="H194" s="219">
        <f t="shared" si="175"/>
        <v>0</v>
      </c>
      <c r="I194" s="218"/>
      <c r="J194" s="195">
        <f t="shared" si="179"/>
        <v>0</v>
      </c>
      <c r="K194" s="139"/>
      <c r="L194" s="178">
        <f t="shared" si="176"/>
        <v>5.1308</v>
      </c>
      <c r="M194" s="162" t="str">
        <f t="shared" si="177"/>
        <v/>
      </c>
      <c r="N194" s="162">
        <f t="shared" si="178"/>
        <v>0</v>
      </c>
      <c r="O194" s="139"/>
      <c r="P194" s="139"/>
      <c r="Q194" s="139"/>
      <c r="R194" s="139"/>
      <c r="S194" s="139"/>
      <c r="T194" s="139"/>
      <c r="U194" s="139"/>
      <c r="V194" s="139"/>
      <c r="W194" s="139"/>
      <c r="X194" s="139"/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  <c r="AJ194" s="139"/>
      <c r="AK194" s="139"/>
    </row>
    <row r="195" ht="27.0" customHeight="1">
      <c r="A195" s="155">
        <v>5.0</v>
      </c>
      <c r="B195" s="218" t="s">
        <v>85</v>
      </c>
      <c r="C195" s="218">
        <v>91.0</v>
      </c>
      <c r="D195" s="218">
        <v>205.0</v>
      </c>
      <c r="E195" s="218">
        <v>187.0</v>
      </c>
      <c r="F195" s="218">
        <f t="shared" si="173"/>
        <v>0.2</v>
      </c>
      <c r="G195" s="218">
        <f t="shared" si="174"/>
        <v>0</v>
      </c>
      <c r="H195" s="219">
        <f t="shared" si="175"/>
        <v>0</v>
      </c>
      <c r="I195" s="218"/>
      <c r="J195" s="195">
        <f t="shared" si="179"/>
        <v>0</v>
      </c>
      <c r="K195" s="139"/>
      <c r="L195" s="178"/>
      <c r="M195" s="162"/>
      <c r="N195" s="162"/>
      <c r="O195" s="139"/>
      <c r="P195" s="139"/>
      <c r="Q195" s="139"/>
      <c r="R195" s="139"/>
      <c r="S195" s="139"/>
      <c r="T195" s="139"/>
      <c r="U195" s="139"/>
      <c r="V195" s="139"/>
      <c r="W195" s="139"/>
      <c r="X195" s="139"/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  <c r="AJ195" s="139"/>
      <c r="AK195" s="139"/>
    </row>
    <row r="196" ht="27.0" customHeight="1">
      <c r="A196" s="155">
        <v>6.0</v>
      </c>
      <c r="B196" s="218" t="s">
        <v>63</v>
      </c>
      <c r="C196" s="218">
        <v>95.0</v>
      </c>
      <c r="D196" s="218">
        <v>205.0</v>
      </c>
      <c r="E196" s="218">
        <v>201.0</v>
      </c>
      <c r="F196" s="218">
        <f t="shared" si="173"/>
        <v>0.2</v>
      </c>
      <c r="G196" s="218">
        <f t="shared" si="174"/>
        <v>0</v>
      </c>
      <c r="H196" s="219">
        <f t="shared" si="175"/>
        <v>0</v>
      </c>
      <c r="I196" s="218"/>
      <c r="J196" s="195">
        <f t="shared" si="179"/>
        <v>0</v>
      </c>
      <c r="K196" s="139"/>
      <c r="L196" s="178"/>
      <c r="M196" s="162"/>
      <c r="N196" s="162"/>
      <c r="O196" s="139"/>
      <c r="P196" s="139"/>
      <c r="Q196" s="139"/>
      <c r="R196" s="139"/>
      <c r="S196" s="139"/>
      <c r="T196" s="139"/>
      <c r="U196" s="139"/>
      <c r="V196" s="139"/>
      <c r="W196" s="139"/>
      <c r="X196" s="139"/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  <c r="AJ196" s="139"/>
      <c r="AK196" s="139"/>
    </row>
    <row r="197" ht="27.0" customHeight="1">
      <c r="A197" s="155">
        <v>7.0</v>
      </c>
      <c r="B197" s="218" t="s">
        <v>97</v>
      </c>
      <c r="C197" s="218">
        <v>78.0</v>
      </c>
      <c r="D197" s="218">
        <v>205.0</v>
      </c>
      <c r="E197" s="218">
        <v>189.0</v>
      </c>
      <c r="F197" s="218">
        <f t="shared" si="173"/>
        <v>0.2</v>
      </c>
      <c r="G197" s="218">
        <f t="shared" si="174"/>
        <v>0</v>
      </c>
      <c r="H197" s="219">
        <f t="shared" si="175"/>
        <v>0</v>
      </c>
      <c r="I197" s="218"/>
      <c r="J197" s="195">
        <f t="shared" si="179"/>
        <v>0</v>
      </c>
      <c r="K197" s="139"/>
      <c r="L197" s="178">
        <f t="shared" ref="L197:L201" si="180">D197*25.4/1000</f>
        <v>5.207</v>
      </c>
      <c r="M197" s="162" t="str">
        <f>+I197</f>
        <v/>
      </c>
      <c r="N197" s="162">
        <f>M197*L197</f>
        <v>0</v>
      </c>
      <c r="O197" s="139"/>
      <c r="P197" s="139"/>
      <c r="Q197" s="139"/>
      <c r="R197" s="139"/>
      <c r="S197" s="139"/>
      <c r="T197" s="139"/>
      <c r="U197" s="139"/>
      <c r="V197" s="139"/>
      <c r="W197" s="139"/>
      <c r="X197" s="139"/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  <c r="AJ197" s="139"/>
      <c r="AK197" s="139"/>
    </row>
    <row r="198" ht="27.0" hidden="1" customHeight="1">
      <c r="A198" s="155">
        <v>6.0</v>
      </c>
      <c r="B198" s="218"/>
      <c r="C198" s="218"/>
      <c r="D198" s="218"/>
      <c r="E198" s="218"/>
      <c r="F198" s="218">
        <f t="shared" si="173"/>
        <v>1</v>
      </c>
      <c r="G198" s="218">
        <f t="shared" si="174"/>
        <v>0</v>
      </c>
      <c r="H198" s="219">
        <f t="shared" si="175"/>
        <v>0</v>
      </c>
      <c r="I198" s="218"/>
      <c r="J198" s="195">
        <f t="shared" si="179"/>
        <v>0</v>
      </c>
      <c r="K198" s="139"/>
      <c r="L198" s="139">
        <f t="shared" si="180"/>
        <v>0</v>
      </c>
      <c r="M198" s="221"/>
      <c r="N198" s="221"/>
      <c r="O198" s="139"/>
      <c r="P198" s="139"/>
      <c r="Q198" s="139"/>
      <c r="R198" s="139"/>
      <c r="S198" s="139"/>
      <c r="T198" s="139"/>
      <c r="U198" s="139"/>
      <c r="V198" s="139"/>
      <c r="W198" s="139"/>
      <c r="X198" s="139"/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  <c r="AJ198" s="139"/>
      <c r="AK198" s="139"/>
    </row>
    <row r="199" ht="27.0" hidden="1" customHeight="1">
      <c r="A199" s="155">
        <v>7.0</v>
      </c>
      <c r="B199" s="218"/>
      <c r="C199" s="218"/>
      <c r="D199" s="218"/>
      <c r="E199" s="218"/>
      <c r="F199" s="218">
        <f t="shared" si="173"/>
        <v>1</v>
      </c>
      <c r="G199" s="218">
        <f t="shared" si="174"/>
        <v>0</v>
      </c>
      <c r="H199" s="219">
        <f t="shared" si="175"/>
        <v>0</v>
      </c>
      <c r="I199" s="218"/>
      <c r="J199" s="195">
        <f t="shared" si="179"/>
        <v>0</v>
      </c>
      <c r="K199" s="139"/>
      <c r="L199" s="139">
        <f t="shared" si="180"/>
        <v>0</v>
      </c>
      <c r="M199" s="221"/>
      <c r="N199" s="221"/>
      <c r="O199" s="139"/>
      <c r="P199" s="139"/>
      <c r="Q199" s="139"/>
      <c r="R199" s="139"/>
      <c r="S199" s="139"/>
      <c r="T199" s="139"/>
      <c r="U199" s="139"/>
      <c r="V199" s="139"/>
      <c r="W199" s="139"/>
      <c r="X199" s="139"/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</row>
    <row r="200" ht="27.0" hidden="1" customHeight="1">
      <c r="A200" s="155">
        <v>8.0</v>
      </c>
      <c r="B200" s="218"/>
      <c r="C200" s="218"/>
      <c r="D200" s="218"/>
      <c r="E200" s="218"/>
      <c r="F200" s="218">
        <f t="shared" si="173"/>
        <v>1</v>
      </c>
      <c r="G200" s="218">
        <f t="shared" si="174"/>
        <v>0</v>
      </c>
      <c r="H200" s="219">
        <f t="shared" si="175"/>
        <v>0</v>
      </c>
      <c r="I200" s="218"/>
      <c r="J200" s="195">
        <f t="shared" si="179"/>
        <v>0</v>
      </c>
      <c r="K200" s="139"/>
      <c r="L200" s="139">
        <f t="shared" si="180"/>
        <v>0</v>
      </c>
      <c r="M200" s="221"/>
      <c r="N200" s="221"/>
      <c r="O200" s="139"/>
      <c r="P200" s="139"/>
      <c r="Q200" s="139"/>
      <c r="R200" s="139"/>
      <c r="S200" s="139"/>
      <c r="T200" s="139"/>
      <c r="U200" s="139"/>
      <c r="V200" s="139"/>
      <c r="W200" s="139"/>
      <c r="X200" s="139"/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</row>
    <row r="201" ht="27.0" hidden="1" customHeight="1">
      <c r="A201" s="155">
        <v>9.0</v>
      </c>
      <c r="B201" s="218"/>
      <c r="C201" s="218"/>
      <c r="D201" s="218"/>
      <c r="E201" s="218"/>
      <c r="F201" s="218">
        <f t="shared" si="173"/>
        <v>1</v>
      </c>
      <c r="G201" s="218">
        <f t="shared" si="174"/>
        <v>0</v>
      </c>
      <c r="H201" s="219">
        <f t="shared" si="175"/>
        <v>0</v>
      </c>
      <c r="I201" s="218"/>
      <c r="J201" s="195">
        <f t="shared" si="179"/>
        <v>0</v>
      </c>
      <c r="K201" s="139"/>
      <c r="L201" s="139">
        <f t="shared" si="180"/>
        <v>0</v>
      </c>
      <c r="M201" s="221"/>
      <c r="N201" s="221"/>
      <c r="O201" s="139"/>
      <c r="P201" s="139"/>
      <c r="Q201" s="139"/>
      <c r="R201" s="139"/>
      <c r="S201" s="139"/>
      <c r="T201" s="139"/>
      <c r="U201" s="139"/>
      <c r="V201" s="139"/>
      <c r="W201" s="139"/>
      <c r="X201" s="139"/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  <c r="AJ201" s="139"/>
      <c r="AK201" s="139"/>
    </row>
    <row r="202" ht="27.0" hidden="1" customHeight="1">
      <c r="A202" s="155">
        <v>10.0</v>
      </c>
      <c r="B202" s="193"/>
      <c r="C202" s="193"/>
      <c r="D202" s="193"/>
      <c r="E202" s="193"/>
      <c r="F202" s="193">
        <f t="shared" si="173"/>
        <v>1</v>
      </c>
      <c r="G202" s="193">
        <f t="shared" si="174"/>
        <v>0</v>
      </c>
      <c r="H202" s="194">
        <f t="shared" si="175"/>
        <v>0</v>
      </c>
      <c r="I202" s="193"/>
      <c r="J202" s="195">
        <f t="shared" si="179"/>
        <v>0</v>
      </c>
      <c r="K202" s="139"/>
      <c r="L202" s="139"/>
      <c r="M202" s="221"/>
      <c r="N202" s="221"/>
      <c r="O202" s="139"/>
      <c r="P202" s="139"/>
      <c r="Q202" s="139"/>
      <c r="R202" s="139"/>
      <c r="S202" s="139"/>
      <c r="T202" s="139"/>
      <c r="U202" s="139"/>
      <c r="V202" s="139"/>
      <c r="W202" s="139"/>
      <c r="X202" s="139"/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</row>
    <row r="203" ht="27.0" hidden="1" customHeight="1">
      <c r="A203" s="155">
        <v>11.0</v>
      </c>
      <c r="B203" s="193"/>
      <c r="C203" s="193"/>
      <c r="D203" s="193"/>
      <c r="E203" s="193"/>
      <c r="F203" s="193">
        <f t="shared" si="173"/>
        <v>1</v>
      </c>
      <c r="G203" s="193">
        <f t="shared" si="174"/>
        <v>0</v>
      </c>
      <c r="H203" s="194">
        <f t="shared" si="175"/>
        <v>0</v>
      </c>
      <c r="I203" s="193"/>
      <c r="J203" s="195">
        <f t="shared" si="179"/>
        <v>0</v>
      </c>
      <c r="K203" s="139"/>
      <c r="L203" s="139"/>
      <c r="M203" s="221"/>
      <c r="N203" s="221"/>
      <c r="O203" s="139"/>
      <c r="P203" s="139"/>
      <c r="Q203" s="139"/>
      <c r="R203" s="139"/>
      <c r="S203" s="139"/>
      <c r="T203" s="139"/>
      <c r="U203" s="139"/>
      <c r="V203" s="139"/>
      <c r="W203" s="139"/>
      <c r="X203" s="139"/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  <c r="AJ203" s="139"/>
      <c r="AK203" s="139"/>
    </row>
    <row r="204" ht="27.0" hidden="1" customHeight="1">
      <c r="A204" s="155">
        <v>12.0</v>
      </c>
      <c r="B204" s="193"/>
      <c r="C204" s="193"/>
      <c r="D204" s="193"/>
      <c r="E204" s="193"/>
      <c r="F204" s="193">
        <f t="shared" si="173"/>
        <v>1</v>
      </c>
      <c r="G204" s="193">
        <f t="shared" si="174"/>
        <v>0</v>
      </c>
      <c r="H204" s="194">
        <f t="shared" si="175"/>
        <v>0</v>
      </c>
      <c r="I204" s="193"/>
      <c r="J204" s="195">
        <f t="shared" si="179"/>
        <v>0</v>
      </c>
      <c r="K204" s="139"/>
      <c r="L204" s="139"/>
      <c r="M204" s="221"/>
      <c r="N204" s="221"/>
      <c r="O204" s="139"/>
      <c r="P204" s="139"/>
      <c r="Q204" s="139"/>
      <c r="R204" s="139"/>
      <c r="S204" s="139"/>
      <c r="T204" s="139"/>
      <c r="U204" s="139"/>
      <c r="V204" s="139"/>
      <c r="W204" s="139"/>
      <c r="X204" s="139"/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  <c r="AJ204" s="139"/>
      <c r="AK204" s="139"/>
    </row>
    <row r="205" ht="27.0" hidden="1" customHeight="1">
      <c r="A205" s="155">
        <v>13.0</v>
      </c>
      <c r="B205" s="193"/>
      <c r="C205" s="193"/>
      <c r="D205" s="193"/>
      <c r="E205" s="193"/>
      <c r="F205" s="193">
        <f t="shared" si="173"/>
        <v>1</v>
      </c>
      <c r="G205" s="193">
        <f t="shared" si="174"/>
        <v>0</v>
      </c>
      <c r="H205" s="194">
        <f t="shared" si="175"/>
        <v>0</v>
      </c>
      <c r="I205" s="193"/>
      <c r="J205" s="195">
        <f t="shared" si="179"/>
        <v>0</v>
      </c>
      <c r="K205" s="139"/>
      <c r="L205" s="139"/>
      <c r="M205" s="221"/>
      <c r="N205" s="221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</row>
    <row r="206" ht="27.0" hidden="1" customHeight="1">
      <c r="A206" s="155">
        <v>14.0</v>
      </c>
      <c r="B206" s="193"/>
      <c r="C206" s="193"/>
      <c r="D206" s="193"/>
      <c r="E206" s="193"/>
      <c r="F206" s="193">
        <f t="shared" si="173"/>
        <v>1</v>
      </c>
      <c r="G206" s="193">
        <f t="shared" si="174"/>
        <v>0</v>
      </c>
      <c r="H206" s="194">
        <f t="shared" si="175"/>
        <v>0</v>
      </c>
      <c r="I206" s="193"/>
      <c r="J206" s="195">
        <f t="shared" si="179"/>
        <v>0</v>
      </c>
      <c r="K206" s="139"/>
      <c r="L206" s="139"/>
      <c r="M206" s="221"/>
      <c r="N206" s="221"/>
      <c r="O206" s="139"/>
      <c r="P206" s="139"/>
      <c r="Q206" s="139"/>
      <c r="R206" s="139"/>
      <c r="S206" s="139"/>
      <c r="T206" s="139"/>
      <c r="U206" s="139"/>
      <c r="V206" s="139"/>
      <c r="W206" s="139"/>
      <c r="X206" s="139"/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</row>
    <row r="207" ht="24.75" customHeight="1">
      <c r="A207" s="162"/>
      <c r="B207" s="197"/>
      <c r="C207" s="197"/>
      <c r="D207" s="197"/>
      <c r="E207" s="197"/>
      <c r="F207" s="197"/>
      <c r="G207" s="197"/>
      <c r="H207" s="222" t="s">
        <v>38</v>
      </c>
      <c r="I207" s="197"/>
      <c r="J207" s="223">
        <f>SUM(J191:J206)</f>
        <v>0</v>
      </c>
      <c r="K207" s="139"/>
      <c r="L207" s="139"/>
      <c r="M207" s="139"/>
      <c r="N207" s="139"/>
      <c r="O207" s="139"/>
      <c r="P207" s="139"/>
      <c r="Q207" s="139"/>
      <c r="R207" s="141"/>
      <c r="S207" s="224"/>
      <c r="T207" s="139"/>
      <c r="U207" s="139"/>
      <c r="V207" s="139"/>
      <c r="W207" s="139"/>
      <c r="X207" s="139"/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  <c r="AJ207" s="139"/>
      <c r="AK207" s="139"/>
    </row>
    <row r="208" ht="18.75" customHeight="1">
      <c r="A208" s="176"/>
      <c r="B208" s="144"/>
      <c r="C208" s="144"/>
      <c r="D208" s="144"/>
      <c r="E208" s="144"/>
      <c r="F208" s="144"/>
      <c r="G208" s="144"/>
      <c r="H208" s="145"/>
      <c r="I208" s="144"/>
      <c r="J208" s="177"/>
      <c r="K208" s="139"/>
      <c r="L208" s="139"/>
      <c r="M208" s="139"/>
      <c r="N208" s="139"/>
      <c r="O208" s="139"/>
      <c r="P208" s="139"/>
      <c r="Q208" s="139"/>
      <c r="R208" s="141"/>
      <c r="S208" s="224"/>
      <c r="T208" s="139"/>
      <c r="U208" s="139"/>
      <c r="V208" s="139"/>
      <c r="W208" s="139"/>
      <c r="X208" s="139"/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</row>
    <row r="209" ht="18.75" customHeight="1">
      <c r="A209" s="139"/>
      <c r="B209" s="139"/>
      <c r="C209" s="139"/>
      <c r="D209" s="139"/>
      <c r="E209" s="139"/>
      <c r="F209" s="139"/>
      <c r="G209" s="139"/>
      <c r="H209" s="140"/>
      <c r="I209" s="139"/>
      <c r="J209" s="139"/>
      <c r="K209" s="139"/>
      <c r="L209" s="139"/>
      <c r="M209" s="139"/>
      <c r="N209" s="139"/>
      <c r="O209" s="139"/>
      <c r="P209" s="139"/>
      <c r="Q209" s="139"/>
      <c r="R209" s="141"/>
      <c r="S209" s="224"/>
      <c r="T209" s="139"/>
      <c r="U209" s="139"/>
      <c r="V209" s="139"/>
      <c r="W209" s="139"/>
      <c r="X209" s="139"/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</row>
    <row r="210" ht="18.75" customHeight="1">
      <c r="A210" s="139"/>
      <c r="B210" s="139"/>
      <c r="C210" s="139"/>
      <c r="D210" s="139"/>
      <c r="E210" s="139"/>
      <c r="F210" s="139"/>
      <c r="G210" s="139"/>
      <c r="H210" s="140"/>
      <c r="I210" s="139"/>
      <c r="J210" s="139"/>
      <c r="K210" s="139"/>
      <c r="L210" s="139"/>
      <c r="M210" s="139"/>
      <c r="N210" s="139"/>
      <c r="O210" s="139"/>
      <c r="P210" s="139"/>
      <c r="Q210" s="139"/>
      <c r="R210" s="224"/>
      <c r="S210" s="224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</row>
    <row r="211" ht="18.75" customHeight="1">
      <c r="A211" s="139" t="s">
        <v>39</v>
      </c>
      <c r="B211" s="139"/>
      <c r="C211" s="139"/>
      <c r="D211" s="139"/>
      <c r="E211" s="139"/>
      <c r="F211" s="139"/>
      <c r="G211" s="139"/>
      <c r="H211" s="140"/>
      <c r="I211" s="139"/>
      <c r="J211" s="139"/>
      <c r="K211" s="139"/>
      <c r="L211" s="139"/>
      <c r="M211" s="139"/>
      <c r="N211" s="139"/>
      <c r="O211" s="139"/>
      <c r="P211" s="139"/>
      <c r="Q211" s="139"/>
      <c r="R211" s="224"/>
      <c r="S211" s="224"/>
      <c r="T211" s="139"/>
      <c r="U211" s="139"/>
      <c r="V211" s="139"/>
      <c r="W211" s="139"/>
      <c r="X211" s="139"/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  <c r="AJ211" s="139"/>
      <c r="AK211" s="139"/>
    </row>
    <row r="212" ht="18.75" customHeight="1">
      <c r="A212" s="139"/>
      <c r="B212" s="139"/>
      <c r="C212" s="139"/>
      <c r="D212" s="139"/>
      <c r="E212" s="139"/>
      <c r="F212" s="139"/>
      <c r="G212" s="139"/>
      <c r="H212" s="140"/>
      <c r="I212" s="139"/>
      <c r="J212" s="139"/>
      <c r="K212" s="139"/>
      <c r="L212" s="139"/>
      <c r="M212" s="139"/>
      <c r="N212" s="139"/>
      <c r="O212" s="139"/>
      <c r="P212" s="139"/>
      <c r="Q212" s="139"/>
      <c r="R212" s="224"/>
      <c r="S212" s="224"/>
      <c r="T212" s="139"/>
      <c r="U212" s="139"/>
      <c r="V212" s="139"/>
      <c r="W212" s="139"/>
      <c r="X212" s="139"/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  <c r="AJ212" s="139"/>
      <c r="AK212" s="139"/>
    </row>
    <row r="213" ht="42.0" customHeight="1">
      <c r="A213" s="178"/>
      <c r="B213" s="162" t="s">
        <v>12</v>
      </c>
      <c r="C213" s="179" t="s">
        <v>75</v>
      </c>
      <c r="D213" s="52"/>
      <c r="E213" s="53"/>
      <c r="F213" s="225"/>
      <c r="G213" s="225"/>
      <c r="H213" s="181" t="s">
        <v>14</v>
      </c>
      <c r="I213" s="226" t="s">
        <v>15</v>
      </c>
      <c r="J213" s="162" t="s">
        <v>16</v>
      </c>
      <c r="K213" s="139"/>
      <c r="L213" s="139"/>
      <c r="M213" s="139"/>
      <c r="N213" s="139"/>
      <c r="O213" s="139"/>
      <c r="P213" s="139"/>
      <c r="Q213" s="139"/>
      <c r="R213" s="224"/>
      <c r="S213" s="224"/>
      <c r="T213" s="139"/>
      <c r="U213" s="139"/>
      <c r="V213" s="139"/>
      <c r="W213" s="139"/>
      <c r="X213" s="139"/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  <c r="AJ213" s="139"/>
      <c r="AK213" s="139"/>
    </row>
    <row r="214" ht="24.75" customHeight="1">
      <c r="A214" s="162">
        <v>1.0</v>
      </c>
      <c r="B214" s="183" t="s">
        <v>80</v>
      </c>
      <c r="C214" s="200"/>
      <c r="D214" s="200"/>
      <c r="E214" s="200"/>
      <c r="F214" s="200"/>
      <c r="G214" s="200"/>
      <c r="H214" s="227">
        <v>25.0</v>
      </c>
      <c r="I214" s="200">
        <v>1.0</v>
      </c>
      <c r="J214" s="195">
        <f t="shared" ref="J214:J242" si="181">+I214*H214</f>
        <v>25</v>
      </c>
      <c r="K214" s="178"/>
      <c r="L214" s="178"/>
      <c r="M214" s="178"/>
      <c r="N214" s="178"/>
      <c r="O214" s="178"/>
      <c r="P214" s="178"/>
      <c r="Q214" s="228"/>
      <c r="R214" s="224"/>
      <c r="S214" s="224"/>
      <c r="T214" s="139"/>
      <c r="U214" s="139"/>
      <c r="V214" s="139"/>
      <c r="W214" s="139"/>
      <c r="X214" s="139"/>
      <c r="Y214" s="139"/>
      <c r="Z214" s="139"/>
      <c r="AA214" s="139"/>
      <c r="AB214" s="139"/>
      <c r="AC214" s="139"/>
      <c r="AD214" s="139"/>
      <c r="AE214" s="178"/>
      <c r="AF214" s="178"/>
      <c r="AG214" s="178"/>
      <c r="AH214" s="178"/>
      <c r="AI214" s="178"/>
      <c r="AJ214" s="178"/>
      <c r="AK214" s="178"/>
    </row>
    <row r="215" ht="24.75" customHeight="1">
      <c r="A215" s="162">
        <v>2.0</v>
      </c>
      <c r="B215" s="193" t="s">
        <v>80</v>
      </c>
      <c r="C215" s="200"/>
      <c r="D215" s="200"/>
      <c r="E215" s="200"/>
      <c r="F215" s="200"/>
      <c r="G215" s="200"/>
      <c r="H215" s="227">
        <v>24.0</v>
      </c>
      <c r="I215" s="200">
        <v>1.0</v>
      </c>
      <c r="J215" s="195">
        <f t="shared" si="181"/>
        <v>24</v>
      </c>
      <c r="K215" s="178"/>
      <c r="L215" s="178"/>
      <c r="M215" s="178"/>
      <c r="N215" s="178"/>
      <c r="O215" s="178"/>
      <c r="P215" s="178"/>
      <c r="Q215" s="228"/>
      <c r="R215" s="224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78"/>
      <c r="AF215" s="178"/>
      <c r="AG215" s="178"/>
      <c r="AH215" s="178"/>
      <c r="AI215" s="178"/>
      <c r="AJ215" s="178"/>
      <c r="AK215" s="178"/>
    </row>
    <row r="216" ht="24.75" customHeight="1">
      <c r="A216" s="162">
        <v>3.0</v>
      </c>
      <c r="B216" s="183" t="s">
        <v>57</v>
      </c>
      <c r="C216" s="200"/>
      <c r="D216" s="200"/>
      <c r="E216" s="200"/>
      <c r="F216" s="200"/>
      <c r="G216" s="200"/>
      <c r="H216" s="227">
        <v>44.0</v>
      </c>
      <c r="I216" s="200">
        <v>1.0</v>
      </c>
      <c r="J216" s="195">
        <f t="shared" si="181"/>
        <v>44</v>
      </c>
      <c r="K216" s="178"/>
      <c r="L216" s="178"/>
      <c r="M216" s="178"/>
      <c r="N216" s="178"/>
      <c r="O216" s="178"/>
      <c r="P216" s="178"/>
      <c r="Q216" s="228"/>
      <c r="R216" s="224"/>
      <c r="S216" s="139"/>
      <c r="T216" s="139"/>
      <c r="U216" s="139"/>
      <c r="V216" s="139"/>
      <c r="W216" s="139"/>
      <c r="X216" s="139"/>
      <c r="Y216" s="139"/>
      <c r="Z216" s="139"/>
      <c r="AA216" s="139"/>
      <c r="AB216" s="139"/>
      <c r="AC216" s="139"/>
      <c r="AD216" s="139"/>
      <c r="AE216" s="178"/>
      <c r="AF216" s="178"/>
      <c r="AG216" s="178"/>
      <c r="AH216" s="178"/>
      <c r="AI216" s="178"/>
      <c r="AJ216" s="178"/>
      <c r="AK216" s="178"/>
    </row>
    <row r="217" ht="24.75" customHeight="1">
      <c r="A217" s="162">
        <v>4.0</v>
      </c>
      <c r="B217" s="193" t="s">
        <v>57</v>
      </c>
      <c r="C217" s="200"/>
      <c r="D217" s="200"/>
      <c r="E217" s="200"/>
      <c r="F217" s="200"/>
      <c r="G217" s="200"/>
      <c r="H217" s="227">
        <v>34.0</v>
      </c>
      <c r="I217" s="200">
        <v>1.0</v>
      </c>
      <c r="J217" s="195">
        <f t="shared" si="181"/>
        <v>34</v>
      </c>
      <c r="K217" s="178"/>
      <c r="L217" s="178"/>
      <c r="M217" s="178"/>
      <c r="N217" s="178"/>
      <c r="O217" s="178"/>
      <c r="P217" s="178"/>
      <c r="Q217" s="228"/>
      <c r="R217" s="224"/>
      <c r="S217" s="139"/>
      <c r="T217" s="139"/>
      <c r="U217" s="139"/>
      <c r="V217" s="139"/>
      <c r="W217" s="139"/>
      <c r="X217" s="139"/>
      <c r="Y217" s="139"/>
      <c r="Z217" s="139"/>
      <c r="AA217" s="139"/>
      <c r="AB217" s="139"/>
      <c r="AC217" s="139"/>
      <c r="AD217" s="139"/>
      <c r="AE217" s="178"/>
      <c r="AF217" s="178"/>
      <c r="AG217" s="178"/>
      <c r="AH217" s="178"/>
      <c r="AI217" s="178"/>
      <c r="AJ217" s="178"/>
      <c r="AK217" s="178"/>
    </row>
    <row r="218" ht="24.75" customHeight="1">
      <c r="A218" s="162">
        <v>5.0</v>
      </c>
      <c r="B218" s="183" t="s">
        <v>55</v>
      </c>
      <c r="C218" s="200"/>
      <c r="D218" s="200"/>
      <c r="E218" s="200"/>
      <c r="F218" s="200"/>
      <c r="G218" s="200"/>
      <c r="H218" s="227">
        <v>35.0</v>
      </c>
      <c r="I218" s="200">
        <v>1.0</v>
      </c>
      <c r="J218" s="195">
        <f t="shared" si="181"/>
        <v>35</v>
      </c>
      <c r="K218" s="178"/>
      <c r="L218" s="178"/>
      <c r="M218" s="178"/>
      <c r="N218" s="178"/>
      <c r="O218" s="178"/>
      <c r="P218" s="178"/>
      <c r="Q218" s="228"/>
      <c r="R218" s="224"/>
      <c r="S218" s="139"/>
      <c r="T218" s="139"/>
      <c r="U218" s="139"/>
      <c r="V218" s="139"/>
      <c r="W218" s="139"/>
      <c r="X218" s="139"/>
      <c r="Y218" s="139"/>
      <c r="Z218" s="139"/>
      <c r="AA218" s="139"/>
      <c r="AB218" s="139"/>
      <c r="AC218" s="139"/>
      <c r="AD218" s="139"/>
      <c r="AE218" s="178"/>
      <c r="AF218" s="178"/>
      <c r="AG218" s="178"/>
      <c r="AH218" s="178"/>
      <c r="AI218" s="178"/>
      <c r="AJ218" s="178"/>
      <c r="AK218" s="178"/>
    </row>
    <row r="219" ht="24.75" customHeight="1">
      <c r="A219" s="162">
        <v>6.0</v>
      </c>
      <c r="B219" s="193" t="s">
        <v>55</v>
      </c>
      <c r="C219" s="200"/>
      <c r="D219" s="200"/>
      <c r="E219" s="200"/>
      <c r="F219" s="200"/>
      <c r="G219" s="200"/>
      <c r="H219" s="227">
        <v>30.0</v>
      </c>
      <c r="I219" s="200">
        <v>1.0</v>
      </c>
      <c r="J219" s="195">
        <f t="shared" si="181"/>
        <v>30</v>
      </c>
      <c r="K219" s="178"/>
      <c r="L219" s="178"/>
      <c r="M219" s="178"/>
      <c r="N219" s="178"/>
      <c r="O219" s="178"/>
      <c r="P219" s="178"/>
      <c r="Q219" s="228"/>
      <c r="R219" s="224"/>
      <c r="S219" s="139"/>
      <c r="T219" s="139"/>
      <c r="U219" s="139"/>
      <c r="V219" s="139"/>
      <c r="W219" s="139"/>
      <c r="X219" s="139"/>
      <c r="Y219" s="139"/>
      <c r="Z219" s="139"/>
      <c r="AA219" s="139"/>
      <c r="AB219" s="139"/>
      <c r="AC219" s="139"/>
      <c r="AD219" s="139"/>
      <c r="AE219" s="178"/>
      <c r="AF219" s="178"/>
      <c r="AG219" s="178"/>
      <c r="AH219" s="178"/>
      <c r="AI219" s="178"/>
      <c r="AJ219" s="178"/>
      <c r="AK219" s="178"/>
    </row>
    <row r="220" ht="24.75" customHeight="1">
      <c r="A220" s="162">
        <v>7.0</v>
      </c>
      <c r="B220" s="183" t="s">
        <v>55</v>
      </c>
      <c r="C220" s="200"/>
      <c r="D220" s="200"/>
      <c r="E220" s="200"/>
      <c r="F220" s="200"/>
      <c r="G220" s="200"/>
      <c r="H220" s="227">
        <v>32.0</v>
      </c>
      <c r="I220" s="200">
        <v>1.0</v>
      </c>
      <c r="J220" s="195">
        <f t="shared" si="181"/>
        <v>32</v>
      </c>
      <c r="K220" s="178"/>
      <c r="L220" s="178"/>
      <c r="M220" s="178"/>
      <c r="N220" s="178"/>
      <c r="O220" s="178"/>
      <c r="P220" s="178"/>
      <c r="Q220" s="228"/>
      <c r="R220" s="224"/>
      <c r="S220" s="139"/>
      <c r="T220" s="139"/>
      <c r="U220" s="139"/>
      <c r="V220" s="139"/>
      <c r="W220" s="139"/>
      <c r="X220" s="139"/>
      <c r="Y220" s="139"/>
      <c r="Z220" s="139"/>
      <c r="AA220" s="139"/>
      <c r="AB220" s="139"/>
      <c r="AC220" s="139"/>
      <c r="AD220" s="139"/>
      <c r="AE220" s="178"/>
      <c r="AF220" s="178"/>
      <c r="AG220" s="178"/>
      <c r="AH220" s="178"/>
      <c r="AI220" s="178"/>
      <c r="AJ220" s="178"/>
      <c r="AK220" s="178"/>
    </row>
    <row r="221" ht="24.75" customHeight="1">
      <c r="A221" s="162">
        <v>8.0</v>
      </c>
      <c r="B221" s="193" t="s">
        <v>55</v>
      </c>
      <c r="C221" s="200"/>
      <c r="D221" s="200"/>
      <c r="E221" s="200"/>
      <c r="F221" s="200"/>
      <c r="G221" s="200"/>
      <c r="H221" s="227">
        <v>30.0</v>
      </c>
      <c r="I221" s="200">
        <v>1.0</v>
      </c>
      <c r="J221" s="195">
        <f t="shared" si="181"/>
        <v>30</v>
      </c>
      <c r="K221" s="178"/>
      <c r="L221" s="178"/>
      <c r="M221" s="178"/>
      <c r="N221" s="178"/>
      <c r="O221" s="178"/>
      <c r="P221" s="178"/>
      <c r="Q221" s="228"/>
      <c r="R221" s="224"/>
      <c r="S221" s="139"/>
      <c r="T221" s="139"/>
      <c r="U221" s="139"/>
      <c r="V221" s="139"/>
      <c r="W221" s="139"/>
      <c r="X221" s="139"/>
      <c r="Y221" s="139"/>
      <c r="Z221" s="139"/>
      <c r="AA221" s="139"/>
      <c r="AB221" s="139"/>
      <c r="AC221" s="139"/>
      <c r="AD221" s="139"/>
      <c r="AE221" s="178"/>
      <c r="AF221" s="178"/>
      <c r="AG221" s="178"/>
      <c r="AH221" s="178"/>
      <c r="AI221" s="178"/>
      <c r="AJ221" s="178"/>
      <c r="AK221" s="178"/>
    </row>
    <row r="222" ht="24.75" customHeight="1">
      <c r="A222" s="162">
        <v>9.0</v>
      </c>
      <c r="B222" s="183" t="s">
        <v>78</v>
      </c>
      <c r="C222" s="200"/>
      <c r="D222" s="200"/>
      <c r="E222" s="200"/>
      <c r="F222" s="200"/>
      <c r="G222" s="200"/>
      <c r="H222" s="227">
        <v>30.0</v>
      </c>
      <c r="I222" s="200">
        <v>1.0</v>
      </c>
      <c r="J222" s="195">
        <f t="shared" si="181"/>
        <v>30</v>
      </c>
      <c r="K222" s="178"/>
      <c r="L222" s="178"/>
      <c r="M222" s="178"/>
      <c r="N222" s="178"/>
      <c r="O222" s="178"/>
      <c r="P222" s="178"/>
      <c r="Q222" s="228"/>
      <c r="R222" s="224"/>
      <c r="S222" s="139"/>
      <c r="T222" s="139"/>
      <c r="U222" s="139"/>
      <c r="V222" s="139"/>
      <c r="W222" s="139"/>
      <c r="X222" s="139"/>
      <c r="Y222" s="139"/>
      <c r="Z222" s="139"/>
      <c r="AA222" s="139"/>
      <c r="AB222" s="139"/>
      <c r="AC222" s="139"/>
      <c r="AD222" s="139"/>
      <c r="AE222" s="178"/>
      <c r="AF222" s="178"/>
      <c r="AG222" s="178"/>
      <c r="AH222" s="178"/>
      <c r="AI222" s="178"/>
      <c r="AJ222" s="178"/>
      <c r="AK222" s="178"/>
    </row>
    <row r="223" ht="24.75" customHeight="1">
      <c r="A223" s="162">
        <v>10.0</v>
      </c>
      <c r="B223" s="193" t="s">
        <v>78</v>
      </c>
      <c r="C223" s="200"/>
      <c r="D223" s="200"/>
      <c r="E223" s="200"/>
      <c r="F223" s="200"/>
      <c r="G223" s="200"/>
      <c r="H223" s="227">
        <v>20.0</v>
      </c>
      <c r="I223" s="200">
        <v>1.0</v>
      </c>
      <c r="J223" s="195">
        <f t="shared" si="181"/>
        <v>20</v>
      </c>
      <c r="K223" s="178"/>
      <c r="L223" s="178"/>
      <c r="M223" s="178"/>
      <c r="N223" s="178"/>
      <c r="O223" s="178"/>
      <c r="P223" s="178"/>
      <c r="Q223" s="228"/>
      <c r="R223" s="224"/>
      <c r="S223" s="139"/>
      <c r="T223" s="139"/>
      <c r="U223" s="139"/>
      <c r="V223" s="139"/>
      <c r="W223" s="139"/>
      <c r="X223" s="139"/>
      <c r="Y223" s="139"/>
      <c r="Z223" s="139"/>
      <c r="AA223" s="139"/>
      <c r="AB223" s="139"/>
      <c r="AC223" s="139"/>
      <c r="AD223" s="139"/>
      <c r="AE223" s="178"/>
      <c r="AF223" s="178"/>
      <c r="AG223" s="178"/>
      <c r="AH223" s="178"/>
      <c r="AI223" s="178"/>
      <c r="AJ223" s="178"/>
      <c r="AK223" s="178"/>
    </row>
    <row r="224" ht="24.75" customHeight="1">
      <c r="A224" s="162">
        <v>11.0</v>
      </c>
      <c r="B224" s="183" t="s">
        <v>55</v>
      </c>
      <c r="C224" s="200"/>
      <c r="D224" s="200"/>
      <c r="E224" s="200"/>
      <c r="F224" s="200"/>
      <c r="G224" s="200"/>
      <c r="H224" s="227">
        <v>44.0</v>
      </c>
      <c r="I224" s="200">
        <v>1.0</v>
      </c>
      <c r="J224" s="195">
        <f t="shared" si="181"/>
        <v>44</v>
      </c>
      <c r="K224" s="178"/>
      <c r="L224" s="178"/>
      <c r="M224" s="178"/>
      <c r="N224" s="178"/>
      <c r="O224" s="178"/>
      <c r="P224" s="178"/>
      <c r="Q224" s="228"/>
      <c r="R224" s="224"/>
      <c r="S224" s="139"/>
      <c r="T224" s="139"/>
      <c r="U224" s="139"/>
      <c r="V224" s="139"/>
      <c r="W224" s="139"/>
      <c r="X224" s="139"/>
      <c r="Y224" s="139"/>
      <c r="Z224" s="139"/>
      <c r="AA224" s="139"/>
      <c r="AB224" s="139"/>
      <c r="AC224" s="139"/>
      <c r="AD224" s="139"/>
      <c r="AE224" s="178"/>
      <c r="AF224" s="178"/>
      <c r="AG224" s="178"/>
      <c r="AH224" s="178"/>
      <c r="AI224" s="178"/>
      <c r="AJ224" s="178"/>
      <c r="AK224" s="178"/>
    </row>
    <row r="225" ht="24.75" customHeight="1">
      <c r="A225" s="162">
        <v>12.0</v>
      </c>
      <c r="B225" s="193" t="s">
        <v>55</v>
      </c>
      <c r="C225" s="200"/>
      <c r="D225" s="200"/>
      <c r="E225" s="200"/>
      <c r="F225" s="200"/>
      <c r="G225" s="200"/>
      <c r="H225" s="227">
        <v>28.0</v>
      </c>
      <c r="I225" s="200">
        <v>1.0</v>
      </c>
      <c r="J225" s="195">
        <f t="shared" si="181"/>
        <v>28</v>
      </c>
      <c r="K225" s="178"/>
      <c r="L225" s="178"/>
      <c r="M225" s="178"/>
      <c r="N225" s="178"/>
      <c r="O225" s="178"/>
      <c r="P225" s="178"/>
      <c r="Q225" s="228"/>
      <c r="R225" s="224"/>
      <c r="S225" s="139"/>
      <c r="T225" s="139"/>
      <c r="U225" s="139"/>
      <c r="V225" s="139"/>
      <c r="W225" s="139"/>
      <c r="X225" s="139"/>
      <c r="Y225" s="139"/>
      <c r="Z225" s="139"/>
      <c r="AA225" s="139"/>
      <c r="AB225" s="139"/>
      <c r="AC225" s="139"/>
      <c r="AD225" s="139"/>
      <c r="AE225" s="178"/>
      <c r="AF225" s="178"/>
      <c r="AG225" s="178"/>
      <c r="AH225" s="178"/>
      <c r="AI225" s="178"/>
      <c r="AJ225" s="178"/>
      <c r="AK225" s="178"/>
    </row>
    <row r="226" ht="24.75" customHeight="1">
      <c r="A226" s="162">
        <v>13.0</v>
      </c>
      <c r="B226" s="183" t="s">
        <v>91</v>
      </c>
      <c r="C226" s="200"/>
      <c r="D226" s="200"/>
      <c r="E226" s="200"/>
      <c r="F226" s="200"/>
      <c r="G226" s="200"/>
      <c r="H226" s="227">
        <v>17.0</v>
      </c>
      <c r="I226" s="200">
        <v>1.0</v>
      </c>
      <c r="J226" s="195">
        <f t="shared" si="181"/>
        <v>17</v>
      </c>
      <c r="K226" s="178"/>
      <c r="L226" s="178"/>
      <c r="M226" s="178"/>
      <c r="N226" s="178"/>
      <c r="O226" s="178"/>
      <c r="P226" s="178"/>
      <c r="Q226" s="228"/>
      <c r="R226" s="224"/>
      <c r="S226" s="139"/>
      <c r="T226" s="139"/>
      <c r="U226" s="139"/>
      <c r="V226" s="139"/>
      <c r="W226" s="139"/>
      <c r="X226" s="139"/>
      <c r="Y226" s="139"/>
      <c r="Z226" s="139"/>
      <c r="AA226" s="139"/>
      <c r="AB226" s="139"/>
      <c r="AC226" s="139"/>
      <c r="AD226" s="139"/>
      <c r="AE226" s="178"/>
      <c r="AF226" s="178"/>
      <c r="AG226" s="178"/>
      <c r="AH226" s="178"/>
      <c r="AI226" s="178"/>
      <c r="AJ226" s="178"/>
      <c r="AK226" s="178"/>
    </row>
    <row r="227" ht="24.75" customHeight="1">
      <c r="A227" s="162">
        <v>14.0</v>
      </c>
      <c r="B227" s="229" t="s">
        <v>91</v>
      </c>
      <c r="C227" s="200"/>
      <c r="D227" s="200"/>
      <c r="E227" s="200"/>
      <c r="F227" s="200"/>
      <c r="G227" s="200"/>
      <c r="H227" s="227">
        <v>15.0</v>
      </c>
      <c r="I227" s="200">
        <v>1.0</v>
      </c>
      <c r="J227" s="195">
        <f t="shared" si="181"/>
        <v>15</v>
      </c>
      <c r="K227" s="178"/>
      <c r="L227" s="178"/>
      <c r="M227" s="178"/>
      <c r="N227" s="178"/>
      <c r="O227" s="178"/>
      <c r="P227" s="178"/>
      <c r="Q227" s="228"/>
      <c r="R227" s="224"/>
      <c r="S227" s="139"/>
      <c r="T227" s="139"/>
      <c r="U227" s="139"/>
      <c r="V227" s="139"/>
      <c r="W227" s="139"/>
      <c r="X227" s="139"/>
      <c r="Y227" s="139"/>
      <c r="Z227" s="139"/>
      <c r="AA227" s="139"/>
      <c r="AB227" s="139"/>
      <c r="AC227" s="139"/>
      <c r="AD227" s="139"/>
      <c r="AE227" s="178"/>
      <c r="AF227" s="178"/>
      <c r="AG227" s="178"/>
      <c r="AH227" s="178"/>
      <c r="AI227" s="178"/>
      <c r="AJ227" s="178"/>
      <c r="AK227" s="178"/>
    </row>
    <row r="228" ht="24.75" hidden="1" customHeight="1">
      <c r="A228" s="162">
        <v>21.0</v>
      </c>
      <c r="B228" s="229"/>
      <c r="C228" s="200"/>
      <c r="D228" s="200"/>
      <c r="E228" s="200"/>
      <c r="F228" s="200"/>
      <c r="G228" s="200"/>
      <c r="H228" s="227"/>
      <c r="I228" s="200"/>
      <c r="J228" s="195">
        <f t="shared" si="181"/>
        <v>0</v>
      </c>
      <c r="K228" s="178"/>
      <c r="L228" s="178"/>
      <c r="M228" s="178"/>
      <c r="N228" s="178"/>
      <c r="O228" s="178"/>
      <c r="P228" s="178"/>
      <c r="Q228" s="228"/>
      <c r="R228" s="224"/>
      <c r="S228" s="139"/>
      <c r="T228" s="139"/>
      <c r="U228" s="139"/>
      <c r="V228" s="139"/>
      <c r="W228" s="139"/>
      <c r="X228" s="139"/>
      <c r="Y228" s="139"/>
      <c r="Z228" s="139"/>
      <c r="AA228" s="139"/>
      <c r="AB228" s="139"/>
      <c r="AC228" s="139"/>
      <c r="AD228" s="139"/>
      <c r="AE228" s="178"/>
      <c r="AF228" s="178"/>
      <c r="AG228" s="178"/>
      <c r="AH228" s="178"/>
      <c r="AI228" s="178"/>
      <c r="AJ228" s="178"/>
      <c r="AK228" s="178"/>
    </row>
    <row r="229" ht="24.75" hidden="1" customHeight="1">
      <c r="A229" s="162">
        <v>22.0</v>
      </c>
      <c r="B229" s="229"/>
      <c r="C229" s="200"/>
      <c r="D229" s="200"/>
      <c r="E229" s="200"/>
      <c r="F229" s="200"/>
      <c r="G229" s="200"/>
      <c r="H229" s="227"/>
      <c r="I229" s="200"/>
      <c r="J229" s="195">
        <f t="shared" si="181"/>
        <v>0</v>
      </c>
      <c r="K229" s="178"/>
      <c r="L229" s="178"/>
      <c r="M229" s="178"/>
      <c r="N229" s="178"/>
      <c r="O229" s="178"/>
      <c r="P229" s="178"/>
      <c r="Q229" s="139"/>
      <c r="R229" s="139"/>
      <c r="S229" s="139"/>
      <c r="T229" s="139"/>
      <c r="U229" s="139"/>
      <c r="V229" s="139"/>
      <c r="W229" s="139"/>
      <c r="X229" s="139"/>
      <c r="Y229" s="139"/>
      <c r="Z229" s="139"/>
      <c r="AA229" s="139"/>
      <c r="AB229" s="139"/>
      <c r="AC229" s="139"/>
      <c r="AD229" s="139"/>
      <c r="AE229" s="178"/>
      <c r="AF229" s="178"/>
      <c r="AG229" s="178"/>
      <c r="AH229" s="178"/>
      <c r="AI229" s="178"/>
      <c r="AJ229" s="178"/>
      <c r="AK229" s="178"/>
    </row>
    <row r="230" ht="24.75" hidden="1" customHeight="1">
      <c r="A230" s="162">
        <v>23.0</v>
      </c>
      <c r="B230" s="229"/>
      <c r="C230" s="200"/>
      <c r="D230" s="200"/>
      <c r="E230" s="200"/>
      <c r="F230" s="200"/>
      <c r="G230" s="200"/>
      <c r="H230" s="227"/>
      <c r="I230" s="200"/>
      <c r="J230" s="195">
        <f t="shared" si="181"/>
        <v>0</v>
      </c>
      <c r="K230" s="178"/>
      <c r="L230" s="178"/>
      <c r="M230" s="178"/>
      <c r="N230" s="178"/>
      <c r="O230" s="178"/>
      <c r="P230" s="178"/>
      <c r="Q230" s="139"/>
      <c r="R230" s="139"/>
      <c r="S230" s="139"/>
      <c r="T230" s="139"/>
      <c r="U230" s="139"/>
      <c r="V230" s="139"/>
      <c r="W230" s="139"/>
      <c r="X230" s="139"/>
      <c r="Y230" s="139"/>
      <c r="Z230" s="139"/>
      <c r="AA230" s="139"/>
      <c r="AB230" s="139"/>
      <c r="AC230" s="139"/>
      <c r="AD230" s="139"/>
      <c r="AE230" s="178"/>
      <c r="AF230" s="178"/>
      <c r="AG230" s="178"/>
      <c r="AH230" s="178"/>
      <c r="AI230" s="178"/>
      <c r="AJ230" s="178"/>
      <c r="AK230" s="178"/>
    </row>
    <row r="231" ht="24.75" hidden="1" customHeight="1">
      <c r="A231" s="162">
        <v>24.0</v>
      </c>
      <c r="B231" s="229"/>
      <c r="C231" s="200"/>
      <c r="D231" s="200"/>
      <c r="E231" s="200"/>
      <c r="F231" s="200"/>
      <c r="G231" s="200"/>
      <c r="H231" s="227"/>
      <c r="I231" s="200"/>
      <c r="J231" s="195">
        <f t="shared" si="181"/>
        <v>0</v>
      </c>
      <c r="K231" s="178"/>
      <c r="L231" s="178"/>
      <c r="M231" s="178"/>
      <c r="N231" s="178"/>
      <c r="O231" s="178"/>
      <c r="P231" s="178"/>
      <c r="Q231" s="139"/>
      <c r="R231" s="139"/>
      <c r="S231" s="139"/>
      <c r="T231" s="139"/>
      <c r="U231" s="139"/>
      <c r="V231" s="139"/>
      <c r="W231" s="139"/>
      <c r="X231" s="139"/>
      <c r="Y231" s="139"/>
      <c r="Z231" s="139"/>
      <c r="AA231" s="139"/>
      <c r="AB231" s="139"/>
      <c r="AC231" s="139"/>
      <c r="AD231" s="139"/>
      <c r="AE231" s="178"/>
      <c r="AF231" s="178"/>
      <c r="AG231" s="178"/>
      <c r="AH231" s="178"/>
      <c r="AI231" s="178"/>
      <c r="AJ231" s="178"/>
      <c r="AK231" s="178"/>
    </row>
    <row r="232" ht="24.75" hidden="1" customHeight="1">
      <c r="A232" s="162">
        <v>25.0</v>
      </c>
      <c r="B232" s="229"/>
      <c r="C232" s="200"/>
      <c r="D232" s="200"/>
      <c r="E232" s="200"/>
      <c r="F232" s="200"/>
      <c r="G232" s="200"/>
      <c r="H232" s="227"/>
      <c r="I232" s="200"/>
      <c r="J232" s="195">
        <f t="shared" si="181"/>
        <v>0</v>
      </c>
      <c r="K232" s="178"/>
      <c r="L232" s="178"/>
      <c r="M232" s="178"/>
      <c r="N232" s="178"/>
      <c r="O232" s="178"/>
      <c r="P232" s="178"/>
      <c r="Q232" s="139"/>
      <c r="R232" s="139"/>
      <c r="S232" s="139"/>
      <c r="T232" s="139"/>
      <c r="U232" s="139"/>
      <c r="V232" s="139"/>
      <c r="W232" s="139"/>
      <c r="X232" s="139"/>
      <c r="Y232" s="139"/>
      <c r="Z232" s="139"/>
      <c r="AA232" s="139"/>
      <c r="AB232" s="139"/>
      <c r="AC232" s="139"/>
      <c r="AD232" s="139"/>
      <c r="AE232" s="178"/>
      <c r="AF232" s="178"/>
      <c r="AG232" s="178"/>
      <c r="AH232" s="178"/>
      <c r="AI232" s="178"/>
      <c r="AJ232" s="178"/>
      <c r="AK232" s="178"/>
    </row>
    <row r="233" ht="24.75" hidden="1" customHeight="1">
      <c r="A233" s="162">
        <v>26.0</v>
      </c>
      <c r="B233" s="229"/>
      <c r="C233" s="200"/>
      <c r="D233" s="200"/>
      <c r="E233" s="200"/>
      <c r="F233" s="200"/>
      <c r="G233" s="200"/>
      <c r="H233" s="227"/>
      <c r="I233" s="200"/>
      <c r="J233" s="195">
        <f t="shared" si="181"/>
        <v>0</v>
      </c>
      <c r="K233" s="178"/>
      <c r="L233" s="178"/>
      <c r="M233" s="178"/>
      <c r="N233" s="178"/>
      <c r="O233" s="178"/>
      <c r="P233" s="178"/>
      <c r="Q233" s="139"/>
      <c r="R233" s="139"/>
      <c r="S233" s="139"/>
      <c r="T233" s="139"/>
      <c r="U233" s="139"/>
      <c r="V233" s="139"/>
      <c r="W233" s="139"/>
      <c r="X233" s="139"/>
      <c r="Y233" s="139"/>
      <c r="Z233" s="139"/>
      <c r="AA233" s="139"/>
      <c r="AB233" s="139"/>
      <c r="AC233" s="139"/>
      <c r="AD233" s="139"/>
      <c r="AE233" s="178"/>
      <c r="AF233" s="178"/>
      <c r="AG233" s="178"/>
      <c r="AH233" s="178"/>
      <c r="AI233" s="178"/>
      <c r="AJ233" s="178"/>
      <c r="AK233" s="178"/>
    </row>
    <row r="234" ht="24.75" hidden="1" customHeight="1">
      <c r="A234" s="162">
        <v>27.0</v>
      </c>
      <c r="B234" s="229"/>
      <c r="C234" s="200"/>
      <c r="D234" s="200"/>
      <c r="E234" s="200"/>
      <c r="F234" s="200"/>
      <c r="G234" s="200"/>
      <c r="H234" s="200"/>
      <c r="I234" s="200"/>
      <c r="J234" s="195">
        <f t="shared" si="181"/>
        <v>0</v>
      </c>
      <c r="K234" s="178"/>
      <c r="L234" s="178"/>
      <c r="M234" s="178"/>
      <c r="N234" s="178"/>
      <c r="O234" s="178"/>
      <c r="P234" s="178"/>
      <c r="Q234" s="139"/>
      <c r="R234" s="139"/>
      <c r="S234" s="139"/>
      <c r="T234" s="139"/>
      <c r="U234" s="139"/>
      <c r="V234" s="139"/>
      <c r="W234" s="139"/>
      <c r="X234" s="139"/>
      <c r="Y234" s="139"/>
      <c r="Z234" s="139"/>
      <c r="AA234" s="139"/>
      <c r="AB234" s="139"/>
      <c r="AC234" s="139"/>
      <c r="AD234" s="139"/>
      <c r="AE234" s="178"/>
      <c r="AF234" s="178"/>
      <c r="AG234" s="178"/>
      <c r="AH234" s="178"/>
      <c r="AI234" s="178"/>
      <c r="AJ234" s="178"/>
      <c r="AK234" s="178"/>
    </row>
    <row r="235" ht="24.75" hidden="1" customHeight="1">
      <c r="A235" s="162">
        <v>28.0</v>
      </c>
      <c r="B235" s="229"/>
      <c r="C235" s="200"/>
      <c r="D235" s="200"/>
      <c r="E235" s="200"/>
      <c r="F235" s="200"/>
      <c r="G235" s="200"/>
      <c r="H235" s="200"/>
      <c r="I235" s="200"/>
      <c r="J235" s="195">
        <f t="shared" si="181"/>
        <v>0</v>
      </c>
      <c r="K235" s="178"/>
      <c r="L235" s="178"/>
      <c r="M235" s="178"/>
      <c r="N235" s="178"/>
      <c r="O235" s="178"/>
      <c r="P235" s="178"/>
      <c r="Q235" s="139"/>
      <c r="R235" s="139"/>
      <c r="S235" s="139"/>
      <c r="T235" s="139"/>
      <c r="U235" s="139"/>
      <c r="V235" s="139"/>
      <c r="W235" s="139"/>
      <c r="X235" s="139"/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</row>
    <row r="236" ht="24.75" hidden="1" customHeight="1">
      <c r="A236" s="162">
        <v>29.0</v>
      </c>
      <c r="B236" s="230"/>
      <c r="C236" s="200"/>
      <c r="D236" s="200"/>
      <c r="E236" s="200"/>
      <c r="F236" s="200"/>
      <c r="G236" s="200"/>
      <c r="H236" s="200"/>
      <c r="I236" s="200"/>
      <c r="J236" s="195">
        <f t="shared" si="181"/>
        <v>0</v>
      </c>
      <c r="K236" s="178"/>
      <c r="L236" s="178"/>
      <c r="M236" s="178"/>
      <c r="N236" s="178"/>
      <c r="O236" s="178"/>
      <c r="P236" s="178"/>
      <c r="Q236" s="139"/>
      <c r="R236" s="139"/>
      <c r="S236" s="139"/>
      <c r="T236" s="139"/>
      <c r="U236" s="139"/>
      <c r="V236" s="139"/>
      <c r="W236" s="139"/>
      <c r="X236" s="139"/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  <c r="AJ236" s="139"/>
      <c r="AK236" s="139"/>
    </row>
    <row r="237" ht="24.75" hidden="1" customHeight="1">
      <c r="A237" s="162">
        <v>30.0</v>
      </c>
      <c r="B237" s="230"/>
      <c r="C237" s="200"/>
      <c r="D237" s="200"/>
      <c r="E237" s="200"/>
      <c r="F237" s="200"/>
      <c r="G237" s="200"/>
      <c r="H237" s="227"/>
      <c r="I237" s="200"/>
      <c r="J237" s="195">
        <f t="shared" si="181"/>
        <v>0</v>
      </c>
      <c r="K237" s="178"/>
      <c r="L237" s="178"/>
      <c r="M237" s="178"/>
      <c r="N237" s="178"/>
      <c r="O237" s="178"/>
      <c r="P237" s="178"/>
      <c r="Q237" s="139"/>
      <c r="R237" s="139"/>
      <c r="S237" s="139"/>
      <c r="T237" s="139"/>
      <c r="U237" s="139"/>
      <c r="V237" s="139"/>
      <c r="W237" s="139"/>
      <c r="X237" s="139"/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  <c r="AJ237" s="139"/>
      <c r="AK237" s="139"/>
    </row>
    <row r="238" ht="24.75" hidden="1" customHeight="1">
      <c r="A238" s="162">
        <v>31.0</v>
      </c>
      <c r="B238" s="218"/>
      <c r="C238" s="200"/>
      <c r="D238" s="200"/>
      <c r="E238" s="200"/>
      <c r="F238" s="200"/>
      <c r="G238" s="200"/>
      <c r="H238" s="227"/>
      <c r="I238" s="200"/>
      <c r="J238" s="195">
        <f t="shared" si="181"/>
        <v>0</v>
      </c>
      <c r="K238" s="178"/>
      <c r="L238" s="178"/>
      <c r="M238" s="178"/>
      <c r="N238" s="178"/>
      <c r="O238" s="178"/>
      <c r="P238" s="178"/>
      <c r="Q238" s="139"/>
      <c r="R238" s="139"/>
      <c r="S238" s="139"/>
      <c r="T238" s="139"/>
      <c r="U238" s="139"/>
      <c r="V238" s="139"/>
      <c r="W238" s="139"/>
      <c r="X238" s="139"/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  <c r="AJ238" s="139"/>
      <c r="AK238" s="139"/>
    </row>
    <row r="239" ht="24.75" hidden="1" customHeight="1">
      <c r="A239" s="162">
        <v>32.0</v>
      </c>
      <c r="B239" s="218"/>
      <c r="C239" s="162"/>
      <c r="D239" s="162"/>
      <c r="E239" s="162"/>
      <c r="F239" s="162"/>
      <c r="G239" s="162"/>
      <c r="H239" s="162"/>
      <c r="I239" s="162"/>
      <c r="J239" s="195">
        <f t="shared" si="181"/>
        <v>0</v>
      </c>
      <c r="K239" s="178"/>
      <c r="L239" s="178"/>
      <c r="M239" s="178"/>
      <c r="N239" s="178"/>
      <c r="O239" s="178"/>
      <c r="P239" s="178"/>
      <c r="Q239" s="139"/>
      <c r="R239" s="139"/>
      <c r="S239" s="139"/>
      <c r="T239" s="139"/>
      <c r="U239" s="139"/>
      <c r="V239" s="139"/>
      <c r="W239" s="139"/>
      <c r="X239" s="139"/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  <c r="AJ239" s="139"/>
      <c r="AK239" s="139"/>
    </row>
    <row r="240" ht="24.75" hidden="1" customHeight="1">
      <c r="A240" s="162">
        <v>33.0</v>
      </c>
      <c r="B240" s="230"/>
      <c r="C240" s="162"/>
      <c r="D240" s="162"/>
      <c r="E240" s="162"/>
      <c r="F240" s="162"/>
      <c r="G240" s="162"/>
      <c r="H240" s="162"/>
      <c r="I240" s="162"/>
      <c r="J240" s="195">
        <f t="shared" si="181"/>
        <v>0</v>
      </c>
      <c r="K240" s="178"/>
      <c r="L240" s="178"/>
      <c r="M240" s="178"/>
      <c r="N240" s="178"/>
      <c r="O240" s="178"/>
      <c r="P240" s="178"/>
      <c r="Q240" s="139"/>
      <c r="R240" s="139"/>
      <c r="S240" s="139"/>
      <c r="T240" s="139"/>
      <c r="U240" s="139"/>
      <c r="V240" s="139"/>
      <c r="W240" s="139"/>
      <c r="X240" s="139"/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  <c r="AJ240" s="139"/>
      <c r="AK240" s="139"/>
    </row>
    <row r="241" ht="24.75" hidden="1" customHeight="1">
      <c r="A241" s="162">
        <v>34.0</v>
      </c>
      <c r="B241" s="231"/>
      <c r="C241" s="162"/>
      <c r="D241" s="162"/>
      <c r="E241" s="162"/>
      <c r="F241" s="162"/>
      <c r="G241" s="162"/>
      <c r="H241" s="162"/>
      <c r="I241" s="162"/>
      <c r="J241" s="195">
        <f t="shared" si="181"/>
        <v>0</v>
      </c>
      <c r="K241" s="178"/>
      <c r="L241" s="178"/>
      <c r="M241" s="178"/>
      <c r="N241" s="178"/>
      <c r="O241" s="178"/>
      <c r="P241" s="178"/>
      <c r="Q241" s="139"/>
      <c r="R241" s="139"/>
      <c r="S241" s="139"/>
      <c r="T241" s="139"/>
      <c r="U241" s="139"/>
      <c r="V241" s="139"/>
      <c r="W241" s="139"/>
      <c r="X241" s="139"/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  <c r="AJ241" s="139"/>
      <c r="AK241" s="139"/>
    </row>
    <row r="242" ht="24.75" hidden="1" customHeight="1">
      <c r="A242" s="162">
        <v>35.0</v>
      </c>
      <c r="B242" s="232"/>
      <c r="C242" s="162"/>
      <c r="D242" s="162"/>
      <c r="E242" s="162"/>
      <c r="F242" s="162"/>
      <c r="G242" s="162"/>
      <c r="H242" s="162"/>
      <c r="I242" s="162"/>
      <c r="J242" s="195">
        <f t="shared" si="181"/>
        <v>0</v>
      </c>
      <c r="K242" s="178"/>
      <c r="L242" s="178"/>
      <c r="M242" s="178"/>
      <c r="N242" s="178"/>
      <c r="O242" s="178"/>
      <c r="P242" s="178"/>
      <c r="Q242" s="139"/>
      <c r="R242" s="139"/>
      <c r="S242" s="139"/>
      <c r="T242" s="139"/>
      <c r="U242" s="139"/>
      <c r="V242" s="139"/>
      <c r="W242" s="139"/>
      <c r="X242" s="139"/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  <c r="AJ242" s="139"/>
      <c r="AK242" s="139"/>
    </row>
    <row r="243" ht="18.75" customHeight="1">
      <c r="A243" s="139"/>
      <c r="B243" s="139"/>
      <c r="C243" s="139"/>
      <c r="D243" s="139"/>
      <c r="E243" s="139"/>
      <c r="F243" s="139"/>
      <c r="G243" s="139"/>
      <c r="H243" s="140" t="s">
        <v>38</v>
      </c>
      <c r="I243" s="139"/>
      <c r="J243" s="233">
        <f>SUM(J214:J242)</f>
        <v>408</v>
      </c>
      <c r="K243" s="234"/>
      <c r="L243" s="234"/>
      <c r="M243" s="234"/>
      <c r="N243" s="234"/>
      <c r="O243" s="234"/>
      <c r="P243" s="234"/>
      <c r="Q243" s="234"/>
      <c r="R243" s="139"/>
      <c r="S243" s="224"/>
      <c r="T243" s="139"/>
      <c r="U243" s="139"/>
      <c r="V243" s="139"/>
      <c r="W243" s="139"/>
      <c r="X243" s="139"/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  <c r="AJ243" s="139"/>
      <c r="AK243" s="139"/>
    </row>
    <row r="244" ht="18.75" customHeight="1">
      <c r="A244" s="144"/>
      <c r="B244" s="144"/>
      <c r="C244" s="144"/>
      <c r="D244" s="144"/>
      <c r="E244" s="144"/>
      <c r="F244" s="144"/>
      <c r="G244" s="144"/>
      <c r="H244" s="145"/>
      <c r="I244" s="175"/>
      <c r="J244" s="206">
        <f>+J243*60%</f>
        <v>244.8</v>
      </c>
      <c r="K244" s="206"/>
      <c r="L244" s="206"/>
      <c r="M244" s="206"/>
      <c r="N244" s="206"/>
      <c r="O244" s="206"/>
      <c r="P244" s="206"/>
      <c r="Q244" s="206">
        <f>+J243*40%</f>
        <v>163.2</v>
      </c>
      <c r="R244" s="139"/>
      <c r="S244" s="224"/>
      <c r="T244" s="139"/>
      <c r="U244" s="139"/>
      <c r="V244" s="139"/>
      <c r="W244" s="139"/>
      <c r="X244" s="139"/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  <c r="AJ244" s="139"/>
      <c r="AK244" s="139"/>
    </row>
    <row r="245" ht="18.75" customHeight="1">
      <c r="A245" s="139"/>
      <c r="B245" s="139"/>
      <c r="C245" s="139"/>
      <c r="D245" s="139"/>
      <c r="E245" s="139"/>
      <c r="F245" s="139"/>
      <c r="G245" s="139"/>
      <c r="H245" s="140"/>
      <c r="I245" s="139"/>
      <c r="J245" s="139"/>
      <c r="K245" s="139"/>
      <c r="L245" s="139"/>
      <c r="M245" s="139"/>
      <c r="N245" s="139"/>
      <c r="O245" s="139"/>
      <c r="P245" s="139"/>
      <c r="Q245" s="139"/>
      <c r="R245" s="139"/>
      <c r="S245" s="224"/>
      <c r="T245" s="139"/>
      <c r="U245" s="139"/>
      <c r="V245" s="139"/>
      <c r="W245" s="139"/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</row>
    <row r="246" ht="18.75" customHeight="1">
      <c r="A246" s="139"/>
      <c r="B246" s="139"/>
      <c r="C246" s="139"/>
      <c r="D246" s="139"/>
      <c r="E246" s="139"/>
      <c r="F246" s="139"/>
      <c r="G246" s="139"/>
      <c r="H246" s="140"/>
      <c r="I246" s="139"/>
      <c r="J246" s="139"/>
      <c r="K246" s="139"/>
      <c r="L246" s="139"/>
      <c r="M246" s="139"/>
      <c r="N246" s="139"/>
      <c r="O246" s="139"/>
      <c r="P246" s="139"/>
      <c r="Q246" s="139"/>
      <c r="R246" s="139"/>
      <c r="S246" s="224"/>
      <c r="T246" s="139"/>
      <c r="U246" s="139"/>
      <c r="V246" s="139"/>
      <c r="W246" s="139"/>
      <c r="X246" s="139"/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</row>
    <row r="247" ht="19.5" customHeight="1">
      <c r="A247" s="235" t="s">
        <v>41</v>
      </c>
      <c r="B247" s="139"/>
      <c r="C247" s="139"/>
      <c r="D247" s="139"/>
      <c r="E247" s="139"/>
      <c r="F247" s="139"/>
      <c r="G247" s="139"/>
      <c r="H247" s="140"/>
      <c r="I247" s="139"/>
      <c r="J247" s="139"/>
      <c r="K247" s="139"/>
      <c r="L247" s="139"/>
      <c r="M247" s="139"/>
      <c r="N247" s="139"/>
      <c r="O247" s="139"/>
      <c r="P247" s="139"/>
      <c r="Q247" s="139"/>
      <c r="R247" s="139"/>
      <c r="S247" s="224"/>
      <c r="T247" s="139"/>
      <c r="U247" s="139"/>
      <c r="V247" s="139"/>
      <c r="W247" s="139"/>
      <c r="X247" s="139"/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  <c r="AJ247" s="139"/>
      <c r="AK247" s="139"/>
    </row>
    <row r="248" ht="57.0" customHeight="1">
      <c r="A248" s="236"/>
      <c r="B248" s="237" t="s">
        <v>42</v>
      </c>
      <c r="C248" s="237" t="s">
        <v>43</v>
      </c>
      <c r="D248" s="237" t="s">
        <v>44</v>
      </c>
      <c r="E248" s="237" t="s">
        <v>45</v>
      </c>
      <c r="F248" s="237"/>
      <c r="G248" s="237"/>
      <c r="H248" s="238" t="s">
        <v>46</v>
      </c>
      <c r="I248" s="239" t="s">
        <v>47</v>
      </c>
      <c r="J248" s="139"/>
      <c r="K248" s="139"/>
      <c r="L248" s="139"/>
      <c r="M248" s="139"/>
      <c r="N248" s="139"/>
      <c r="O248" s="139"/>
      <c r="P248" s="139"/>
      <c r="Q248" s="139"/>
      <c r="R248" s="141"/>
      <c r="S248" s="224"/>
      <c r="T248" s="139"/>
      <c r="U248" s="139"/>
      <c r="V248" s="139"/>
      <c r="W248" s="139"/>
      <c r="X248" s="139"/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  <c r="AJ248" s="139"/>
      <c r="AK248" s="139"/>
    </row>
    <row r="249" ht="18.75" customHeight="1">
      <c r="A249" s="240" t="s">
        <v>48</v>
      </c>
      <c r="B249" s="241">
        <f>+E22</f>
        <v>43533.2527</v>
      </c>
      <c r="C249" s="242">
        <f>+J184</f>
        <v>40565.30544</v>
      </c>
      <c r="D249" s="242">
        <f>+J207</f>
        <v>0</v>
      </c>
      <c r="E249" s="243">
        <f>J244</f>
        <v>244.8</v>
      </c>
      <c r="F249" s="243"/>
      <c r="G249" s="243"/>
      <c r="H249" s="244">
        <f>+I22</f>
        <v>1442.964291</v>
      </c>
      <c r="I249" s="245">
        <f>+B249-C249-D249-E249-H249</f>
        <v>1280.182973</v>
      </c>
      <c r="J249" s="139"/>
      <c r="K249" s="139"/>
      <c r="L249" s="139"/>
      <c r="M249" s="139"/>
      <c r="N249" s="139"/>
      <c r="O249" s="139"/>
      <c r="P249" s="139"/>
      <c r="Q249" s="139"/>
      <c r="R249" s="141"/>
      <c r="S249" s="224"/>
      <c r="T249" s="139"/>
      <c r="U249" s="139"/>
      <c r="V249" s="139"/>
      <c r="W249" s="139"/>
      <c r="X249" s="139"/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</row>
    <row r="250" ht="19.5" customHeight="1">
      <c r="A250" s="246" t="s">
        <v>49</v>
      </c>
      <c r="B250" s="247"/>
      <c r="C250" s="248">
        <f>+C249/B249</f>
        <v>0.9318234435</v>
      </c>
      <c r="D250" s="248">
        <f>+D249/B249</f>
        <v>0</v>
      </c>
      <c r="E250" s="248">
        <f>+E249/B249</f>
        <v>0.005623287598</v>
      </c>
      <c r="F250" s="248"/>
      <c r="G250" s="248"/>
      <c r="H250" s="249">
        <f>+H249/B249</f>
        <v>0.03314625492</v>
      </c>
      <c r="I250" s="250">
        <f>+I249/B249</f>
        <v>0.02940701402</v>
      </c>
      <c r="J250" s="139"/>
      <c r="K250" s="139"/>
      <c r="L250" s="139"/>
      <c r="M250" s="139"/>
      <c r="N250" s="139"/>
      <c r="O250" s="139"/>
      <c r="P250" s="139"/>
      <c r="Q250" s="139"/>
      <c r="R250" s="141"/>
      <c r="S250" s="224"/>
      <c r="T250" s="139"/>
      <c r="U250" s="139"/>
      <c r="V250" s="139"/>
      <c r="W250" s="139"/>
      <c r="X250" s="139"/>
      <c r="Y250" s="139"/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</row>
    <row r="251" ht="19.5" customHeight="1">
      <c r="A251" s="165"/>
      <c r="B251" s="221"/>
      <c r="C251" s="251"/>
      <c r="D251" s="251"/>
      <c r="E251" s="251"/>
      <c r="F251" s="251"/>
      <c r="G251" s="251"/>
      <c r="H251" s="252"/>
      <c r="I251" s="253"/>
      <c r="J251" s="139"/>
      <c r="K251" s="139"/>
      <c r="L251" s="139"/>
      <c r="M251" s="139"/>
      <c r="N251" s="139"/>
      <c r="O251" s="139"/>
      <c r="P251" s="139"/>
      <c r="Q251" s="139"/>
      <c r="R251" s="141"/>
      <c r="S251" s="224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  <c r="AJ251" s="139"/>
      <c r="AK251" s="139"/>
    </row>
    <row r="252" ht="18.75" customHeight="1">
      <c r="A252" s="254"/>
      <c r="B252" s="255"/>
      <c r="C252" s="255"/>
      <c r="D252" s="255" t="s">
        <v>50</v>
      </c>
      <c r="E252" s="255" t="s">
        <v>48</v>
      </c>
      <c r="F252" s="255"/>
      <c r="G252" s="255"/>
      <c r="H252" s="256">
        <f>+D249+E249+H249+I249</f>
        <v>2967.947264</v>
      </c>
      <c r="I252" s="257"/>
      <c r="J252" s="139"/>
      <c r="K252" s="139"/>
      <c r="L252" s="139"/>
      <c r="M252" s="139"/>
      <c r="N252" s="139"/>
      <c r="O252" s="139"/>
      <c r="P252" s="139"/>
      <c r="Q252" s="139"/>
      <c r="R252" s="141"/>
      <c r="S252" s="140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</row>
    <row r="253" ht="18.75" customHeight="1">
      <c r="A253" s="258"/>
      <c r="B253" s="139"/>
      <c r="C253" s="139"/>
      <c r="D253" s="139"/>
      <c r="E253" s="139" t="s">
        <v>49</v>
      </c>
      <c r="F253" s="139"/>
      <c r="G253" s="139"/>
      <c r="H253" s="252">
        <f>+H252/B249</f>
        <v>0.06817655654</v>
      </c>
      <c r="I253" s="259"/>
      <c r="J253" s="139"/>
      <c r="K253" s="139"/>
      <c r="L253" s="139"/>
      <c r="M253" s="139"/>
      <c r="N253" s="139"/>
      <c r="O253" s="139"/>
      <c r="P253" s="139"/>
      <c r="Q253" s="139"/>
      <c r="R253" s="141"/>
      <c r="S253" s="140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</row>
    <row r="254" ht="18.75" customHeight="1">
      <c r="A254" s="258"/>
      <c r="B254" s="139"/>
      <c r="C254" s="139" t="s">
        <v>51</v>
      </c>
      <c r="D254" s="139"/>
      <c r="E254" s="139"/>
      <c r="F254" s="139"/>
      <c r="G254" s="139"/>
      <c r="H254" s="140"/>
      <c r="I254" s="259"/>
      <c r="J254" s="139"/>
      <c r="K254" s="139"/>
      <c r="L254" s="139"/>
      <c r="M254" s="139"/>
      <c r="N254" s="139"/>
      <c r="O254" s="139"/>
      <c r="P254" s="139"/>
      <c r="Q254" s="139"/>
      <c r="R254" s="141"/>
      <c r="S254" s="140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</row>
    <row r="255" ht="18.75" customHeight="1">
      <c r="A255" s="258"/>
      <c r="B255" s="139"/>
      <c r="C255" s="139"/>
      <c r="D255" s="139" t="s">
        <v>52</v>
      </c>
      <c r="E255" s="139"/>
      <c r="F255" s="139"/>
      <c r="G255" s="139"/>
      <c r="H255" s="140">
        <f>+H254*(H252-H249)</f>
        <v>0</v>
      </c>
      <c r="I255" s="259"/>
      <c r="J255" s="139"/>
      <c r="K255" s="139"/>
      <c r="L255" s="139"/>
      <c r="M255" s="139"/>
      <c r="N255" s="139"/>
      <c r="O255" s="139"/>
      <c r="P255" s="139"/>
      <c r="Q255" s="139"/>
      <c r="R255" s="141"/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  <c r="AJ255" s="139"/>
      <c r="AK255" s="139"/>
    </row>
    <row r="256" ht="19.5" customHeight="1">
      <c r="A256" s="260"/>
      <c r="B256" s="261"/>
      <c r="C256" s="261"/>
      <c r="D256" s="261"/>
      <c r="E256" s="261"/>
      <c r="F256" s="261"/>
      <c r="G256" s="261"/>
      <c r="H256" s="262"/>
      <c r="I256" s="263"/>
      <c r="J256" s="139"/>
      <c r="K256" s="139"/>
      <c r="L256" s="139"/>
      <c r="M256" s="139"/>
      <c r="N256" s="139"/>
      <c r="O256" s="139"/>
      <c r="P256" s="139"/>
      <c r="Q256" s="139"/>
      <c r="R256" s="141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  <c r="AJ256" s="139"/>
      <c r="AK256" s="139"/>
    </row>
    <row r="257" ht="18.75" customHeight="1">
      <c r="A257" s="139"/>
      <c r="B257" s="139"/>
      <c r="C257" s="139"/>
      <c r="D257" s="139"/>
      <c r="E257" s="139"/>
      <c r="F257" s="139"/>
      <c r="G257" s="139"/>
      <c r="H257" s="140"/>
      <c r="I257" s="139"/>
      <c r="J257" s="139"/>
      <c r="K257" s="139"/>
      <c r="L257" s="139"/>
      <c r="M257" s="139"/>
      <c r="N257" s="139"/>
      <c r="O257" s="139"/>
      <c r="P257" s="139"/>
      <c r="Q257" s="139"/>
      <c r="R257" s="141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</row>
    <row r="258" ht="18.75" customHeight="1">
      <c r="A258" s="139"/>
      <c r="B258" s="139"/>
      <c r="C258" s="139"/>
      <c r="D258" s="139"/>
      <c r="E258" s="139"/>
      <c r="F258" s="139"/>
      <c r="G258" s="139"/>
      <c r="H258" s="140"/>
      <c r="I258" s="139"/>
      <c r="J258" s="139"/>
      <c r="K258" s="139"/>
      <c r="L258" s="139"/>
      <c r="M258" s="139"/>
      <c r="N258" s="139"/>
      <c r="O258" s="139"/>
      <c r="P258" s="139"/>
      <c r="Q258" s="139"/>
      <c r="R258" s="141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  <c r="AJ258" s="139"/>
      <c r="AK258" s="139"/>
    </row>
    <row r="259" ht="18.75" customHeight="1">
      <c r="A259" s="139"/>
      <c r="B259" s="139"/>
      <c r="C259" s="139"/>
      <c r="D259" s="139"/>
      <c r="E259" s="139"/>
      <c r="F259" s="139"/>
      <c r="G259" s="139"/>
      <c r="H259" s="140"/>
      <c r="I259" s="139"/>
      <c r="J259" s="139"/>
      <c r="K259" s="139"/>
      <c r="L259" s="139"/>
      <c r="M259" s="139"/>
      <c r="N259" s="139"/>
      <c r="O259" s="139"/>
      <c r="P259" s="139"/>
      <c r="Q259" s="139"/>
      <c r="R259" s="141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  <c r="AJ259" s="139"/>
      <c r="AK259" s="139"/>
    </row>
    <row r="260" ht="18.0" customHeight="1">
      <c r="A260" s="7"/>
      <c r="B260" s="7"/>
      <c r="C260" s="7"/>
      <c r="D260" s="7"/>
      <c r="E260" s="7"/>
      <c r="F260" s="7"/>
      <c r="G260" s="7"/>
      <c r="H260" s="264"/>
      <c r="I260" s="7"/>
      <c r="J260" s="7"/>
      <c r="K260" s="7"/>
      <c r="L260" s="7"/>
      <c r="M260" s="7"/>
      <c r="N260" s="7"/>
      <c r="O260" s="7"/>
      <c r="P260" s="7"/>
      <c r="Q260" s="7"/>
      <c r="R260" s="265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 ht="18.0" customHeight="1">
      <c r="A261" s="7"/>
      <c r="B261" s="7"/>
      <c r="C261" s="7"/>
      <c r="D261" s="7"/>
      <c r="E261" s="7"/>
      <c r="F261" s="7"/>
      <c r="G261" s="7"/>
      <c r="H261" s="264"/>
      <c r="I261" s="7"/>
      <c r="J261" s="7"/>
      <c r="K261" s="7"/>
      <c r="L261" s="7"/>
      <c r="M261" s="7"/>
      <c r="N261" s="7"/>
      <c r="O261" s="7"/>
      <c r="P261" s="7"/>
      <c r="Q261" s="7"/>
      <c r="R261" s="265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 ht="18.0" customHeight="1">
      <c r="A262" s="7"/>
      <c r="B262" s="7"/>
      <c r="C262" s="7"/>
      <c r="D262" s="7"/>
      <c r="E262" s="7"/>
      <c r="F262" s="7"/>
      <c r="G262" s="7"/>
      <c r="H262" s="264"/>
      <c r="I262" s="7"/>
      <c r="J262" s="7"/>
      <c r="K262" s="7"/>
      <c r="L262" s="7"/>
      <c r="M262" s="7"/>
      <c r="N262" s="7"/>
      <c r="O262" s="7"/>
      <c r="P262" s="7"/>
      <c r="Q262" s="7"/>
      <c r="R262" s="265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 ht="18.0" customHeight="1">
      <c r="A263" s="7"/>
      <c r="B263" s="7"/>
      <c r="C263" s="7"/>
      <c r="D263" s="7"/>
      <c r="E263" s="7"/>
      <c r="F263" s="7"/>
      <c r="G263" s="7"/>
      <c r="H263" s="264"/>
      <c r="I263" s="7"/>
      <c r="J263" s="7"/>
      <c r="K263" s="7"/>
      <c r="L263" s="7"/>
      <c r="M263" s="7"/>
      <c r="N263" s="7"/>
      <c r="O263" s="7"/>
      <c r="P263" s="7"/>
      <c r="Q263" s="7"/>
      <c r="R263" s="265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 ht="18.0" customHeight="1">
      <c r="A264" s="7"/>
      <c r="B264" s="7"/>
      <c r="C264" s="7"/>
      <c r="D264" s="7"/>
      <c r="E264" s="7"/>
      <c r="F264" s="7"/>
      <c r="G264" s="7"/>
      <c r="H264" s="264"/>
      <c r="I264" s="7"/>
      <c r="J264" s="7"/>
      <c r="K264" s="7"/>
      <c r="L264" s="7"/>
      <c r="M264" s="7"/>
      <c r="N264" s="7"/>
      <c r="O264" s="7"/>
      <c r="P264" s="7"/>
      <c r="Q264" s="7"/>
      <c r="R264" s="265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 ht="18.0" customHeight="1">
      <c r="A265" s="7"/>
      <c r="B265" s="7"/>
      <c r="C265" s="7"/>
      <c r="D265" s="7"/>
      <c r="E265" s="7"/>
      <c r="F265" s="7"/>
      <c r="G265" s="7"/>
      <c r="H265" s="264"/>
      <c r="I265" s="7"/>
      <c r="J265" s="7"/>
      <c r="K265" s="7"/>
      <c r="L265" s="7"/>
      <c r="M265" s="7"/>
      <c r="N265" s="7"/>
      <c r="O265" s="7"/>
      <c r="P265" s="7"/>
      <c r="Q265" s="7"/>
      <c r="R265" s="265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 ht="18.0" customHeight="1">
      <c r="A266" s="7"/>
      <c r="B266" s="7"/>
      <c r="C266" s="7"/>
      <c r="D266" s="7"/>
      <c r="E266" s="7"/>
      <c r="F266" s="7"/>
      <c r="G266" s="7"/>
      <c r="H266" s="264"/>
      <c r="I266" s="7"/>
      <c r="J266" s="7"/>
      <c r="K266" s="7"/>
      <c r="L266" s="7"/>
      <c r="M266" s="7"/>
      <c r="N266" s="7"/>
      <c r="O266" s="7"/>
      <c r="P266" s="7"/>
      <c r="Q266" s="7"/>
      <c r="R266" s="265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 ht="18.0" customHeight="1">
      <c r="A267" s="7"/>
      <c r="B267" s="7"/>
      <c r="C267" s="7"/>
      <c r="D267" s="7"/>
      <c r="E267" s="7"/>
      <c r="F267" s="7"/>
      <c r="G267" s="7"/>
      <c r="H267" s="264"/>
      <c r="I267" s="7"/>
      <c r="J267" s="7"/>
      <c r="K267" s="7"/>
      <c r="L267" s="7"/>
      <c r="M267" s="7"/>
      <c r="N267" s="7"/>
      <c r="O267" s="7"/>
      <c r="P267" s="7"/>
      <c r="Q267" s="7"/>
      <c r="R267" s="265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 ht="18.0" customHeight="1">
      <c r="A268" s="7"/>
      <c r="B268" s="7"/>
      <c r="C268" s="7"/>
      <c r="D268" s="7"/>
      <c r="E268" s="7"/>
      <c r="F268" s="7"/>
      <c r="G268" s="7"/>
      <c r="H268" s="264"/>
      <c r="I268" s="7"/>
      <c r="J268" s="7"/>
      <c r="K268" s="7"/>
      <c r="L268" s="7"/>
      <c r="M268" s="7"/>
      <c r="N268" s="7"/>
      <c r="O268" s="7"/>
      <c r="P268" s="7"/>
      <c r="Q268" s="7"/>
      <c r="R268" s="265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 ht="18.0" customHeight="1">
      <c r="A269" s="7"/>
      <c r="B269" s="7"/>
      <c r="C269" s="7"/>
      <c r="D269" s="7"/>
      <c r="E269" s="7"/>
      <c r="F269" s="7"/>
      <c r="G269" s="7"/>
      <c r="H269" s="264"/>
      <c r="I269" s="7"/>
      <c r="J269" s="7"/>
      <c r="K269" s="7"/>
      <c r="L269" s="7"/>
      <c r="M269" s="7"/>
      <c r="N269" s="7"/>
      <c r="O269" s="7"/>
      <c r="P269" s="7"/>
      <c r="Q269" s="7"/>
      <c r="R269" s="265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 ht="18.0" customHeight="1">
      <c r="A270" s="7"/>
      <c r="B270" s="7"/>
      <c r="C270" s="7"/>
      <c r="D270" s="7"/>
      <c r="E270" s="7"/>
      <c r="F270" s="7"/>
      <c r="G270" s="7"/>
      <c r="H270" s="264"/>
      <c r="I270" s="7"/>
      <c r="J270" s="7"/>
      <c r="K270" s="7"/>
      <c r="L270" s="7"/>
      <c r="M270" s="7"/>
      <c r="N270" s="7"/>
      <c r="O270" s="7"/>
      <c r="P270" s="7"/>
      <c r="Q270" s="7"/>
      <c r="R270" s="265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 ht="18.0" customHeight="1">
      <c r="A271" s="7"/>
      <c r="B271" s="7"/>
      <c r="C271" s="7"/>
      <c r="D271" s="7"/>
      <c r="E271" s="7"/>
      <c r="F271" s="7"/>
      <c r="G271" s="7"/>
      <c r="H271" s="264"/>
      <c r="I271" s="7"/>
      <c r="J271" s="7"/>
      <c r="K271" s="7"/>
      <c r="L271" s="7"/>
      <c r="M271" s="7"/>
      <c r="N271" s="7"/>
      <c r="O271" s="7"/>
      <c r="P271" s="7"/>
      <c r="Q271" s="7"/>
      <c r="R271" s="265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 ht="18.0" customHeight="1">
      <c r="A272" s="7"/>
      <c r="B272" s="7"/>
      <c r="C272" s="7"/>
      <c r="D272" s="7"/>
      <c r="E272" s="7"/>
      <c r="F272" s="7"/>
      <c r="G272" s="7"/>
      <c r="H272" s="264"/>
      <c r="I272" s="7"/>
      <c r="J272" s="7"/>
      <c r="K272" s="7"/>
      <c r="L272" s="7"/>
      <c r="M272" s="7"/>
      <c r="N272" s="7"/>
      <c r="O272" s="7"/>
      <c r="P272" s="7"/>
      <c r="Q272" s="7"/>
      <c r="R272" s="265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 ht="18.0" customHeight="1">
      <c r="A273" s="7"/>
      <c r="B273" s="7"/>
      <c r="C273" s="7"/>
      <c r="D273" s="7"/>
      <c r="E273" s="7"/>
      <c r="F273" s="7"/>
      <c r="G273" s="7"/>
      <c r="H273" s="264"/>
      <c r="I273" s="7"/>
      <c r="J273" s="7"/>
      <c r="K273" s="7"/>
      <c r="L273" s="7"/>
      <c r="M273" s="7"/>
      <c r="N273" s="7"/>
      <c r="O273" s="7"/>
      <c r="P273" s="7"/>
      <c r="Q273" s="7"/>
      <c r="R273" s="265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 ht="18.0" customHeight="1">
      <c r="A274" s="7"/>
      <c r="B274" s="7"/>
      <c r="C274" s="7"/>
      <c r="D274" s="7"/>
      <c r="E274" s="7"/>
      <c r="F274" s="7"/>
      <c r="G274" s="7"/>
      <c r="H274" s="264"/>
      <c r="I274" s="7"/>
      <c r="J274" s="7"/>
      <c r="K274" s="7"/>
      <c r="L274" s="7"/>
      <c r="M274" s="7"/>
      <c r="N274" s="7"/>
      <c r="O274" s="7"/>
      <c r="P274" s="7"/>
      <c r="Q274" s="7"/>
      <c r="R274" s="265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 ht="18.0" customHeight="1">
      <c r="A275" s="7"/>
      <c r="B275" s="7"/>
      <c r="C275" s="7"/>
      <c r="D275" s="7"/>
      <c r="E275" s="7"/>
      <c r="F275" s="7"/>
      <c r="G275" s="7"/>
      <c r="H275" s="264"/>
      <c r="I275" s="7"/>
      <c r="J275" s="7"/>
      <c r="K275" s="7"/>
      <c r="L275" s="7"/>
      <c r="M275" s="7"/>
      <c r="N275" s="7"/>
      <c r="O275" s="7"/>
      <c r="P275" s="7"/>
      <c r="Q275" s="7"/>
      <c r="R275" s="265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 ht="18.0" customHeight="1">
      <c r="A276" s="7"/>
      <c r="B276" s="7"/>
      <c r="C276" s="7"/>
      <c r="D276" s="7"/>
      <c r="E276" s="7"/>
      <c r="F276" s="7"/>
      <c r="G276" s="7"/>
      <c r="H276" s="264"/>
      <c r="I276" s="7"/>
      <c r="J276" s="7"/>
      <c r="K276" s="7"/>
      <c r="L276" s="7"/>
      <c r="M276" s="7"/>
      <c r="N276" s="7"/>
      <c r="O276" s="7"/>
      <c r="P276" s="7"/>
      <c r="Q276" s="7"/>
      <c r="R276" s="265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 ht="18.0" customHeight="1">
      <c r="A277" s="7"/>
      <c r="B277" s="7"/>
      <c r="C277" s="7"/>
      <c r="D277" s="7"/>
      <c r="E277" s="7"/>
      <c r="F277" s="7"/>
      <c r="G277" s="7"/>
      <c r="H277" s="264"/>
      <c r="I277" s="7"/>
      <c r="J277" s="7"/>
      <c r="K277" s="7"/>
      <c r="L277" s="7"/>
      <c r="M277" s="7"/>
      <c r="N277" s="7"/>
      <c r="O277" s="7"/>
      <c r="P277" s="7"/>
      <c r="Q277" s="7"/>
      <c r="R277" s="265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 ht="18.0" customHeight="1">
      <c r="A278" s="7"/>
      <c r="B278" s="7"/>
      <c r="C278" s="7"/>
      <c r="D278" s="7"/>
      <c r="E278" s="7"/>
      <c r="F278" s="7"/>
      <c r="G278" s="7"/>
      <c r="H278" s="264"/>
      <c r="I278" s="7"/>
      <c r="J278" s="7"/>
      <c r="K278" s="7"/>
      <c r="L278" s="7"/>
      <c r="M278" s="7"/>
      <c r="N278" s="7"/>
      <c r="O278" s="7"/>
      <c r="P278" s="7"/>
      <c r="Q278" s="7"/>
      <c r="R278" s="265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 ht="18.0" customHeight="1">
      <c r="A279" s="7"/>
      <c r="B279" s="7"/>
      <c r="C279" s="7"/>
      <c r="D279" s="7"/>
      <c r="E279" s="7"/>
      <c r="F279" s="7"/>
      <c r="G279" s="7"/>
      <c r="H279" s="264"/>
      <c r="I279" s="7"/>
      <c r="J279" s="7"/>
      <c r="K279" s="7"/>
      <c r="L279" s="7"/>
      <c r="M279" s="7"/>
      <c r="N279" s="7"/>
      <c r="O279" s="7"/>
      <c r="P279" s="7"/>
      <c r="Q279" s="7"/>
      <c r="R279" s="265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 ht="18.0" customHeight="1">
      <c r="A280" s="7"/>
      <c r="B280" s="7"/>
      <c r="C280" s="7"/>
      <c r="D280" s="7"/>
      <c r="E280" s="7"/>
      <c r="F280" s="7"/>
      <c r="G280" s="7"/>
      <c r="H280" s="264"/>
      <c r="I280" s="7"/>
      <c r="J280" s="7"/>
      <c r="K280" s="7"/>
      <c r="L280" s="7"/>
      <c r="M280" s="7"/>
      <c r="N280" s="7"/>
      <c r="O280" s="7"/>
      <c r="P280" s="7"/>
      <c r="Q280" s="7"/>
      <c r="R280" s="265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 ht="18.0" customHeight="1">
      <c r="A281" s="7"/>
      <c r="B281" s="7"/>
      <c r="C281" s="7"/>
      <c r="D281" s="7"/>
      <c r="E281" s="7"/>
      <c r="F281" s="7"/>
      <c r="G281" s="7"/>
      <c r="H281" s="264"/>
      <c r="I281" s="7"/>
      <c r="J281" s="7"/>
      <c r="K281" s="7"/>
      <c r="L281" s="7"/>
      <c r="M281" s="7"/>
      <c r="N281" s="7"/>
      <c r="O281" s="7"/>
      <c r="P281" s="7"/>
      <c r="Q281" s="7"/>
      <c r="R281" s="265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 ht="18.0" customHeight="1">
      <c r="A282" s="7"/>
      <c r="B282" s="7"/>
      <c r="C282" s="7"/>
      <c r="D282" s="7"/>
      <c r="E282" s="7"/>
      <c r="F282" s="7"/>
      <c r="G282" s="7"/>
      <c r="H282" s="264"/>
      <c r="I282" s="7"/>
      <c r="J282" s="7"/>
      <c r="K282" s="7"/>
      <c r="L282" s="7"/>
      <c r="M282" s="7"/>
      <c r="N282" s="7"/>
      <c r="O282" s="7"/>
      <c r="P282" s="7"/>
      <c r="Q282" s="7"/>
      <c r="R282" s="265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 ht="18.0" customHeight="1">
      <c r="A283" s="7"/>
      <c r="B283" s="7"/>
      <c r="C283" s="7"/>
      <c r="D283" s="7"/>
      <c r="E283" s="7"/>
      <c r="F283" s="7"/>
      <c r="G283" s="7"/>
      <c r="H283" s="264"/>
      <c r="I283" s="7"/>
      <c r="J283" s="7"/>
      <c r="K283" s="7"/>
      <c r="L283" s="7"/>
      <c r="M283" s="7"/>
      <c r="N283" s="7"/>
      <c r="O283" s="7"/>
      <c r="P283" s="7"/>
      <c r="Q283" s="7"/>
      <c r="R283" s="265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 ht="18.0" customHeight="1">
      <c r="A284" s="7"/>
      <c r="B284" s="7"/>
      <c r="C284" s="7"/>
      <c r="D284" s="7"/>
      <c r="E284" s="7"/>
      <c r="F284" s="7"/>
      <c r="G284" s="7"/>
      <c r="H284" s="264"/>
      <c r="I284" s="7"/>
      <c r="J284" s="7"/>
      <c r="K284" s="7"/>
      <c r="L284" s="7"/>
      <c r="M284" s="7"/>
      <c r="N284" s="7"/>
      <c r="O284" s="7"/>
      <c r="P284" s="7"/>
      <c r="Q284" s="7"/>
      <c r="R284" s="265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 ht="18.0" customHeight="1">
      <c r="A285" s="7"/>
      <c r="B285" s="7"/>
      <c r="C285" s="7"/>
      <c r="D285" s="7"/>
      <c r="E285" s="7"/>
      <c r="F285" s="7"/>
      <c r="G285" s="7"/>
      <c r="H285" s="264"/>
      <c r="I285" s="7"/>
      <c r="J285" s="7"/>
      <c r="K285" s="7"/>
      <c r="L285" s="7"/>
      <c r="M285" s="7"/>
      <c r="N285" s="7"/>
      <c r="O285" s="7"/>
      <c r="P285" s="7"/>
      <c r="Q285" s="7"/>
      <c r="R285" s="265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 ht="18.0" customHeight="1">
      <c r="A286" s="7"/>
      <c r="B286" s="7"/>
      <c r="C286" s="7"/>
      <c r="D286" s="7"/>
      <c r="E286" s="7"/>
      <c r="F286" s="7"/>
      <c r="G286" s="7"/>
      <c r="H286" s="264"/>
      <c r="I286" s="7"/>
      <c r="J286" s="7"/>
      <c r="K286" s="7"/>
      <c r="L286" s="7"/>
      <c r="M286" s="7"/>
      <c r="N286" s="7"/>
      <c r="O286" s="7"/>
      <c r="P286" s="7"/>
      <c r="Q286" s="7"/>
      <c r="R286" s="265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 ht="18.0" customHeight="1">
      <c r="A287" s="7"/>
      <c r="B287" s="7"/>
      <c r="C287" s="7"/>
      <c r="D287" s="7"/>
      <c r="E287" s="7"/>
      <c r="F287" s="7"/>
      <c r="G287" s="7"/>
      <c r="H287" s="264"/>
      <c r="I287" s="7"/>
      <c r="J287" s="7"/>
      <c r="K287" s="7"/>
      <c r="L287" s="7"/>
      <c r="M287" s="7"/>
      <c r="N287" s="7"/>
      <c r="O287" s="7"/>
      <c r="P287" s="7"/>
      <c r="Q287" s="7"/>
      <c r="R287" s="265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 ht="18.0" customHeight="1">
      <c r="A288" s="7"/>
      <c r="B288" s="7"/>
      <c r="C288" s="7"/>
      <c r="D288" s="7"/>
      <c r="E288" s="7"/>
      <c r="F288" s="7"/>
      <c r="G288" s="7"/>
      <c r="H288" s="264"/>
      <c r="I288" s="7"/>
      <c r="J288" s="7"/>
      <c r="K288" s="7"/>
      <c r="L288" s="7"/>
      <c r="M288" s="7"/>
      <c r="N288" s="7"/>
      <c r="O288" s="7"/>
      <c r="P288" s="7"/>
      <c r="Q288" s="7"/>
      <c r="R288" s="265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 ht="18.0" customHeight="1">
      <c r="A289" s="7"/>
      <c r="B289" s="7"/>
      <c r="C289" s="7"/>
      <c r="D289" s="7"/>
      <c r="E289" s="7"/>
      <c r="F289" s="7"/>
      <c r="G289" s="7"/>
      <c r="H289" s="264"/>
      <c r="I289" s="7"/>
      <c r="J289" s="7"/>
      <c r="K289" s="7"/>
      <c r="L289" s="7"/>
      <c r="M289" s="7"/>
      <c r="N289" s="7"/>
      <c r="O289" s="7"/>
      <c r="P289" s="7"/>
      <c r="Q289" s="7"/>
      <c r="R289" s="265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 ht="18.0" customHeight="1">
      <c r="A290" s="7"/>
      <c r="B290" s="7"/>
      <c r="C290" s="7"/>
      <c r="D290" s="7"/>
      <c r="E290" s="7"/>
      <c r="F290" s="7"/>
      <c r="G290" s="7"/>
      <c r="H290" s="264"/>
      <c r="I290" s="7"/>
      <c r="J290" s="7"/>
      <c r="K290" s="7"/>
      <c r="L290" s="7"/>
      <c r="M290" s="7"/>
      <c r="N290" s="7"/>
      <c r="O290" s="7"/>
      <c r="P290" s="7"/>
      <c r="Q290" s="7"/>
      <c r="R290" s="265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 ht="18.0" customHeight="1">
      <c r="A291" s="7"/>
      <c r="B291" s="7"/>
      <c r="C291" s="7"/>
      <c r="D291" s="7"/>
      <c r="E291" s="7"/>
      <c r="F291" s="7"/>
      <c r="G291" s="7"/>
      <c r="H291" s="264"/>
      <c r="I291" s="7"/>
      <c r="J291" s="7"/>
      <c r="K291" s="7"/>
      <c r="L291" s="7"/>
      <c r="M291" s="7"/>
      <c r="N291" s="7"/>
      <c r="O291" s="7"/>
      <c r="P291" s="7"/>
      <c r="Q291" s="7"/>
      <c r="R291" s="265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 ht="18.0" customHeight="1">
      <c r="A292" s="7"/>
      <c r="B292" s="7"/>
      <c r="C292" s="7"/>
      <c r="D292" s="7"/>
      <c r="E292" s="7"/>
      <c r="F292" s="7"/>
      <c r="G292" s="7"/>
      <c r="H292" s="264"/>
      <c r="I292" s="7"/>
      <c r="J292" s="7"/>
      <c r="K292" s="7"/>
      <c r="L292" s="7"/>
      <c r="M292" s="7"/>
      <c r="N292" s="7"/>
      <c r="O292" s="7"/>
      <c r="P292" s="7"/>
      <c r="Q292" s="7"/>
      <c r="R292" s="265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 ht="18.0" customHeight="1">
      <c r="A293" s="7"/>
      <c r="B293" s="7"/>
      <c r="C293" s="7"/>
      <c r="D293" s="7"/>
      <c r="E293" s="7"/>
      <c r="F293" s="7"/>
      <c r="G293" s="7"/>
      <c r="H293" s="264"/>
      <c r="I293" s="7"/>
      <c r="J293" s="7"/>
      <c r="K293" s="7"/>
      <c r="L293" s="7"/>
      <c r="M293" s="7"/>
      <c r="N293" s="7"/>
      <c r="O293" s="7"/>
      <c r="P293" s="7"/>
      <c r="Q293" s="7"/>
      <c r="R293" s="265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 ht="18.0" customHeight="1">
      <c r="A294" s="7"/>
      <c r="B294" s="7"/>
      <c r="C294" s="7"/>
      <c r="D294" s="7"/>
      <c r="E294" s="7"/>
      <c r="F294" s="7"/>
      <c r="G294" s="7"/>
      <c r="H294" s="264"/>
      <c r="I294" s="7"/>
      <c r="J294" s="7"/>
      <c r="K294" s="7"/>
      <c r="L294" s="7"/>
      <c r="M294" s="7"/>
      <c r="N294" s="7"/>
      <c r="O294" s="7"/>
      <c r="P294" s="7"/>
      <c r="Q294" s="7"/>
      <c r="R294" s="265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 ht="18.0" customHeight="1">
      <c r="A295" s="7"/>
      <c r="B295" s="7"/>
      <c r="C295" s="7"/>
      <c r="D295" s="7"/>
      <c r="E295" s="7"/>
      <c r="F295" s="7"/>
      <c r="G295" s="7"/>
      <c r="H295" s="264"/>
      <c r="I295" s="7"/>
      <c r="J295" s="7"/>
      <c r="K295" s="7"/>
      <c r="L295" s="7"/>
      <c r="M295" s="7"/>
      <c r="N295" s="7"/>
      <c r="O295" s="7"/>
      <c r="P295" s="7"/>
      <c r="Q295" s="7"/>
      <c r="R295" s="265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 ht="18.0" customHeight="1">
      <c r="A296" s="7"/>
      <c r="B296" s="7"/>
      <c r="C296" s="7"/>
      <c r="D296" s="7"/>
      <c r="E296" s="7"/>
      <c r="F296" s="7"/>
      <c r="G296" s="7"/>
      <c r="H296" s="264"/>
      <c r="I296" s="7"/>
      <c r="J296" s="7"/>
      <c r="K296" s="7"/>
      <c r="L296" s="7"/>
      <c r="M296" s="7"/>
      <c r="N296" s="7"/>
      <c r="O296" s="7"/>
      <c r="P296" s="7"/>
      <c r="Q296" s="7"/>
      <c r="R296" s="265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 ht="18.0" customHeight="1">
      <c r="A297" s="7"/>
      <c r="B297" s="7"/>
      <c r="C297" s="7"/>
      <c r="D297" s="7"/>
      <c r="E297" s="7"/>
      <c r="F297" s="7"/>
      <c r="G297" s="7"/>
      <c r="H297" s="264"/>
      <c r="I297" s="7"/>
      <c r="J297" s="7"/>
      <c r="K297" s="7"/>
      <c r="L297" s="7"/>
      <c r="M297" s="7"/>
      <c r="N297" s="7"/>
      <c r="O297" s="7"/>
      <c r="P297" s="7"/>
      <c r="Q297" s="7"/>
      <c r="R297" s="265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 ht="18.0" customHeight="1">
      <c r="A298" s="7"/>
      <c r="B298" s="7"/>
      <c r="C298" s="7"/>
      <c r="D298" s="7"/>
      <c r="E298" s="7"/>
      <c r="F298" s="7"/>
      <c r="G298" s="7"/>
      <c r="H298" s="264"/>
      <c r="I298" s="7"/>
      <c r="J298" s="7"/>
      <c r="K298" s="7"/>
      <c r="L298" s="7"/>
      <c r="M298" s="7"/>
      <c r="N298" s="7"/>
      <c r="O298" s="7"/>
      <c r="P298" s="7"/>
      <c r="Q298" s="7"/>
      <c r="R298" s="265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 ht="18.0" customHeight="1">
      <c r="A299" s="7"/>
      <c r="B299" s="7"/>
      <c r="C299" s="7"/>
      <c r="D299" s="7"/>
      <c r="E299" s="7"/>
      <c r="F299" s="7"/>
      <c r="G299" s="7"/>
      <c r="H299" s="264"/>
      <c r="I299" s="7"/>
      <c r="J299" s="7"/>
      <c r="K299" s="7"/>
      <c r="L299" s="7"/>
      <c r="M299" s="7"/>
      <c r="N299" s="7"/>
      <c r="O299" s="7"/>
      <c r="P299" s="7"/>
      <c r="Q299" s="7"/>
      <c r="R299" s="265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 ht="18.0" customHeight="1">
      <c r="A300" s="7"/>
      <c r="B300" s="7"/>
      <c r="C300" s="7"/>
      <c r="D300" s="7"/>
      <c r="E300" s="7"/>
      <c r="F300" s="7"/>
      <c r="G300" s="7"/>
      <c r="H300" s="264"/>
      <c r="I300" s="7"/>
      <c r="J300" s="7"/>
      <c r="K300" s="7"/>
      <c r="L300" s="7"/>
      <c r="M300" s="7"/>
      <c r="N300" s="7"/>
      <c r="O300" s="7"/>
      <c r="P300" s="7"/>
      <c r="Q300" s="7"/>
      <c r="R300" s="265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 ht="18.0" customHeight="1">
      <c r="A301" s="7"/>
      <c r="B301" s="7"/>
      <c r="C301" s="7"/>
      <c r="D301" s="7"/>
      <c r="E301" s="7"/>
      <c r="F301" s="7"/>
      <c r="G301" s="7"/>
      <c r="H301" s="264"/>
      <c r="I301" s="7"/>
      <c r="J301" s="7"/>
      <c r="K301" s="7"/>
      <c r="L301" s="7"/>
      <c r="M301" s="7"/>
      <c r="N301" s="7"/>
      <c r="O301" s="7"/>
      <c r="P301" s="7"/>
      <c r="Q301" s="7"/>
      <c r="R301" s="265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 ht="18.0" customHeight="1">
      <c r="A302" s="7"/>
      <c r="B302" s="7"/>
      <c r="C302" s="7"/>
      <c r="D302" s="7"/>
      <c r="E302" s="7"/>
      <c r="F302" s="7"/>
      <c r="G302" s="7"/>
      <c r="H302" s="264"/>
      <c r="I302" s="7"/>
      <c r="J302" s="7"/>
      <c r="K302" s="7"/>
      <c r="L302" s="7"/>
      <c r="M302" s="7"/>
      <c r="N302" s="7"/>
      <c r="O302" s="7"/>
      <c r="P302" s="7"/>
      <c r="Q302" s="7"/>
      <c r="R302" s="265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 ht="18.0" customHeight="1">
      <c r="A303" s="7"/>
      <c r="B303" s="7"/>
      <c r="C303" s="7"/>
      <c r="D303" s="7"/>
      <c r="E303" s="7"/>
      <c r="F303" s="7"/>
      <c r="G303" s="7"/>
      <c r="H303" s="264"/>
      <c r="I303" s="7"/>
      <c r="J303" s="7"/>
      <c r="K303" s="7"/>
      <c r="L303" s="7"/>
      <c r="M303" s="7"/>
      <c r="N303" s="7"/>
      <c r="O303" s="7"/>
      <c r="P303" s="7"/>
      <c r="Q303" s="7"/>
      <c r="R303" s="265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 ht="18.0" customHeight="1">
      <c r="A304" s="7"/>
      <c r="B304" s="7"/>
      <c r="C304" s="7"/>
      <c r="D304" s="7"/>
      <c r="E304" s="7"/>
      <c r="F304" s="7"/>
      <c r="G304" s="7"/>
      <c r="H304" s="264"/>
      <c r="I304" s="7"/>
      <c r="J304" s="7"/>
      <c r="K304" s="7"/>
      <c r="L304" s="7"/>
      <c r="M304" s="7"/>
      <c r="N304" s="7"/>
      <c r="O304" s="7"/>
      <c r="P304" s="7"/>
      <c r="Q304" s="7"/>
      <c r="R304" s="265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 ht="18.0" customHeight="1">
      <c r="A305" s="7"/>
      <c r="B305" s="7"/>
      <c r="C305" s="7"/>
      <c r="D305" s="7"/>
      <c r="E305" s="7"/>
      <c r="F305" s="7"/>
      <c r="G305" s="7"/>
      <c r="H305" s="264"/>
      <c r="I305" s="7"/>
      <c r="J305" s="7"/>
      <c r="K305" s="7"/>
      <c r="L305" s="7"/>
      <c r="M305" s="7"/>
      <c r="N305" s="7"/>
      <c r="O305" s="7"/>
      <c r="P305" s="7"/>
      <c r="Q305" s="7"/>
      <c r="R305" s="265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 ht="18.0" customHeight="1">
      <c r="A306" s="7"/>
      <c r="B306" s="7"/>
      <c r="C306" s="7"/>
      <c r="D306" s="7"/>
      <c r="E306" s="7"/>
      <c r="F306" s="7"/>
      <c r="G306" s="7"/>
      <c r="H306" s="264"/>
      <c r="I306" s="7"/>
      <c r="J306" s="7"/>
      <c r="K306" s="7"/>
      <c r="L306" s="7"/>
      <c r="M306" s="7"/>
      <c r="N306" s="7"/>
      <c r="O306" s="7"/>
      <c r="P306" s="7"/>
      <c r="Q306" s="7"/>
      <c r="R306" s="265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 ht="18.0" customHeight="1">
      <c r="A307" s="7"/>
      <c r="B307" s="7"/>
      <c r="C307" s="7"/>
      <c r="D307" s="7"/>
      <c r="E307" s="7"/>
      <c r="F307" s="7"/>
      <c r="G307" s="7"/>
      <c r="H307" s="264"/>
      <c r="I307" s="7"/>
      <c r="J307" s="7"/>
      <c r="K307" s="7"/>
      <c r="L307" s="7"/>
      <c r="M307" s="7"/>
      <c r="N307" s="7"/>
      <c r="O307" s="7"/>
      <c r="P307" s="7"/>
      <c r="Q307" s="7"/>
      <c r="R307" s="265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 ht="18.0" customHeight="1">
      <c r="A308" s="7"/>
      <c r="B308" s="7"/>
      <c r="C308" s="7"/>
      <c r="D308" s="7"/>
      <c r="E308" s="7"/>
      <c r="F308" s="7"/>
      <c r="G308" s="7"/>
      <c r="H308" s="264"/>
      <c r="I308" s="7"/>
      <c r="J308" s="7"/>
      <c r="K308" s="7"/>
      <c r="L308" s="7"/>
      <c r="M308" s="7"/>
      <c r="N308" s="7"/>
      <c r="O308" s="7"/>
      <c r="P308" s="7"/>
      <c r="Q308" s="7"/>
      <c r="R308" s="265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 ht="18.0" customHeight="1">
      <c r="A309" s="7"/>
      <c r="B309" s="7"/>
      <c r="C309" s="7"/>
      <c r="D309" s="7"/>
      <c r="E309" s="7"/>
      <c r="F309" s="7"/>
      <c r="G309" s="7"/>
      <c r="H309" s="264"/>
      <c r="I309" s="7"/>
      <c r="J309" s="7"/>
      <c r="K309" s="7"/>
      <c r="L309" s="7"/>
      <c r="M309" s="7"/>
      <c r="N309" s="7"/>
      <c r="O309" s="7"/>
      <c r="P309" s="7"/>
      <c r="Q309" s="7"/>
      <c r="R309" s="265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 ht="18.0" customHeight="1">
      <c r="A310" s="7"/>
      <c r="B310" s="7"/>
      <c r="C310" s="7"/>
      <c r="D310" s="7"/>
      <c r="E310" s="7"/>
      <c r="F310" s="7"/>
      <c r="G310" s="7"/>
      <c r="H310" s="264"/>
      <c r="I310" s="7"/>
      <c r="J310" s="7"/>
      <c r="K310" s="7"/>
      <c r="L310" s="7"/>
      <c r="M310" s="7"/>
      <c r="N310" s="7"/>
      <c r="O310" s="7"/>
      <c r="P310" s="7"/>
      <c r="Q310" s="7"/>
      <c r="R310" s="265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 ht="18.0" customHeight="1">
      <c r="A311" s="7"/>
      <c r="B311" s="7"/>
      <c r="C311" s="7"/>
      <c r="D311" s="7"/>
      <c r="E311" s="7"/>
      <c r="F311" s="7"/>
      <c r="G311" s="7"/>
      <c r="H311" s="264"/>
      <c r="I311" s="7"/>
      <c r="J311" s="7"/>
      <c r="K311" s="7"/>
      <c r="L311" s="7"/>
      <c r="M311" s="7"/>
      <c r="N311" s="7"/>
      <c r="O311" s="7"/>
      <c r="P311" s="7"/>
      <c r="Q311" s="7"/>
      <c r="R311" s="265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 ht="18.0" customHeight="1">
      <c r="A312" s="7"/>
      <c r="B312" s="7"/>
      <c r="C312" s="7"/>
      <c r="D312" s="7"/>
      <c r="E312" s="7"/>
      <c r="F312" s="7"/>
      <c r="G312" s="7"/>
      <c r="H312" s="264"/>
      <c r="I312" s="7"/>
      <c r="J312" s="7"/>
      <c r="K312" s="7"/>
      <c r="L312" s="7"/>
      <c r="M312" s="7"/>
      <c r="N312" s="7"/>
      <c r="O312" s="7"/>
      <c r="P312" s="7"/>
      <c r="Q312" s="7"/>
      <c r="R312" s="265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 ht="18.0" customHeight="1">
      <c r="A313" s="7"/>
      <c r="B313" s="7"/>
      <c r="C313" s="7"/>
      <c r="D313" s="7"/>
      <c r="E313" s="7"/>
      <c r="F313" s="7"/>
      <c r="G313" s="7"/>
      <c r="H313" s="264"/>
      <c r="I313" s="7"/>
      <c r="J313" s="7"/>
      <c r="K313" s="7"/>
      <c r="L313" s="7"/>
      <c r="M313" s="7"/>
      <c r="N313" s="7"/>
      <c r="O313" s="7"/>
      <c r="P313" s="7"/>
      <c r="Q313" s="7"/>
      <c r="R313" s="265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 ht="18.0" customHeight="1">
      <c r="A314" s="7"/>
      <c r="B314" s="7"/>
      <c r="C314" s="7"/>
      <c r="D314" s="7"/>
      <c r="E314" s="7"/>
      <c r="F314" s="7"/>
      <c r="G314" s="7"/>
      <c r="H314" s="264"/>
      <c r="I314" s="7"/>
      <c r="J314" s="7"/>
      <c r="K314" s="7"/>
      <c r="L314" s="7"/>
      <c r="M314" s="7"/>
      <c r="N314" s="7"/>
      <c r="O314" s="7"/>
      <c r="P314" s="7"/>
      <c r="Q314" s="7"/>
      <c r="R314" s="265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 ht="18.0" customHeight="1">
      <c r="A315" s="7"/>
      <c r="B315" s="7"/>
      <c r="C315" s="7"/>
      <c r="D315" s="7"/>
      <c r="E315" s="7"/>
      <c r="F315" s="7"/>
      <c r="G315" s="7"/>
      <c r="H315" s="264"/>
      <c r="I315" s="7"/>
      <c r="J315" s="7"/>
      <c r="K315" s="7"/>
      <c r="L315" s="7"/>
      <c r="M315" s="7"/>
      <c r="N315" s="7"/>
      <c r="O315" s="7"/>
      <c r="P315" s="7"/>
      <c r="Q315" s="7"/>
      <c r="R315" s="265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 ht="18.0" customHeight="1">
      <c r="A316" s="7"/>
      <c r="B316" s="7"/>
      <c r="C316" s="7"/>
      <c r="D316" s="7"/>
      <c r="E316" s="7"/>
      <c r="F316" s="7"/>
      <c r="G316" s="7"/>
      <c r="H316" s="264"/>
      <c r="I316" s="7"/>
      <c r="J316" s="7"/>
      <c r="K316" s="7"/>
      <c r="L316" s="7"/>
      <c r="M316" s="7"/>
      <c r="N316" s="7"/>
      <c r="O316" s="7"/>
      <c r="P316" s="7"/>
      <c r="Q316" s="7"/>
      <c r="R316" s="265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 ht="18.0" customHeight="1">
      <c r="A317" s="7"/>
      <c r="B317" s="7"/>
      <c r="C317" s="7"/>
      <c r="D317" s="7"/>
      <c r="E317" s="7"/>
      <c r="F317" s="7"/>
      <c r="G317" s="7"/>
      <c r="H317" s="264"/>
      <c r="I317" s="7"/>
      <c r="J317" s="7"/>
      <c r="K317" s="7"/>
      <c r="L317" s="7"/>
      <c r="M317" s="7"/>
      <c r="N317" s="7"/>
      <c r="O317" s="7"/>
      <c r="P317" s="7"/>
      <c r="Q317" s="7"/>
      <c r="R317" s="265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 ht="18.0" customHeight="1">
      <c r="A318" s="7"/>
      <c r="B318" s="7"/>
      <c r="C318" s="7"/>
      <c r="D318" s="7"/>
      <c r="E318" s="7"/>
      <c r="F318" s="7"/>
      <c r="G318" s="7"/>
      <c r="H318" s="264"/>
      <c r="I318" s="7"/>
      <c r="J318" s="7"/>
      <c r="K318" s="7"/>
      <c r="L318" s="7"/>
      <c r="M318" s="7"/>
      <c r="N318" s="7"/>
      <c r="O318" s="7"/>
      <c r="P318" s="7"/>
      <c r="Q318" s="7"/>
      <c r="R318" s="265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 ht="18.0" customHeight="1">
      <c r="A319" s="7"/>
      <c r="B319" s="7"/>
      <c r="C319" s="7"/>
      <c r="D319" s="7"/>
      <c r="E319" s="7"/>
      <c r="F319" s="7"/>
      <c r="G319" s="7"/>
      <c r="H319" s="264"/>
      <c r="I319" s="7"/>
      <c r="J319" s="7"/>
      <c r="K319" s="7"/>
      <c r="L319" s="7"/>
      <c r="M319" s="7"/>
      <c r="N319" s="7"/>
      <c r="O319" s="7"/>
      <c r="P319" s="7"/>
      <c r="Q319" s="7"/>
      <c r="R319" s="265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 ht="18.0" customHeight="1">
      <c r="A320" s="7"/>
      <c r="B320" s="7"/>
      <c r="C320" s="7"/>
      <c r="D320" s="7"/>
      <c r="E320" s="7"/>
      <c r="F320" s="7"/>
      <c r="G320" s="7"/>
      <c r="H320" s="264"/>
      <c r="I320" s="7"/>
      <c r="J320" s="7"/>
      <c r="K320" s="7"/>
      <c r="L320" s="7"/>
      <c r="M320" s="7"/>
      <c r="N320" s="7"/>
      <c r="O320" s="7"/>
      <c r="P320" s="7"/>
      <c r="Q320" s="7"/>
      <c r="R320" s="265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 ht="18.0" customHeight="1">
      <c r="A321" s="7"/>
      <c r="B321" s="7"/>
      <c r="C321" s="7"/>
      <c r="D321" s="7"/>
      <c r="E321" s="7"/>
      <c r="F321" s="7"/>
      <c r="G321" s="7"/>
      <c r="H321" s="264"/>
      <c r="I321" s="7"/>
      <c r="J321" s="7"/>
      <c r="K321" s="7"/>
      <c r="L321" s="7"/>
      <c r="M321" s="7"/>
      <c r="N321" s="7"/>
      <c r="O321" s="7"/>
      <c r="P321" s="7"/>
      <c r="Q321" s="7"/>
      <c r="R321" s="265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 ht="18.0" customHeight="1">
      <c r="A322" s="7"/>
      <c r="B322" s="7"/>
      <c r="C322" s="7"/>
      <c r="D322" s="7"/>
      <c r="E322" s="7"/>
      <c r="F322" s="7"/>
      <c r="G322" s="7"/>
      <c r="H322" s="264"/>
      <c r="I322" s="7"/>
      <c r="J322" s="7"/>
      <c r="K322" s="7"/>
      <c r="L322" s="7"/>
      <c r="M322" s="7"/>
      <c r="N322" s="7"/>
      <c r="O322" s="7"/>
      <c r="P322" s="7"/>
      <c r="Q322" s="7"/>
      <c r="R322" s="265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 ht="18.0" customHeight="1">
      <c r="A323" s="7"/>
      <c r="B323" s="7"/>
      <c r="C323" s="7"/>
      <c r="D323" s="7"/>
      <c r="E323" s="7"/>
      <c r="F323" s="7"/>
      <c r="G323" s="7"/>
      <c r="H323" s="264"/>
      <c r="I323" s="7"/>
      <c r="J323" s="7"/>
      <c r="K323" s="7"/>
      <c r="L323" s="7"/>
      <c r="M323" s="7"/>
      <c r="N323" s="7"/>
      <c r="O323" s="7"/>
      <c r="P323" s="7"/>
      <c r="Q323" s="7"/>
      <c r="R323" s="265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 ht="18.0" customHeight="1">
      <c r="A324" s="7"/>
      <c r="B324" s="7"/>
      <c r="C324" s="7"/>
      <c r="D324" s="7"/>
      <c r="E324" s="7"/>
      <c r="F324" s="7"/>
      <c r="G324" s="7"/>
      <c r="H324" s="264"/>
      <c r="I324" s="7"/>
      <c r="J324" s="7"/>
      <c r="K324" s="7"/>
      <c r="L324" s="7"/>
      <c r="M324" s="7"/>
      <c r="N324" s="7"/>
      <c r="O324" s="7"/>
      <c r="P324" s="7"/>
      <c r="Q324" s="7"/>
      <c r="R324" s="265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 ht="18.0" customHeight="1">
      <c r="A325" s="7"/>
      <c r="B325" s="7"/>
      <c r="C325" s="7"/>
      <c r="D325" s="7"/>
      <c r="E325" s="7"/>
      <c r="F325" s="7"/>
      <c r="G325" s="7"/>
      <c r="H325" s="264"/>
      <c r="I325" s="7"/>
      <c r="J325" s="7"/>
      <c r="K325" s="7"/>
      <c r="L325" s="7"/>
      <c r="M325" s="7"/>
      <c r="N325" s="7"/>
      <c r="O325" s="7"/>
      <c r="P325" s="7"/>
      <c r="Q325" s="7"/>
      <c r="R325" s="265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 ht="18.0" customHeight="1">
      <c r="A326" s="7"/>
      <c r="B326" s="7"/>
      <c r="C326" s="7"/>
      <c r="D326" s="7"/>
      <c r="E326" s="7"/>
      <c r="F326" s="7"/>
      <c r="G326" s="7"/>
      <c r="H326" s="264"/>
      <c r="I326" s="7"/>
      <c r="J326" s="7"/>
      <c r="K326" s="7"/>
      <c r="L326" s="7"/>
      <c r="M326" s="7"/>
      <c r="N326" s="7"/>
      <c r="O326" s="7"/>
      <c r="P326" s="7"/>
      <c r="Q326" s="7"/>
      <c r="R326" s="265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 ht="18.0" customHeight="1">
      <c r="A327" s="7"/>
      <c r="B327" s="7"/>
      <c r="C327" s="7"/>
      <c r="D327" s="7"/>
      <c r="E327" s="7"/>
      <c r="F327" s="7"/>
      <c r="G327" s="7"/>
      <c r="H327" s="264"/>
      <c r="I327" s="7"/>
      <c r="J327" s="7"/>
      <c r="K327" s="7"/>
      <c r="L327" s="7"/>
      <c r="M327" s="7"/>
      <c r="N327" s="7"/>
      <c r="O327" s="7"/>
      <c r="P327" s="7"/>
      <c r="Q327" s="7"/>
      <c r="R327" s="265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 ht="18.0" customHeight="1">
      <c r="A328" s="7"/>
      <c r="B328" s="7"/>
      <c r="C328" s="7"/>
      <c r="D328" s="7"/>
      <c r="E328" s="7"/>
      <c r="F328" s="7"/>
      <c r="G328" s="7"/>
      <c r="H328" s="264"/>
      <c r="I328" s="7"/>
      <c r="J328" s="7"/>
      <c r="K328" s="7"/>
      <c r="L328" s="7"/>
      <c r="M328" s="7"/>
      <c r="N328" s="7"/>
      <c r="O328" s="7"/>
      <c r="P328" s="7"/>
      <c r="Q328" s="7"/>
      <c r="R328" s="265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 ht="18.0" customHeight="1">
      <c r="A329" s="7"/>
      <c r="B329" s="7"/>
      <c r="C329" s="7"/>
      <c r="D329" s="7"/>
      <c r="E329" s="7"/>
      <c r="F329" s="7"/>
      <c r="G329" s="7"/>
      <c r="H329" s="264"/>
      <c r="I329" s="7"/>
      <c r="J329" s="7"/>
      <c r="K329" s="7"/>
      <c r="L329" s="7"/>
      <c r="M329" s="7"/>
      <c r="N329" s="7"/>
      <c r="O329" s="7"/>
      <c r="P329" s="7"/>
      <c r="Q329" s="7"/>
      <c r="R329" s="265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 ht="18.0" customHeight="1">
      <c r="A330" s="7"/>
      <c r="B330" s="7"/>
      <c r="C330" s="7"/>
      <c r="D330" s="7"/>
      <c r="E330" s="7"/>
      <c r="F330" s="7"/>
      <c r="G330" s="7"/>
      <c r="H330" s="264"/>
      <c r="I330" s="7"/>
      <c r="J330" s="7"/>
      <c r="K330" s="7"/>
      <c r="L330" s="7"/>
      <c r="M330" s="7"/>
      <c r="N330" s="7"/>
      <c r="O330" s="7"/>
      <c r="P330" s="7"/>
      <c r="Q330" s="7"/>
      <c r="R330" s="265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 ht="18.0" customHeight="1">
      <c r="A331" s="7"/>
      <c r="B331" s="7"/>
      <c r="C331" s="7"/>
      <c r="D331" s="7"/>
      <c r="E331" s="7"/>
      <c r="F331" s="7"/>
      <c r="G331" s="7"/>
      <c r="H331" s="264"/>
      <c r="I331" s="7"/>
      <c r="J331" s="7"/>
      <c r="K331" s="7"/>
      <c r="L331" s="7"/>
      <c r="M331" s="7"/>
      <c r="N331" s="7"/>
      <c r="O331" s="7"/>
      <c r="P331" s="7"/>
      <c r="Q331" s="7"/>
      <c r="R331" s="265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 ht="18.0" customHeight="1">
      <c r="A332" s="7"/>
      <c r="B332" s="7"/>
      <c r="C332" s="7"/>
      <c r="D332" s="7"/>
      <c r="E332" s="7"/>
      <c r="F332" s="7"/>
      <c r="G332" s="7"/>
      <c r="H332" s="264"/>
      <c r="I332" s="7"/>
      <c r="J332" s="7"/>
      <c r="K332" s="7"/>
      <c r="L332" s="7"/>
      <c r="M332" s="7"/>
      <c r="N332" s="7"/>
      <c r="O332" s="7"/>
      <c r="P332" s="7"/>
      <c r="Q332" s="7"/>
      <c r="R332" s="265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 ht="18.0" customHeight="1">
      <c r="A333" s="7"/>
      <c r="B333" s="7"/>
      <c r="C333" s="7"/>
      <c r="D333" s="7"/>
      <c r="E333" s="7"/>
      <c r="F333" s="7"/>
      <c r="G333" s="7"/>
      <c r="H333" s="264"/>
      <c r="I333" s="7"/>
      <c r="J333" s="7"/>
      <c r="K333" s="7"/>
      <c r="L333" s="7"/>
      <c r="M333" s="7"/>
      <c r="N333" s="7"/>
      <c r="O333" s="7"/>
      <c r="P333" s="7"/>
      <c r="Q333" s="7"/>
      <c r="R333" s="265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 ht="18.0" customHeight="1">
      <c r="A334" s="7"/>
      <c r="B334" s="7"/>
      <c r="C334" s="7"/>
      <c r="D334" s="7"/>
      <c r="E334" s="7"/>
      <c r="F334" s="7"/>
      <c r="G334" s="7"/>
      <c r="H334" s="264"/>
      <c r="I334" s="7"/>
      <c r="J334" s="7"/>
      <c r="K334" s="7"/>
      <c r="L334" s="7"/>
      <c r="M334" s="7"/>
      <c r="N334" s="7"/>
      <c r="O334" s="7"/>
      <c r="P334" s="7"/>
      <c r="Q334" s="7"/>
      <c r="R334" s="265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 ht="18.0" customHeight="1">
      <c r="A335" s="7"/>
      <c r="B335" s="7"/>
      <c r="C335" s="7"/>
      <c r="D335" s="7"/>
      <c r="E335" s="7"/>
      <c r="F335" s="7"/>
      <c r="G335" s="7"/>
      <c r="H335" s="264"/>
      <c r="I335" s="7"/>
      <c r="J335" s="7"/>
      <c r="K335" s="7"/>
      <c r="L335" s="7"/>
      <c r="M335" s="7"/>
      <c r="N335" s="7"/>
      <c r="O335" s="7"/>
      <c r="P335" s="7"/>
      <c r="Q335" s="7"/>
      <c r="R335" s="265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 ht="18.0" customHeight="1">
      <c r="A336" s="7"/>
      <c r="B336" s="7"/>
      <c r="C336" s="7"/>
      <c r="D336" s="7"/>
      <c r="E336" s="7"/>
      <c r="F336" s="7"/>
      <c r="G336" s="7"/>
      <c r="H336" s="264"/>
      <c r="I336" s="7"/>
      <c r="J336" s="7"/>
      <c r="K336" s="7"/>
      <c r="L336" s="7"/>
      <c r="M336" s="7"/>
      <c r="N336" s="7"/>
      <c r="O336" s="7"/>
      <c r="P336" s="7"/>
      <c r="Q336" s="7"/>
      <c r="R336" s="265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 ht="18.0" customHeight="1">
      <c r="A337" s="7"/>
      <c r="B337" s="7"/>
      <c r="C337" s="7"/>
      <c r="D337" s="7"/>
      <c r="E337" s="7"/>
      <c r="F337" s="7"/>
      <c r="G337" s="7"/>
      <c r="H337" s="264"/>
      <c r="I337" s="7"/>
      <c r="J337" s="7"/>
      <c r="K337" s="7"/>
      <c r="L337" s="7"/>
      <c r="M337" s="7"/>
      <c r="N337" s="7"/>
      <c r="O337" s="7"/>
      <c r="P337" s="7"/>
      <c r="Q337" s="7"/>
      <c r="R337" s="265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 ht="18.0" customHeight="1">
      <c r="A338" s="7"/>
      <c r="B338" s="7"/>
      <c r="C338" s="7"/>
      <c r="D338" s="7"/>
      <c r="E338" s="7"/>
      <c r="F338" s="7"/>
      <c r="G338" s="7"/>
      <c r="H338" s="264"/>
      <c r="I338" s="7"/>
      <c r="J338" s="7"/>
      <c r="K338" s="7"/>
      <c r="L338" s="7"/>
      <c r="M338" s="7"/>
      <c r="N338" s="7"/>
      <c r="O338" s="7"/>
      <c r="P338" s="7"/>
      <c r="Q338" s="7"/>
      <c r="R338" s="265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 ht="18.0" customHeight="1">
      <c r="A339" s="7"/>
      <c r="B339" s="7"/>
      <c r="C339" s="7"/>
      <c r="D339" s="7"/>
      <c r="E339" s="7"/>
      <c r="F339" s="7"/>
      <c r="G339" s="7"/>
      <c r="H339" s="264"/>
      <c r="I339" s="7"/>
      <c r="J339" s="7"/>
      <c r="K339" s="7"/>
      <c r="L339" s="7"/>
      <c r="M339" s="7"/>
      <c r="N339" s="7"/>
      <c r="O339" s="7"/>
      <c r="P339" s="7"/>
      <c r="Q339" s="7"/>
      <c r="R339" s="265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 ht="18.0" customHeight="1">
      <c r="A340" s="7"/>
      <c r="B340" s="7"/>
      <c r="C340" s="7"/>
      <c r="D340" s="7"/>
      <c r="E340" s="7"/>
      <c r="F340" s="7"/>
      <c r="G340" s="7"/>
      <c r="H340" s="264"/>
      <c r="I340" s="7"/>
      <c r="J340" s="7"/>
      <c r="K340" s="7"/>
      <c r="L340" s="7"/>
      <c r="M340" s="7"/>
      <c r="N340" s="7"/>
      <c r="O340" s="7"/>
      <c r="P340" s="7"/>
      <c r="Q340" s="7"/>
      <c r="R340" s="265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 ht="18.0" customHeight="1">
      <c r="A341" s="7"/>
      <c r="B341" s="7"/>
      <c r="C341" s="7"/>
      <c r="D341" s="7"/>
      <c r="E341" s="7"/>
      <c r="F341" s="7"/>
      <c r="G341" s="7"/>
      <c r="H341" s="264"/>
      <c r="I341" s="7"/>
      <c r="J341" s="7"/>
      <c r="K341" s="7"/>
      <c r="L341" s="7"/>
      <c r="M341" s="7"/>
      <c r="N341" s="7"/>
      <c r="O341" s="7"/>
      <c r="P341" s="7"/>
      <c r="Q341" s="7"/>
      <c r="R341" s="265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 ht="18.0" customHeight="1">
      <c r="A342" s="7"/>
      <c r="B342" s="7"/>
      <c r="C342" s="7"/>
      <c r="D342" s="7"/>
      <c r="E342" s="7"/>
      <c r="F342" s="7"/>
      <c r="G342" s="7"/>
      <c r="H342" s="264"/>
      <c r="I342" s="7"/>
      <c r="J342" s="7"/>
      <c r="K342" s="7"/>
      <c r="L342" s="7"/>
      <c r="M342" s="7"/>
      <c r="N342" s="7"/>
      <c r="O342" s="7"/>
      <c r="P342" s="7"/>
      <c r="Q342" s="7"/>
      <c r="R342" s="265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 ht="18.0" customHeight="1">
      <c r="A343" s="7"/>
      <c r="B343" s="7"/>
      <c r="C343" s="7"/>
      <c r="D343" s="7"/>
      <c r="E343" s="7"/>
      <c r="F343" s="7"/>
      <c r="G343" s="7"/>
      <c r="H343" s="264"/>
      <c r="I343" s="7"/>
      <c r="J343" s="7"/>
      <c r="K343" s="7"/>
      <c r="L343" s="7"/>
      <c r="M343" s="7"/>
      <c r="N343" s="7"/>
      <c r="O343" s="7"/>
      <c r="P343" s="7"/>
      <c r="Q343" s="7"/>
      <c r="R343" s="265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 ht="18.0" customHeight="1">
      <c r="A344" s="7"/>
      <c r="B344" s="7"/>
      <c r="C344" s="7"/>
      <c r="D344" s="7"/>
      <c r="E344" s="7"/>
      <c r="F344" s="7"/>
      <c r="G344" s="7"/>
      <c r="H344" s="264"/>
      <c r="I344" s="7"/>
      <c r="J344" s="7"/>
      <c r="K344" s="7"/>
      <c r="L344" s="7"/>
      <c r="M344" s="7"/>
      <c r="N344" s="7"/>
      <c r="O344" s="7"/>
      <c r="P344" s="7"/>
      <c r="Q344" s="7"/>
      <c r="R344" s="265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 ht="18.0" customHeight="1">
      <c r="A345" s="7"/>
      <c r="B345" s="7"/>
      <c r="C345" s="7"/>
      <c r="D345" s="7"/>
      <c r="E345" s="7"/>
      <c r="F345" s="7"/>
      <c r="G345" s="7"/>
      <c r="H345" s="264"/>
      <c r="I345" s="7"/>
      <c r="J345" s="7"/>
      <c r="K345" s="7"/>
      <c r="L345" s="7"/>
      <c r="M345" s="7"/>
      <c r="N345" s="7"/>
      <c r="O345" s="7"/>
      <c r="P345" s="7"/>
      <c r="Q345" s="7"/>
      <c r="R345" s="265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 ht="18.0" customHeight="1">
      <c r="A346" s="7"/>
      <c r="B346" s="7"/>
      <c r="C346" s="7"/>
      <c r="D346" s="7"/>
      <c r="E346" s="7"/>
      <c r="F346" s="7"/>
      <c r="G346" s="7"/>
      <c r="H346" s="264"/>
      <c r="I346" s="7"/>
      <c r="J346" s="7"/>
      <c r="K346" s="7"/>
      <c r="L346" s="7"/>
      <c r="M346" s="7"/>
      <c r="N346" s="7"/>
      <c r="O346" s="7"/>
      <c r="P346" s="7"/>
      <c r="Q346" s="7"/>
      <c r="R346" s="265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 ht="18.0" customHeight="1">
      <c r="A347" s="7"/>
      <c r="B347" s="7"/>
      <c r="C347" s="7"/>
      <c r="D347" s="7"/>
      <c r="E347" s="7"/>
      <c r="F347" s="7"/>
      <c r="G347" s="7"/>
      <c r="H347" s="264"/>
      <c r="I347" s="7"/>
      <c r="J347" s="7"/>
      <c r="K347" s="7"/>
      <c r="L347" s="7"/>
      <c r="M347" s="7"/>
      <c r="N347" s="7"/>
      <c r="O347" s="7"/>
      <c r="P347" s="7"/>
      <c r="Q347" s="7"/>
      <c r="R347" s="265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 ht="18.0" customHeight="1">
      <c r="A348" s="7"/>
      <c r="B348" s="7"/>
      <c r="C348" s="7"/>
      <c r="D348" s="7"/>
      <c r="E348" s="7"/>
      <c r="F348" s="7"/>
      <c r="G348" s="7"/>
      <c r="H348" s="264"/>
      <c r="I348" s="7"/>
      <c r="J348" s="7"/>
      <c r="K348" s="7"/>
      <c r="L348" s="7"/>
      <c r="M348" s="7"/>
      <c r="N348" s="7"/>
      <c r="O348" s="7"/>
      <c r="P348" s="7"/>
      <c r="Q348" s="7"/>
      <c r="R348" s="265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 ht="18.0" customHeight="1">
      <c r="A349" s="7"/>
      <c r="B349" s="7"/>
      <c r="C349" s="7"/>
      <c r="D349" s="7"/>
      <c r="E349" s="7"/>
      <c r="F349" s="7"/>
      <c r="G349" s="7"/>
      <c r="H349" s="264"/>
      <c r="I349" s="7"/>
      <c r="J349" s="7"/>
      <c r="K349" s="7"/>
      <c r="L349" s="7"/>
      <c r="M349" s="7"/>
      <c r="N349" s="7"/>
      <c r="O349" s="7"/>
      <c r="P349" s="7"/>
      <c r="Q349" s="7"/>
      <c r="R349" s="265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 ht="18.0" customHeight="1">
      <c r="A350" s="7"/>
      <c r="B350" s="7"/>
      <c r="C350" s="7"/>
      <c r="D350" s="7"/>
      <c r="E350" s="7"/>
      <c r="F350" s="7"/>
      <c r="G350" s="7"/>
      <c r="H350" s="264"/>
      <c r="I350" s="7"/>
      <c r="J350" s="7"/>
      <c r="K350" s="7"/>
      <c r="L350" s="7"/>
      <c r="M350" s="7"/>
      <c r="N350" s="7"/>
      <c r="O350" s="7"/>
      <c r="P350" s="7"/>
      <c r="Q350" s="7"/>
      <c r="R350" s="265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 ht="18.0" customHeight="1">
      <c r="A351" s="7"/>
      <c r="B351" s="7"/>
      <c r="C351" s="7"/>
      <c r="D351" s="7"/>
      <c r="E351" s="7"/>
      <c r="F351" s="7"/>
      <c r="G351" s="7"/>
      <c r="H351" s="264"/>
      <c r="I351" s="7"/>
      <c r="J351" s="7"/>
      <c r="K351" s="7"/>
      <c r="L351" s="7"/>
      <c r="M351" s="7"/>
      <c r="N351" s="7"/>
      <c r="O351" s="7"/>
      <c r="P351" s="7"/>
      <c r="Q351" s="7"/>
      <c r="R351" s="265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 ht="18.0" customHeight="1">
      <c r="A352" s="7"/>
      <c r="B352" s="7"/>
      <c r="C352" s="7"/>
      <c r="D352" s="7"/>
      <c r="E352" s="7"/>
      <c r="F352" s="7"/>
      <c r="G352" s="7"/>
      <c r="H352" s="264"/>
      <c r="I352" s="7"/>
      <c r="J352" s="7"/>
      <c r="K352" s="7"/>
      <c r="L352" s="7"/>
      <c r="M352" s="7"/>
      <c r="N352" s="7"/>
      <c r="O352" s="7"/>
      <c r="P352" s="7"/>
      <c r="Q352" s="7"/>
      <c r="R352" s="265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 ht="18.0" customHeight="1">
      <c r="A353" s="7"/>
      <c r="B353" s="7"/>
      <c r="C353" s="7"/>
      <c r="D353" s="7"/>
      <c r="E353" s="7"/>
      <c r="F353" s="7"/>
      <c r="G353" s="7"/>
      <c r="H353" s="264"/>
      <c r="I353" s="7"/>
      <c r="J353" s="7"/>
      <c r="K353" s="7"/>
      <c r="L353" s="7"/>
      <c r="M353" s="7"/>
      <c r="N353" s="7"/>
      <c r="O353" s="7"/>
      <c r="P353" s="7"/>
      <c r="Q353" s="7"/>
      <c r="R353" s="265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 ht="18.0" customHeight="1">
      <c r="A354" s="7"/>
      <c r="B354" s="7"/>
      <c r="C354" s="7"/>
      <c r="D354" s="7"/>
      <c r="E354" s="7"/>
      <c r="F354" s="7"/>
      <c r="G354" s="7"/>
      <c r="H354" s="264"/>
      <c r="I354" s="7"/>
      <c r="J354" s="7"/>
      <c r="K354" s="7"/>
      <c r="L354" s="7"/>
      <c r="M354" s="7"/>
      <c r="N354" s="7"/>
      <c r="O354" s="7"/>
      <c r="P354" s="7"/>
      <c r="Q354" s="7"/>
      <c r="R354" s="265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 ht="18.0" customHeight="1">
      <c r="A355" s="7"/>
      <c r="B355" s="7"/>
      <c r="C355" s="7"/>
      <c r="D355" s="7"/>
      <c r="E355" s="7"/>
      <c r="F355" s="7"/>
      <c r="G355" s="7"/>
      <c r="H355" s="264"/>
      <c r="I355" s="7"/>
      <c r="J355" s="7"/>
      <c r="K355" s="7"/>
      <c r="L355" s="7"/>
      <c r="M355" s="7"/>
      <c r="N355" s="7"/>
      <c r="O355" s="7"/>
      <c r="P355" s="7"/>
      <c r="Q355" s="7"/>
      <c r="R355" s="265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 ht="18.0" customHeight="1">
      <c r="A356" s="7"/>
      <c r="B356" s="7"/>
      <c r="C356" s="7"/>
      <c r="D356" s="7"/>
      <c r="E356" s="7"/>
      <c r="F356" s="7"/>
      <c r="G356" s="7"/>
      <c r="H356" s="264"/>
      <c r="I356" s="7"/>
      <c r="J356" s="7"/>
      <c r="K356" s="7"/>
      <c r="L356" s="7"/>
      <c r="M356" s="7"/>
      <c r="N356" s="7"/>
      <c r="O356" s="7"/>
      <c r="P356" s="7"/>
      <c r="Q356" s="7"/>
      <c r="R356" s="265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 ht="18.0" customHeight="1">
      <c r="A357" s="7"/>
      <c r="B357" s="7"/>
      <c r="C357" s="7"/>
      <c r="D357" s="7"/>
      <c r="E357" s="7"/>
      <c r="F357" s="7"/>
      <c r="G357" s="7"/>
      <c r="H357" s="264"/>
      <c r="I357" s="7"/>
      <c r="J357" s="7"/>
      <c r="K357" s="7"/>
      <c r="L357" s="7"/>
      <c r="M357" s="7"/>
      <c r="N357" s="7"/>
      <c r="O357" s="7"/>
      <c r="P357" s="7"/>
      <c r="Q357" s="7"/>
      <c r="R357" s="265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 ht="18.0" customHeight="1">
      <c r="A358" s="7"/>
      <c r="B358" s="7"/>
      <c r="C358" s="7"/>
      <c r="D358" s="7"/>
      <c r="E358" s="7"/>
      <c r="F358" s="7"/>
      <c r="G358" s="7"/>
      <c r="H358" s="264"/>
      <c r="I358" s="7"/>
      <c r="J358" s="7"/>
      <c r="K358" s="7"/>
      <c r="L358" s="7"/>
      <c r="M358" s="7"/>
      <c r="N358" s="7"/>
      <c r="O358" s="7"/>
      <c r="P358" s="7"/>
      <c r="Q358" s="7"/>
      <c r="R358" s="265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 ht="18.0" customHeight="1">
      <c r="A359" s="7"/>
      <c r="B359" s="7"/>
      <c r="C359" s="7"/>
      <c r="D359" s="7"/>
      <c r="E359" s="7"/>
      <c r="F359" s="7"/>
      <c r="G359" s="7"/>
      <c r="H359" s="264"/>
      <c r="I359" s="7"/>
      <c r="J359" s="7"/>
      <c r="K359" s="7"/>
      <c r="L359" s="7"/>
      <c r="M359" s="7"/>
      <c r="N359" s="7"/>
      <c r="O359" s="7"/>
      <c r="P359" s="7"/>
      <c r="Q359" s="7"/>
      <c r="R359" s="265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 ht="18.0" customHeight="1">
      <c r="A360" s="7"/>
      <c r="B360" s="7"/>
      <c r="C360" s="7"/>
      <c r="D360" s="7"/>
      <c r="E360" s="7"/>
      <c r="F360" s="7"/>
      <c r="G360" s="7"/>
      <c r="H360" s="264"/>
      <c r="I360" s="7"/>
      <c r="J360" s="7"/>
      <c r="K360" s="7"/>
      <c r="L360" s="7"/>
      <c r="M360" s="7"/>
      <c r="N360" s="7"/>
      <c r="O360" s="7"/>
      <c r="P360" s="7"/>
      <c r="Q360" s="7"/>
      <c r="R360" s="265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 ht="18.0" customHeight="1">
      <c r="A361" s="7"/>
      <c r="B361" s="7"/>
      <c r="C361" s="7"/>
      <c r="D361" s="7"/>
      <c r="E361" s="7"/>
      <c r="F361" s="7"/>
      <c r="G361" s="7"/>
      <c r="H361" s="264"/>
      <c r="I361" s="7"/>
      <c r="J361" s="7"/>
      <c r="K361" s="7"/>
      <c r="L361" s="7"/>
      <c r="M361" s="7"/>
      <c r="N361" s="7"/>
      <c r="O361" s="7"/>
      <c r="P361" s="7"/>
      <c r="Q361" s="7"/>
      <c r="R361" s="265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 ht="18.0" customHeight="1">
      <c r="A362" s="7"/>
      <c r="B362" s="7"/>
      <c r="C362" s="7"/>
      <c r="D362" s="7"/>
      <c r="E362" s="7"/>
      <c r="F362" s="7"/>
      <c r="G362" s="7"/>
      <c r="H362" s="264"/>
      <c r="I362" s="7"/>
      <c r="J362" s="7"/>
      <c r="K362" s="7"/>
      <c r="L362" s="7"/>
      <c r="M362" s="7"/>
      <c r="N362" s="7"/>
      <c r="O362" s="7"/>
      <c r="P362" s="7"/>
      <c r="Q362" s="7"/>
      <c r="R362" s="265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 ht="18.0" customHeight="1">
      <c r="A363" s="7"/>
      <c r="B363" s="7"/>
      <c r="C363" s="7"/>
      <c r="D363" s="7"/>
      <c r="E363" s="7"/>
      <c r="F363" s="7"/>
      <c r="G363" s="7"/>
      <c r="H363" s="264"/>
      <c r="I363" s="7"/>
      <c r="J363" s="7"/>
      <c r="K363" s="7"/>
      <c r="L363" s="7"/>
      <c r="M363" s="7"/>
      <c r="N363" s="7"/>
      <c r="O363" s="7"/>
      <c r="P363" s="7"/>
      <c r="Q363" s="7"/>
      <c r="R363" s="265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 ht="18.0" customHeight="1">
      <c r="A364" s="7"/>
      <c r="B364" s="7"/>
      <c r="C364" s="7"/>
      <c r="D364" s="7"/>
      <c r="E364" s="7"/>
      <c r="F364" s="7"/>
      <c r="G364" s="7"/>
      <c r="H364" s="264"/>
      <c r="I364" s="7"/>
      <c r="J364" s="7"/>
      <c r="K364" s="7"/>
      <c r="L364" s="7"/>
      <c r="M364" s="7"/>
      <c r="N364" s="7"/>
      <c r="O364" s="7"/>
      <c r="P364" s="7"/>
      <c r="Q364" s="7"/>
      <c r="R364" s="265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 ht="18.0" customHeight="1">
      <c r="A365" s="7"/>
      <c r="B365" s="7"/>
      <c r="C365" s="7"/>
      <c r="D365" s="7"/>
      <c r="E365" s="7"/>
      <c r="F365" s="7"/>
      <c r="G365" s="7"/>
      <c r="H365" s="264"/>
      <c r="I365" s="7"/>
      <c r="J365" s="7"/>
      <c r="K365" s="7"/>
      <c r="L365" s="7"/>
      <c r="M365" s="7"/>
      <c r="N365" s="7"/>
      <c r="O365" s="7"/>
      <c r="P365" s="7"/>
      <c r="Q365" s="7"/>
      <c r="R365" s="265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 ht="18.0" customHeight="1">
      <c r="A366" s="7"/>
      <c r="B366" s="7"/>
      <c r="C366" s="7"/>
      <c r="D366" s="7"/>
      <c r="E366" s="7"/>
      <c r="F366" s="7"/>
      <c r="G366" s="7"/>
      <c r="H366" s="264"/>
      <c r="I366" s="7"/>
      <c r="J366" s="7"/>
      <c r="K366" s="7"/>
      <c r="L366" s="7"/>
      <c r="M366" s="7"/>
      <c r="N366" s="7"/>
      <c r="O366" s="7"/>
      <c r="P366" s="7"/>
      <c r="Q366" s="7"/>
      <c r="R366" s="265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 ht="18.0" customHeight="1">
      <c r="A367" s="7"/>
      <c r="B367" s="7"/>
      <c r="C367" s="7"/>
      <c r="D367" s="7"/>
      <c r="E367" s="7"/>
      <c r="F367" s="7"/>
      <c r="G367" s="7"/>
      <c r="H367" s="264"/>
      <c r="I367" s="7"/>
      <c r="J367" s="7"/>
      <c r="K367" s="7"/>
      <c r="L367" s="7"/>
      <c r="M367" s="7"/>
      <c r="N367" s="7"/>
      <c r="O367" s="7"/>
      <c r="P367" s="7"/>
      <c r="Q367" s="7"/>
      <c r="R367" s="265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 ht="18.0" customHeight="1">
      <c r="A368" s="7"/>
      <c r="B368" s="7"/>
      <c r="C368" s="7"/>
      <c r="D368" s="7"/>
      <c r="E368" s="7"/>
      <c r="F368" s="7"/>
      <c r="G368" s="7"/>
      <c r="H368" s="264"/>
      <c r="I368" s="7"/>
      <c r="J368" s="7"/>
      <c r="K368" s="7"/>
      <c r="L368" s="7"/>
      <c r="M368" s="7"/>
      <c r="N368" s="7"/>
      <c r="O368" s="7"/>
      <c r="P368" s="7"/>
      <c r="Q368" s="7"/>
      <c r="R368" s="265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 ht="18.0" customHeight="1">
      <c r="A369" s="7"/>
      <c r="B369" s="7"/>
      <c r="C369" s="7"/>
      <c r="D369" s="7"/>
      <c r="E369" s="7"/>
      <c r="F369" s="7"/>
      <c r="G369" s="7"/>
      <c r="H369" s="264"/>
      <c r="I369" s="7"/>
      <c r="J369" s="7"/>
      <c r="K369" s="7"/>
      <c r="L369" s="7"/>
      <c r="M369" s="7"/>
      <c r="N369" s="7"/>
      <c r="O369" s="7"/>
      <c r="P369" s="7"/>
      <c r="Q369" s="7"/>
      <c r="R369" s="265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 ht="18.0" customHeight="1">
      <c r="A370" s="7"/>
      <c r="B370" s="7"/>
      <c r="C370" s="7"/>
      <c r="D370" s="7"/>
      <c r="E370" s="7"/>
      <c r="F370" s="7"/>
      <c r="G370" s="7"/>
      <c r="H370" s="264"/>
      <c r="I370" s="7"/>
      <c r="J370" s="7"/>
      <c r="K370" s="7"/>
      <c r="L370" s="7"/>
      <c r="M370" s="7"/>
      <c r="N370" s="7"/>
      <c r="O370" s="7"/>
      <c r="P370" s="7"/>
      <c r="Q370" s="7"/>
      <c r="R370" s="265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 ht="18.0" customHeight="1">
      <c r="A371" s="7"/>
      <c r="B371" s="7"/>
      <c r="C371" s="7"/>
      <c r="D371" s="7"/>
      <c r="E371" s="7"/>
      <c r="F371" s="7"/>
      <c r="G371" s="7"/>
      <c r="H371" s="264"/>
      <c r="I371" s="7"/>
      <c r="J371" s="7"/>
      <c r="K371" s="7"/>
      <c r="L371" s="7"/>
      <c r="M371" s="7"/>
      <c r="N371" s="7"/>
      <c r="O371" s="7"/>
      <c r="P371" s="7"/>
      <c r="Q371" s="7"/>
      <c r="R371" s="265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 ht="18.0" customHeight="1">
      <c r="A372" s="7"/>
      <c r="B372" s="7"/>
      <c r="C372" s="7"/>
      <c r="D372" s="7"/>
      <c r="E372" s="7"/>
      <c r="F372" s="7"/>
      <c r="G372" s="7"/>
      <c r="H372" s="264"/>
      <c r="I372" s="7"/>
      <c r="J372" s="7"/>
      <c r="K372" s="7"/>
      <c r="L372" s="7"/>
      <c r="M372" s="7"/>
      <c r="N372" s="7"/>
      <c r="O372" s="7"/>
      <c r="P372" s="7"/>
      <c r="Q372" s="7"/>
      <c r="R372" s="265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 ht="18.0" customHeight="1">
      <c r="A373" s="7"/>
      <c r="B373" s="7"/>
      <c r="C373" s="7"/>
      <c r="D373" s="7"/>
      <c r="E373" s="7"/>
      <c r="F373" s="7"/>
      <c r="G373" s="7"/>
      <c r="H373" s="264"/>
      <c r="I373" s="7"/>
      <c r="J373" s="7"/>
      <c r="K373" s="7"/>
      <c r="L373" s="7"/>
      <c r="M373" s="7"/>
      <c r="N373" s="7"/>
      <c r="O373" s="7"/>
      <c r="P373" s="7"/>
      <c r="Q373" s="7"/>
      <c r="R373" s="265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 ht="18.0" customHeight="1">
      <c r="A374" s="7"/>
      <c r="B374" s="7"/>
      <c r="C374" s="7"/>
      <c r="D374" s="7"/>
      <c r="E374" s="7"/>
      <c r="F374" s="7"/>
      <c r="G374" s="7"/>
      <c r="H374" s="264"/>
      <c r="I374" s="7"/>
      <c r="J374" s="7"/>
      <c r="K374" s="7"/>
      <c r="L374" s="7"/>
      <c r="M374" s="7"/>
      <c r="N374" s="7"/>
      <c r="O374" s="7"/>
      <c r="P374" s="7"/>
      <c r="Q374" s="7"/>
      <c r="R374" s="265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 ht="18.0" customHeight="1">
      <c r="A375" s="7"/>
      <c r="B375" s="7"/>
      <c r="C375" s="7"/>
      <c r="D375" s="7"/>
      <c r="E375" s="7"/>
      <c r="F375" s="7"/>
      <c r="G375" s="7"/>
      <c r="H375" s="264"/>
      <c r="I375" s="7"/>
      <c r="J375" s="7"/>
      <c r="K375" s="7"/>
      <c r="L375" s="7"/>
      <c r="M375" s="7"/>
      <c r="N375" s="7"/>
      <c r="O375" s="7"/>
      <c r="P375" s="7"/>
      <c r="Q375" s="7"/>
      <c r="R375" s="265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 ht="18.0" customHeight="1">
      <c r="A376" s="7"/>
      <c r="B376" s="7"/>
      <c r="C376" s="7"/>
      <c r="D376" s="7"/>
      <c r="E376" s="7"/>
      <c r="F376" s="7"/>
      <c r="G376" s="7"/>
      <c r="H376" s="264"/>
      <c r="I376" s="7"/>
      <c r="J376" s="7"/>
      <c r="K376" s="7"/>
      <c r="L376" s="7"/>
      <c r="M376" s="7"/>
      <c r="N376" s="7"/>
      <c r="O376" s="7"/>
      <c r="P376" s="7"/>
      <c r="Q376" s="7"/>
      <c r="R376" s="265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 ht="18.0" customHeight="1">
      <c r="A377" s="7"/>
      <c r="B377" s="7"/>
      <c r="C377" s="7"/>
      <c r="D377" s="7"/>
      <c r="E377" s="7"/>
      <c r="F377" s="7"/>
      <c r="G377" s="7"/>
      <c r="H377" s="264"/>
      <c r="I377" s="7"/>
      <c r="J377" s="7"/>
      <c r="K377" s="7"/>
      <c r="L377" s="7"/>
      <c r="M377" s="7"/>
      <c r="N377" s="7"/>
      <c r="O377" s="7"/>
      <c r="P377" s="7"/>
      <c r="Q377" s="7"/>
      <c r="R377" s="265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 ht="18.0" customHeight="1">
      <c r="A378" s="7"/>
      <c r="B378" s="7"/>
      <c r="C378" s="7"/>
      <c r="D378" s="7"/>
      <c r="E378" s="7"/>
      <c r="F378" s="7"/>
      <c r="G378" s="7"/>
      <c r="H378" s="264"/>
      <c r="I378" s="7"/>
      <c r="J378" s="7"/>
      <c r="K378" s="7"/>
      <c r="L378" s="7"/>
      <c r="M378" s="7"/>
      <c r="N378" s="7"/>
      <c r="O378" s="7"/>
      <c r="P378" s="7"/>
      <c r="Q378" s="7"/>
      <c r="R378" s="265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 ht="18.0" customHeight="1">
      <c r="A379" s="7"/>
      <c r="B379" s="7"/>
      <c r="C379" s="7"/>
      <c r="D379" s="7"/>
      <c r="E379" s="7"/>
      <c r="F379" s="7"/>
      <c r="G379" s="7"/>
      <c r="H379" s="264"/>
      <c r="I379" s="7"/>
      <c r="J379" s="7"/>
      <c r="K379" s="7"/>
      <c r="L379" s="7"/>
      <c r="M379" s="7"/>
      <c r="N379" s="7"/>
      <c r="O379" s="7"/>
      <c r="P379" s="7"/>
      <c r="Q379" s="7"/>
      <c r="R379" s="265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 ht="18.0" customHeight="1">
      <c r="A380" s="7"/>
      <c r="B380" s="7"/>
      <c r="C380" s="7"/>
      <c r="D380" s="7"/>
      <c r="E380" s="7"/>
      <c r="F380" s="7"/>
      <c r="G380" s="7"/>
      <c r="H380" s="264"/>
      <c r="I380" s="7"/>
      <c r="J380" s="7"/>
      <c r="K380" s="7"/>
      <c r="L380" s="7"/>
      <c r="M380" s="7"/>
      <c r="N380" s="7"/>
      <c r="O380" s="7"/>
      <c r="P380" s="7"/>
      <c r="Q380" s="7"/>
      <c r="R380" s="265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 ht="18.0" customHeight="1">
      <c r="A381" s="7"/>
      <c r="B381" s="7"/>
      <c r="C381" s="7"/>
      <c r="D381" s="7"/>
      <c r="E381" s="7"/>
      <c r="F381" s="7"/>
      <c r="G381" s="7"/>
      <c r="H381" s="264"/>
      <c r="I381" s="7"/>
      <c r="J381" s="7"/>
      <c r="K381" s="7"/>
      <c r="L381" s="7"/>
      <c r="M381" s="7"/>
      <c r="N381" s="7"/>
      <c r="O381" s="7"/>
      <c r="P381" s="7"/>
      <c r="Q381" s="7"/>
      <c r="R381" s="265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 ht="18.0" customHeight="1">
      <c r="A382" s="7"/>
      <c r="B382" s="7"/>
      <c r="C382" s="7"/>
      <c r="D382" s="7"/>
      <c r="E382" s="7"/>
      <c r="F382" s="7"/>
      <c r="G382" s="7"/>
      <c r="H382" s="264"/>
      <c r="I382" s="7"/>
      <c r="J382" s="7"/>
      <c r="K382" s="7"/>
      <c r="L382" s="7"/>
      <c r="M382" s="7"/>
      <c r="N382" s="7"/>
      <c r="O382" s="7"/>
      <c r="P382" s="7"/>
      <c r="Q382" s="7"/>
      <c r="R382" s="265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 ht="18.0" customHeight="1">
      <c r="A383" s="7"/>
      <c r="B383" s="7"/>
      <c r="C383" s="7"/>
      <c r="D383" s="7"/>
      <c r="E383" s="7"/>
      <c r="F383" s="7"/>
      <c r="G383" s="7"/>
      <c r="H383" s="264"/>
      <c r="I383" s="7"/>
      <c r="J383" s="7"/>
      <c r="K383" s="7"/>
      <c r="L383" s="7"/>
      <c r="M383" s="7"/>
      <c r="N383" s="7"/>
      <c r="O383" s="7"/>
      <c r="P383" s="7"/>
      <c r="Q383" s="7"/>
      <c r="R383" s="265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 ht="18.0" customHeight="1">
      <c r="A384" s="7"/>
      <c r="B384" s="7"/>
      <c r="C384" s="7"/>
      <c r="D384" s="7"/>
      <c r="E384" s="7"/>
      <c r="F384" s="7"/>
      <c r="G384" s="7"/>
      <c r="H384" s="264"/>
      <c r="I384" s="7"/>
      <c r="J384" s="7"/>
      <c r="K384" s="7"/>
      <c r="L384" s="7"/>
      <c r="M384" s="7"/>
      <c r="N384" s="7"/>
      <c r="O384" s="7"/>
      <c r="P384" s="7"/>
      <c r="Q384" s="7"/>
      <c r="R384" s="265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 ht="18.0" customHeight="1">
      <c r="A385" s="7"/>
      <c r="B385" s="7"/>
      <c r="C385" s="7"/>
      <c r="D385" s="7"/>
      <c r="E385" s="7"/>
      <c r="F385" s="7"/>
      <c r="G385" s="7"/>
      <c r="H385" s="264"/>
      <c r="I385" s="7"/>
      <c r="J385" s="7"/>
      <c r="K385" s="7"/>
      <c r="L385" s="7"/>
      <c r="M385" s="7"/>
      <c r="N385" s="7"/>
      <c r="O385" s="7"/>
      <c r="P385" s="7"/>
      <c r="Q385" s="7"/>
      <c r="R385" s="265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 ht="18.0" customHeight="1">
      <c r="A386" s="7"/>
      <c r="B386" s="7"/>
      <c r="C386" s="7"/>
      <c r="D386" s="7"/>
      <c r="E386" s="7"/>
      <c r="F386" s="7"/>
      <c r="G386" s="7"/>
      <c r="H386" s="264"/>
      <c r="I386" s="7"/>
      <c r="J386" s="7"/>
      <c r="K386" s="7"/>
      <c r="L386" s="7"/>
      <c r="M386" s="7"/>
      <c r="N386" s="7"/>
      <c r="O386" s="7"/>
      <c r="P386" s="7"/>
      <c r="Q386" s="7"/>
      <c r="R386" s="265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 ht="18.0" customHeight="1">
      <c r="A387" s="7"/>
      <c r="B387" s="7"/>
      <c r="C387" s="7"/>
      <c r="D387" s="7"/>
      <c r="E387" s="7"/>
      <c r="F387" s="7"/>
      <c r="G387" s="7"/>
      <c r="H387" s="264"/>
      <c r="I387" s="7"/>
      <c r="J387" s="7"/>
      <c r="K387" s="7"/>
      <c r="L387" s="7"/>
      <c r="M387" s="7"/>
      <c r="N387" s="7"/>
      <c r="O387" s="7"/>
      <c r="P387" s="7"/>
      <c r="Q387" s="7"/>
      <c r="R387" s="265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 ht="18.0" customHeight="1">
      <c r="A388" s="7"/>
      <c r="B388" s="7"/>
      <c r="C388" s="7"/>
      <c r="D388" s="7"/>
      <c r="E388" s="7"/>
      <c r="F388" s="7"/>
      <c r="G388" s="7"/>
      <c r="H388" s="264"/>
      <c r="I388" s="7"/>
      <c r="J388" s="7"/>
      <c r="K388" s="7"/>
      <c r="L388" s="7"/>
      <c r="M388" s="7"/>
      <c r="N388" s="7"/>
      <c r="O388" s="7"/>
      <c r="P388" s="7"/>
      <c r="Q388" s="7"/>
      <c r="R388" s="265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 ht="18.0" customHeight="1">
      <c r="A389" s="7"/>
      <c r="B389" s="7"/>
      <c r="C389" s="7"/>
      <c r="D389" s="7"/>
      <c r="E389" s="7"/>
      <c r="F389" s="7"/>
      <c r="G389" s="7"/>
      <c r="H389" s="264"/>
      <c r="I389" s="7"/>
      <c r="J389" s="7"/>
      <c r="K389" s="7"/>
      <c r="L389" s="7"/>
      <c r="M389" s="7"/>
      <c r="N389" s="7"/>
      <c r="O389" s="7"/>
      <c r="P389" s="7"/>
      <c r="Q389" s="7"/>
      <c r="R389" s="265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 ht="18.0" customHeight="1">
      <c r="A390" s="7"/>
      <c r="B390" s="7"/>
      <c r="C390" s="7"/>
      <c r="D390" s="7"/>
      <c r="E390" s="7"/>
      <c r="F390" s="7"/>
      <c r="G390" s="7"/>
      <c r="H390" s="264"/>
      <c r="I390" s="7"/>
      <c r="J390" s="7"/>
      <c r="K390" s="7"/>
      <c r="L390" s="7"/>
      <c r="M390" s="7"/>
      <c r="N390" s="7"/>
      <c r="O390" s="7"/>
      <c r="P390" s="7"/>
      <c r="Q390" s="7"/>
      <c r="R390" s="265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 ht="18.0" customHeight="1">
      <c r="A391" s="7"/>
      <c r="B391" s="7"/>
      <c r="C391" s="7"/>
      <c r="D391" s="7"/>
      <c r="E391" s="7"/>
      <c r="F391" s="7"/>
      <c r="G391" s="7"/>
      <c r="H391" s="264"/>
      <c r="I391" s="7"/>
      <c r="J391" s="7"/>
      <c r="K391" s="7"/>
      <c r="L391" s="7"/>
      <c r="M391" s="7"/>
      <c r="N391" s="7"/>
      <c r="O391" s="7"/>
      <c r="P391" s="7"/>
      <c r="Q391" s="7"/>
      <c r="R391" s="265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 ht="18.0" customHeight="1">
      <c r="A392" s="7"/>
      <c r="B392" s="7"/>
      <c r="C392" s="7"/>
      <c r="D392" s="7"/>
      <c r="E392" s="7"/>
      <c r="F392" s="7"/>
      <c r="G392" s="7"/>
      <c r="H392" s="264"/>
      <c r="I392" s="7"/>
      <c r="J392" s="7"/>
      <c r="K392" s="7"/>
      <c r="L392" s="7"/>
      <c r="M392" s="7"/>
      <c r="N392" s="7"/>
      <c r="O392" s="7"/>
      <c r="P392" s="7"/>
      <c r="Q392" s="7"/>
      <c r="R392" s="265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 ht="18.0" customHeight="1">
      <c r="A393" s="7"/>
      <c r="B393" s="7"/>
      <c r="C393" s="7"/>
      <c r="D393" s="7"/>
      <c r="E393" s="7"/>
      <c r="F393" s="7"/>
      <c r="G393" s="7"/>
      <c r="H393" s="264"/>
      <c r="I393" s="7"/>
      <c r="J393" s="7"/>
      <c r="K393" s="7"/>
      <c r="L393" s="7"/>
      <c r="M393" s="7"/>
      <c r="N393" s="7"/>
      <c r="O393" s="7"/>
      <c r="P393" s="7"/>
      <c r="Q393" s="7"/>
      <c r="R393" s="265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 ht="18.0" customHeight="1">
      <c r="A394" s="7"/>
      <c r="B394" s="7"/>
      <c r="C394" s="7"/>
      <c r="D394" s="7"/>
      <c r="E394" s="7"/>
      <c r="F394" s="7"/>
      <c r="G394" s="7"/>
      <c r="H394" s="264"/>
      <c r="I394" s="7"/>
      <c r="J394" s="7"/>
      <c r="K394" s="7"/>
      <c r="L394" s="7"/>
      <c r="M394" s="7"/>
      <c r="N394" s="7"/>
      <c r="O394" s="7"/>
      <c r="P394" s="7"/>
      <c r="Q394" s="7"/>
      <c r="R394" s="265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 ht="18.0" customHeight="1">
      <c r="A395" s="7"/>
      <c r="B395" s="7"/>
      <c r="C395" s="7"/>
      <c r="D395" s="7"/>
      <c r="E395" s="7"/>
      <c r="F395" s="7"/>
      <c r="G395" s="7"/>
      <c r="H395" s="264"/>
      <c r="I395" s="7"/>
      <c r="J395" s="7"/>
      <c r="K395" s="7"/>
      <c r="L395" s="7"/>
      <c r="M395" s="7"/>
      <c r="N395" s="7"/>
      <c r="O395" s="7"/>
      <c r="P395" s="7"/>
      <c r="Q395" s="7"/>
      <c r="R395" s="265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 ht="18.0" customHeight="1">
      <c r="A396" s="7"/>
      <c r="B396" s="7"/>
      <c r="C396" s="7"/>
      <c r="D396" s="7"/>
      <c r="E396" s="7"/>
      <c r="F396" s="7"/>
      <c r="G396" s="7"/>
      <c r="H396" s="264"/>
      <c r="I396" s="7"/>
      <c r="J396" s="7"/>
      <c r="K396" s="7"/>
      <c r="L396" s="7"/>
      <c r="M396" s="7"/>
      <c r="N396" s="7"/>
      <c r="O396" s="7"/>
      <c r="P396" s="7"/>
      <c r="Q396" s="7"/>
      <c r="R396" s="265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 ht="18.0" customHeight="1">
      <c r="A397" s="7"/>
      <c r="B397" s="7"/>
      <c r="C397" s="7"/>
      <c r="D397" s="7"/>
      <c r="E397" s="7"/>
      <c r="F397" s="7"/>
      <c r="G397" s="7"/>
      <c r="H397" s="264"/>
      <c r="I397" s="7"/>
      <c r="J397" s="7"/>
      <c r="K397" s="7"/>
      <c r="L397" s="7"/>
      <c r="M397" s="7"/>
      <c r="N397" s="7"/>
      <c r="O397" s="7"/>
      <c r="P397" s="7"/>
      <c r="Q397" s="7"/>
      <c r="R397" s="265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 ht="18.0" customHeight="1">
      <c r="A398" s="7"/>
      <c r="B398" s="7"/>
      <c r="C398" s="7"/>
      <c r="D398" s="7"/>
      <c r="E398" s="7"/>
      <c r="F398" s="7"/>
      <c r="G398" s="7"/>
      <c r="H398" s="264"/>
      <c r="I398" s="7"/>
      <c r="J398" s="7"/>
      <c r="K398" s="7"/>
      <c r="L398" s="7"/>
      <c r="M398" s="7"/>
      <c r="N398" s="7"/>
      <c r="O398" s="7"/>
      <c r="P398" s="7"/>
      <c r="Q398" s="7"/>
      <c r="R398" s="265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 ht="18.0" customHeight="1">
      <c r="A399" s="7"/>
      <c r="B399" s="7"/>
      <c r="C399" s="7"/>
      <c r="D399" s="7"/>
      <c r="E399" s="7"/>
      <c r="F399" s="7"/>
      <c r="G399" s="7"/>
      <c r="H399" s="264"/>
      <c r="I399" s="7"/>
      <c r="J399" s="7"/>
      <c r="K399" s="7"/>
      <c r="L399" s="7"/>
      <c r="M399" s="7"/>
      <c r="N399" s="7"/>
      <c r="O399" s="7"/>
      <c r="P399" s="7"/>
      <c r="Q399" s="7"/>
      <c r="R399" s="265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 ht="18.0" customHeight="1">
      <c r="A400" s="7"/>
      <c r="B400" s="7"/>
      <c r="C400" s="7"/>
      <c r="D400" s="7"/>
      <c r="E400" s="7"/>
      <c r="F400" s="7"/>
      <c r="G400" s="7"/>
      <c r="H400" s="264"/>
      <c r="I400" s="7"/>
      <c r="J400" s="7"/>
      <c r="K400" s="7"/>
      <c r="L400" s="7"/>
      <c r="M400" s="7"/>
      <c r="N400" s="7"/>
      <c r="O400" s="7"/>
      <c r="P400" s="7"/>
      <c r="Q400" s="7"/>
      <c r="R400" s="265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 ht="18.0" customHeight="1">
      <c r="A401" s="7"/>
      <c r="B401" s="7"/>
      <c r="C401" s="7"/>
      <c r="D401" s="7"/>
      <c r="E401" s="7"/>
      <c r="F401" s="7"/>
      <c r="G401" s="7"/>
      <c r="H401" s="264"/>
      <c r="I401" s="7"/>
      <c r="J401" s="7"/>
      <c r="K401" s="7"/>
      <c r="L401" s="7"/>
      <c r="M401" s="7"/>
      <c r="N401" s="7"/>
      <c r="O401" s="7"/>
      <c r="P401" s="7"/>
      <c r="Q401" s="7"/>
      <c r="R401" s="265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 ht="18.0" customHeight="1">
      <c r="A402" s="7"/>
      <c r="B402" s="7"/>
      <c r="C402" s="7"/>
      <c r="D402" s="7"/>
      <c r="E402" s="7"/>
      <c r="F402" s="7"/>
      <c r="G402" s="7"/>
      <c r="H402" s="264"/>
      <c r="I402" s="7"/>
      <c r="J402" s="7"/>
      <c r="K402" s="7"/>
      <c r="L402" s="7"/>
      <c r="M402" s="7"/>
      <c r="N402" s="7"/>
      <c r="O402" s="7"/>
      <c r="P402" s="7"/>
      <c r="Q402" s="7"/>
      <c r="R402" s="265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 ht="18.0" customHeight="1">
      <c r="A403" s="7"/>
      <c r="B403" s="7"/>
      <c r="C403" s="7"/>
      <c r="D403" s="7"/>
      <c r="E403" s="7"/>
      <c r="F403" s="7"/>
      <c r="G403" s="7"/>
      <c r="H403" s="264"/>
      <c r="I403" s="7"/>
      <c r="J403" s="7"/>
      <c r="K403" s="7"/>
      <c r="L403" s="7"/>
      <c r="M403" s="7"/>
      <c r="N403" s="7"/>
      <c r="O403" s="7"/>
      <c r="P403" s="7"/>
      <c r="Q403" s="7"/>
      <c r="R403" s="265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 ht="18.0" customHeight="1">
      <c r="A404" s="7"/>
      <c r="B404" s="7"/>
      <c r="C404" s="7"/>
      <c r="D404" s="7"/>
      <c r="E404" s="7"/>
      <c r="F404" s="7"/>
      <c r="G404" s="7"/>
      <c r="H404" s="264"/>
      <c r="I404" s="7"/>
      <c r="J404" s="7"/>
      <c r="K404" s="7"/>
      <c r="L404" s="7"/>
      <c r="M404" s="7"/>
      <c r="N404" s="7"/>
      <c r="O404" s="7"/>
      <c r="P404" s="7"/>
      <c r="Q404" s="7"/>
      <c r="R404" s="265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 ht="18.0" customHeight="1">
      <c r="A405" s="7"/>
      <c r="B405" s="7"/>
      <c r="C405" s="7"/>
      <c r="D405" s="7"/>
      <c r="E405" s="7"/>
      <c r="F405" s="7"/>
      <c r="G405" s="7"/>
      <c r="H405" s="264"/>
      <c r="I405" s="7"/>
      <c r="J405" s="7"/>
      <c r="K405" s="7"/>
      <c r="L405" s="7"/>
      <c r="M405" s="7"/>
      <c r="N405" s="7"/>
      <c r="O405" s="7"/>
      <c r="P405" s="7"/>
      <c r="Q405" s="7"/>
      <c r="R405" s="265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 ht="18.0" customHeight="1">
      <c r="A406" s="7"/>
      <c r="B406" s="7"/>
      <c r="C406" s="7"/>
      <c r="D406" s="7"/>
      <c r="E406" s="7"/>
      <c r="F406" s="7"/>
      <c r="G406" s="7"/>
      <c r="H406" s="264"/>
      <c r="I406" s="7"/>
      <c r="J406" s="7"/>
      <c r="K406" s="7"/>
      <c r="L406" s="7"/>
      <c r="M406" s="7"/>
      <c r="N406" s="7"/>
      <c r="O406" s="7"/>
      <c r="P406" s="7"/>
      <c r="Q406" s="7"/>
      <c r="R406" s="265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 ht="18.0" customHeight="1">
      <c r="A407" s="7"/>
      <c r="B407" s="7"/>
      <c r="C407" s="7"/>
      <c r="D407" s="7"/>
      <c r="E407" s="7"/>
      <c r="F407" s="7"/>
      <c r="G407" s="7"/>
      <c r="H407" s="264"/>
      <c r="I407" s="7"/>
      <c r="J407" s="7"/>
      <c r="K407" s="7"/>
      <c r="L407" s="7"/>
      <c r="M407" s="7"/>
      <c r="N407" s="7"/>
      <c r="O407" s="7"/>
      <c r="P407" s="7"/>
      <c r="Q407" s="7"/>
      <c r="R407" s="265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 ht="18.0" customHeight="1">
      <c r="A408" s="7"/>
      <c r="B408" s="7"/>
      <c r="C408" s="7"/>
      <c r="D408" s="7"/>
      <c r="E408" s="7"/>
      <c r="F408" s="7"/>
      <c r="G408" s="7"/>
      <c r="H408" s="264"/>
      <c r="I408" s="7"/>
      <c r="J408" s="7"/>
      <c r="K408" s="7"/>
      <c r="L408" s="7"/>
      <c r="M408" s="7"/>
      <c r="N408" s="7"/>
      <c r="O408" s="7"/>
      <c r="P408" s="7"/>
      <c r="Q408" s="7"/>
      <c r="R408" s="265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 ht="18.0" customHeight="1">
      <c r="A409" s="7"/>
      <c r="B409" s="7"/>
      <c r="C409" s="7"/>
      <c r="D409" s="7"/>
      <c r="E409" s="7"/>
      <c r="F409" s="7"/>
      <c r="G409" s="7"/>
      <c r="H409" s="264"/>
      <c r="I409" s="7"/>
      <c r="J409" s="7"/>
      <c r="K409" s="7"/>
      <c r="L409" s="7"/>
      <c r="M409" s="7"/>
      <c r="N409" s="7"/>
      <c r="O409" s="7"/>
      <c r="P409" s="7"/>
      <c r="Q409" s="7"/>
      <c r="R409" s="265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 ht="18.0" customHeight="1">
      <c r="A410" s="7"/>
      <c r="B410" s="7"/>
      <c r="C410" s="7"/>
      <c r="D410" s="7"/>
      <c r="E410" s="7"/>
      <c r="F410" s="7"/>
      <c r="G410" s="7"/>
      <c r="H410" s="264"/>
      <c r="I410" s="7"/>
      <c r="J410" s="7"/>
      <c r="K410" s="7"/>
      <c r="L410" s="7"/>
      <c r="M410" s="7"/>
      <c r="N410" s="7"/>
      <c r="O410" s="7"/>
      <c r="P410" s="7"/>
      <c r="Q410" s="7"/>
      <c r="R410" s="265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 ht="18.0" customHeight="1">
      <c r="A411" s="7"/>
      <c r="B411" s="7"/>
      <c r="C411" s="7"/>
      <c r="D411" s="7"/>
      <c r="E411" s="7"/>
      <c r="F411" s="7"/>
      <c r="G411" s="7"/>
      <c r="H411" s="264"/>
      <c r="I411" s="7"/>
      <c r="J411" s="7"/>
      <c r="K411" s="7"/>
      <c r="L411" s="7"/>
      <c r="M411" s="7"/>
      <c r="N411" s="7"/>
      <c r="O411" s="7"/>
      <c r="P411" s="7"/>
      <c r="Q411" s="7"/>
      <c r="R411" s="265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 ht="18.0" customHeight="1">
      <c r="A412" s="7"/>
      <c r="B412" s="7"/>
      <c r="C412" s="7"/>
      <c r="D412" s="7"/>
      <c r="E412" s="7"/>
      <c r="F412" s="7"/>
      <c r="G412" s="7"/>
      <c r="H412" s="264"/>
      <c r="I412" s="7"/>
      <c r="J412" s="7"/>
      <c r="K412" s="7"/>
      <c r="L412" s="7"/>
      <c r="M412" s="7"/>
      <c r="N412" s="7"/>
      <c r="O412" s="7"/>
      <c r="P412" s="7"/>
      <c r="Q412" s="7"/>
      <c r="R412" s="265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 ht="18.0" customHeight="1">
      <c r="A413" s="7"/>
      <c r="B413" s="7"/>
      <c r="C413" s="7"/>
      <c r="D413" s="7"/>
      <c r="E413" s="7"/>
      <c r="F413" s="7"/>
      <c r="G413" s="7"/>
      <c r="H413" s="264"/>
      <c r="I413" s="7"/>
      <c r="J413" s="7"/>
      <c r="K413" s="7"/>
      <c r="L413" s="7"/>
      <c r="M413" s="7"/>
      <c r="N413" s="7"/>
      <c r="O413" s="7"/>
      <c r="P413" s="7"/>
      <c r="Q413" s="7"/>
      <c r="R413" s="265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 ht="18.0" customHeight="1">
      <c r="A414" s="7"/>
      <c r="B414" s="7"/>
      <c r="C414" s="7"/>
      <c r="D414" s="7"/>
      <c r="E414" s="7"/>
      <c r="F414" s="7"/>
      <c r="G414" s="7"/>
      <c r="H414" s="264"/>
      <c r="I414" s="7"/>
      <c r="J414" s="7"/>
      <c r="K414" s="7"/>
      <c r="L414" s="7"/>
      <c r="M414" s="7"/>
      <c r="N414" s="7"/>
      <c r="O414" s="7"/>
      <c r="P414" s="7"/>
      <c r="Q414" s="7"/>
      <c r="R414" s="265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 ht="18.0" customHeight="1">
      <c r="A415" s="7"/>
      <c r="B415" s="7"/>
      <c r="C415" s="7"/>
      <c r="D415" s="7"/>
      <c r="E415" s="7"/>
      <c r="F415" s="7"/>
      <c r="G415" s="7"/>
      <c r="H415" s="264"/>
      <c r="I415" s="7"/>
      <c r="J415" s="7"/>
      <c r="K415" s="7"/>
      <c r="L415" s="7"/>
      <c r="M415" s="7"/>
      <c r="N415" s="7"/>
      <c r="O415" s="7"/>
      <c r="P415" s="7"/>
      <c r="Q415" s="7"/>
      <c r="R415" s="265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 ht="18.0" customHeight="1">
      <c r="A416" s="7"/>
      <c r="B416" s="7"/>
      <c r="C416" s="7"/>
      <c r="D416" s="7"/>
      <c r="E416" s="7"/>
      <c r="F416" s="7"/>
      <c r="G416" s="7"/>
      <c r="H416" s="264"/>
      <c r="I416" s="7"/>
      <c r="J416" s="7"/>
      <c r="K416" s="7"/>
      <c r="L416" s="7"/>
      <c r="M416" s="7"/>
      <c r="N416" s="7"/>
      <c r="O416" s="7"/>
      <c r="P416" s="7"/>
      <c r="Q416" s="7"/>
      <c r="R416" s="265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 ht="18.0" customHeight="1">
      <c r="A417" s="7"/>
      <c r="B417" s="7"/>
      <c r="C417" s="7"/>
      <c r="D417" s="7"/>
      <c r="E417" s="7"/>
      <c r="F417" s="7"/>
      <c r="G417" s="7"/>
      <c r="H417" s="264"/>
      <c r="I417" s="7"/>
      <c r="J417" s="7"/>
      <c r="K417" s="7"/>
      <c r="L417" s="7"/>
      <c r="M417" s="7"/>
      <c r="N417" s="7"/>
      <c r="O417" s="7"/>
      <c r="P417" s="7"/>
      <c r="Q417" s="7"/>
      <c r="R417" s="265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 ht="18.0" customHeight="1">
      <c r="A418" s="7"/>
      <c r="B418" s="7"/>
      <c r="C418" s="7"/>
      <c r="D418" s="7"/>
      <c r="E418" s="7"/>
      <c r="F418" s="7"/>
      <c r="G418" s="7"/>
      <c r="H418" s="264"/>
      <c r="I418" s="7"/>
      <c r="J418" s="7"/>
      <c r="K418" s="7"/>
      <c r="L418" s="7"/>
      <c r="M418" s="7"/>
      <c r="N418" s="7"/>
      <c r="O418" s="7"/>
      <c r="P418" s="7"/>
      <c r="Q418" s="7"/>
      <c r="R418" s="265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 ht="18.0" customHeight="1">
      <c r="A419" s="7"/>
      <c r="B419" s="7"/>
      <c r="C419" s="7"/>
      <c r="D419" s="7"/>
      <c r="E419" s="7"/>
      <c r="F419" s="7"/>
      <c r="G419" s="7"/>
      <c r="H419" s="264"/>
      <c r="I419" s="7"/>
      <c r="J419" s="7"/>
      <c r="K419" s="7"/>
      <c r="L419" s="7"/>
      <c r="M419" s="7"/>
      <c r="N419" s="7"/>
      <c r="O419" s="7"/>
      <c r="P419" s="7"/>
      <c r="Q419" s="7"/>
      <c r="R419" s="265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 ht="18.0" customHeight="1">
      <c r="A420" s="7"/>
      <c r="B420" s="7"/>
      <c r="C420" s="7"/>
      <c r="D420" s="7"/>
      <c r="E420" s="7"/>
      <c r="F420" s="7"/>
      <c r="G420" s="7"/>
      <c r="H420" s="264"/>
      <c r="I420" s="7"/>
      <c r="J420" s="7"/>
      <c r="K420" s="7"/>
      <c r="L420" s="7"/>
      <c r="M420" s="7"/>
      <c r="N420" s="7"/>
      <c r="O420" s="7"/>
      <c r="P420" s="7"/>
      <c r="Q420" s="7"/>
      <c r="R420" s="265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 ht="18.0" customHeight="1">
      <c r="A421" s="7"/>
      <c r="B421" s="7"/>
      <c r="C421" s="7"/>
      <c r="D421" s="7"/>
      <c r="E421" s="7"/>
      <c r="F421" s="7"/>
      <c r="G421" s="7"/>
      <c r="H421" s="264"/>
      <c r="I421" s="7"/>
      <c r="J421" s="7"/>
      <c r="K421" s="7"/>
      <c r="L421" s="7"/>
      <c r="M421" s="7"/>
      <c r="N421" s="7"/>
      <c r="O421" s="7"/>
      <c r="P421" s="7"/>
      <c r="Q421" s="7"/>
      <c r="R421" s="265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 ht="18.0" customHeight="1">
      <c r="A422" s="7"/>
      <c r="B422" s="7"/>
      <c r="C422" s="7"/>
      <c r="D422" s="7"/>
      <c r="E422" s="7"/>
      <c r="F422" s="7"/>
      <c r="G422" s="7"/>
      <c r="H422" s="264"/>
      <c r="I422" s="7"/>
      <c r="J422" s="7"/>
      <c r="K422" s="7"/>
      <c r="L422" s="7"/>
      <c r="M422" s="7"/>
      <c r="N422" s="7"/>
      <c r="O422" s="7"/>
      <c r="P422" s="7"/>
      <c r="Q422" s="7"/>
      <c r="R422" s="265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 ht="18.0" customHeight="1">
      <c r="A423" s="7"/>
      <c r="B423" s="7"/>
      <c r="C423" s="7"/>
      <c r="D423" s="7"/>
      <c r="E423" s="7"/>
      <c r="F423" s="7"/>
      <c r="G423" s="7"/>
      <c r="H423" s="264"/>
      <c r="I423" s="7"/>
      <c r="J423" s="7"/>
      <c r="K423" s="7"/>
      <c r="L423" s="7"/>
      <c r="M423" s="7"/>
      <c r="N423" s="7"/>
      <c r="O423" s="7"/>
      <c r="P423" s="7"/>
      <c r="Q423" s="7"/>
      <c r="R423" s="265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 ht="18.0" customHeight="1">
      <c r="A424" s="7"/>
      <c r="B424" s="7"/>
      <c r="C424" s="7"/>
      <c r="D424" s="7"/>
      <c r="E424" s="7"/>
      <c r="F424" s="7"/>
      <c r="G424" s="7"/>
      <c r="H424" s="264"/>
      <c r="I424" s="7"/>
      <c r="J424" s="7"/>
      <c r="K424" s="7"/>
      <c r="L424" s="7"/>
      <c r="M424" s="7"/>
      <c r="N424" s="7"/>
      <c r="O424" s="7"/>
      <c r="P424" s="7"/>
      <c r="Q424" s="7"/>
      <c r="R424" s="265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 ht="18.0" customHeight="1">
      <c r="A425" s="7"/>
      <c r="B425" s="7"/>
      <c r="C425" s="7"/>
      <c r="D425" s="7"/>
      <c r="E425" s="7"/>
      <c r="F425" s="7"/>
      <c r="G425" s="7"/>
      <c r="H425" s="264"/>
      <c r="I425" s="7"/>
      <c r="J425" s="7"/>
      <c r="K425" s="7"/>
      <c r="L425" s="7"/>
      <c r="M425" s="7"/>
      <c r="N425" s="7"/>
      <c r="O425" s="7"/>
      <c r="P425" s="7"/>
      <c r="Q425" s="7"/>
      <c r="R425" s="265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 ht="18.0" customHeight="1">
      <c r="A426" s="7"/>
      <c r="B426" s="7"/>
      <c r="C426" s="7"/>
      <c r="D426" s="7"/>
      <c r="E426" s="7"/>
      <c r="F426" s="7"/>
      <c r="G426" s="7"/>
      <c r="H426" s="264"/>
      <c r="I426" s="7"/>
      <c r="J426" s="7"/>
      <c r="K426" s="7"/>
      <c r="L426" s="7"/>
      <c r="M426" s="7"/>
      <c r="N426" s="7"/>
      <c r="O426" s="7"/>
      <c r="P426" s="7"/>
      <c r="Q426" s="7"/>
      <c r="R426" s="265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 ht="18.0" customHeight="1">
      <c r="A427" s="7"/>
      <c r="B427" s="7"/>
      <c r="C427" s="7"/>
      <c r="D427" s="7"/>
      <c r="E427" s="7"/>
      <c r="F427" s="7"/>
      <c r="G427" s="7"/>
      <c r="H427" s="264"/>
      <c r="I427" s="7"/>
      <c r="J427" s="7"/>
      <c r="K427" s="7"/>
      <c r="L427" s="7"/>
      <c r="M427" s="7"/>
      <c r="N427" s="7"/>
      <c r="O427" s="7"/>
      <c r="P427" s="7"/>
      <c r="Q427" s="7"/>
      <c r="R427" s="265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 ht="18.0" customHeight="1">
      <c r="A428" s="7"/>
      <c r="B428" s="7"/>
      <c r="C428" s="7"/>
      <c r="D428" s="7"/>
      <c r="E428" s="7"/>
      <c r="F428" s="7"/>
      <c r="G428" s="7"/>
      <c r="H428" s="264"/>
      <c r="I428" s="7"/>
      <c r="J428" s="7"/>
      <c r="K428" s="7"/>
      <c r="L428" s="7"/>
      <c r="M428" s="7"/>
      <c r="N428" s="7"/>
      <c r="O428" s="7"/>
      <c r="P428" s="7"/>
      <c r="Q428" s="7"/>
      <c r="R428" s="265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 ht="18.0" customHeight="1">
      <c r="A429" s="7"/>
      <c r="B429" s="7"/>
      <c r="C429" s="7"/>
      <c r="D429" s="7"/>
      <c r="E429" s="7"/>
      <c r="F429" s="7"/>
      <c r="G429" s="7"/>
      <c r="H429" s="264"/>
      <c r="I429" s="7"/>
      <c r="J429" s="7"/>
      <c r="K429" s="7"/>
      <c r="L429" s="7"/>
      <c r="M429" s="7"/>
      <c r="N429" s="7"/>
      <c r="O429" s="7"/>
      <c r="P429" s="7"/>
      <c r="Q429" s="7"/>
      <c r="R429" s="265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 ht="18.0" customHeight="1">
      <c r="A430" s="7"/>
      <c r="B430" s="7"/>
      <c r="C430" s="7"/>
      <c r="D430" s="7"/>
      <c r="E430" s="7"/>
      <c r="F430" s="7"/>
      <c r="G430" s="7"/>
      <c r="H430" s="264"/>
      <c r="I430" s="7"/>
      <c r="J430" s="7"/>
      <c r="K430" s="7"/>
      <c r="L430" s="7"/>
      <c r="M430" s="7"/>
      <c r="N430" s="7"/>
      <c r="O430" s="7"/>
      <c r="P430" s="7"/>
      <c r="Q430" s="7"/>
      <c r="R430" s="265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 ht="18.0" customHeight="1">
      <c r="A431" s="7"/>
      <c r="B431" s="7"/>
      <c r="C431" s="7"/>
      <c r="D431" s="7"/>
      <c r="E431" s="7"/>
      <c r="F431" s="7"/>
      <c r="G431" s="7"/>
      <c r="H431" s="264"/>
      <c r="I431" s="7"/>
      <c r="J431" s="7"/>
      <c r="K431" s="7"/>
      <c r="L431" s="7"/>
      <c r="M431" s="7"/>
      <c r="N431" s="7"/>
      <c r="O431" s="7"/>
      <c r="P431" s="7"/>
      <c r="Q431" s="7"/>
      <c r="R431" s="265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 ht="18.0" customHeight="1">
      <c r="A432" s="7"/>
      <c r="B432" s="7"/>
      <c r="C432" s="7"/>
      <c r="D432" s="7"/>
      <c r="E432" s="7"/>
      <c r="F432" s="7"/>
      <c r="G432" s="7"/>
      <c r="H432" s="264"/>
      <c r="I432" s="7"/>
      <c r="J432" s="7"/>
      <c r="K432" s="7"/>
      <c r="L432" s="7"/>
      <c r="M432" s="7"/>
      <c r="N432" s="7"/>
      <c r="O432" s="7"/>
      <c r="P432" s="7"/>
      <c r="Q432" s="7"/>
      <c r="R432" s="265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 ht="18.0" customHeight="1">
      <c r="A433" s="7"/>
      <c r="B433" s="7"/>
      <c r="C433" s="7"/>
      <c r="D433" s="7"/>
      <c r="E433" s="7"/>
      <c r="F433" s="7"/>
      <c r="G433" s="7"/>
      <c r="H433" s="264"/>
      <c r="I433" s="7"/>
      <c r="J433" s="7"/>
      <c r="K433" s="7"/>
      <c r="L433" s="7"/>
      <c r="M433" s="7"/>
      <c r="N433" s="7"/>
      <c r="O433" s="7"/>
      <c r="P433" s="7"/>
      <c r="Q433" s="7"/>
      <c r="R433" s="265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 ht="18.0" customHeight="1">
      <c r="A434" s="7"/>
      <c r="B434" s="7"/>
      <c r="C434" s="7"/>
      <c r="D434" s="7"/>
      <c r="E434" s="7"/>
      <c r="F434" s="7"/>
      <c r="G434" s="7"/>
      <c r="H434" s="264"/>
      <c r="I434" s="7"/>
      <c r="J434" s="7"/>
      <c r="K434" s="7"/>
      <c r="L434" s="7"/>
      <c r="M434" s="7"/>
      <c r="N434" s="7"/>
      <c r="O434" s="7"/>
      <c r="P434" s="7"/>
      <c r="Q434" s="7"/>
      <c r="R434" s="265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 ht="18.0" customHeight="1">
      <c r="A435" s="7"/>
      <c r="B435" s="7"/>
      <c r="C435" s="7"/>
      <c r="D435" s="7"/>
      <c r="E435" s="7"/>
      <c r="F435" s="7"/>
      <c r="G435" s="7"/>
      <c r="H435" s="264"/>
      <c r="I435" s="7"/>
      <c r="J435" s="7"/>
      <c r="K435" s="7"/>
      <c r="L435" s="7"/>
      <c r="M435" s="7"/>
      <c r="N435" s="7"/>
      <c r="O435" s="7"/>
      <c r="P435" s="7"/>
      <c r="Q435" s="7"/>
      <c r="R435" s="265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 ht="18.0" customHeight="1">
      <c r="A436" s="7"/>
      <c r="B436" s="7"/>
      <c r="C436" s="7"/>
      <c r="D436" s="7"/>
      <c r="E436" s="7"/>
      <c r="F436" s="7"/>
      <c r="G436" s="7"/>
      <c r="H436" s="264"/>
      <c r="I436" s="7"/>
      <c r="J436" s="7"/>
      <c r="K436" s="7"/>
      <c r="L436" s="7"/>
      <c r="M436" s="7"/>
      <c r="N436" s="7"/>
      <c r="O436" s="7"/>
      <c r="P436" s="7"/>
      <c r="Q436" s="7"/>
      <c r="R436" s="265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 ht="18.0" customHeight="1">
      <c r="A437" s="7"/>
      <c r="B437" s="7"/>
      <c r="C437" s="7"/>
      <c r="D437" s="7"/>
      <c r="E437" s="7"/>
      <c r="F437" s="7"/>
      <c r="G437" s="7"/>
      <c r="H437" s="264"/>
      <c r="I437" s="7"/>
      <c r="J437" s="7"/>
      <c r="K437" s="7"/>
      <c r="L437" s="7"/>
      <c r="M437" s="7"/>
      <c r="N437" s="7"/>
      <c r="O437" s="7"/>
      <c r="P437" s="7"/>
      <c r="Q437" s="7"/>
      <c r="R437" s="265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 ht="18.0" customHeight="1">
      <c r="A438" s="7"/>
      <c r="B438" s="7"/>
      <c r="C438" s="7"/>
      <c r="D438" s="7"/>
      <c r="E438" s="7"/>
      <c r="F438" s="7"/>
      <c r="G438" s="7"/>
      <c r="H438" s="264"/>
      <c r="I438" s="7"/>
      <c r="J438" s="7"/>
      <c r="K438" s="7"/>
      <c r="L438" s="7"/>
      <c r="M438" s="7"/>
      <c r="N438" s="7"/>
      <c r="O438" s="7"/>
      <c r="P438" s="7"/>
      <c r="Q438" s="7"/>
      <c r="R438" s="265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 ht="18.0" customHeight="1">
      <c r="A439" s="7"/>
      <c r="B439" s="7"/>
      <c r="C439" s="7"/>
      <c r="D439" s="7"/>
      <c r="E439" s="7"/>
      <c r="F439" s="7"/>
      <c r="G439" s="7"/>
      <c r="H439" s="264"/>
      <c r="I439" s="7"/>
      <c r="J439" s="7"/>
      <c r="K439" s="7"/>
      <c r="L439" s="7"/>
      <c r="M439" s="7"/>
      <c r="N439" s="7"/>
      <c r="O439" s="7"/>
      <c r="P439" s="7"/>
      <c r="Q439" s="7"/>
      <c r="R439" s="265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 ht="18.0" customHeight="1">
      <c r="A440" s="7"/>
      <c r="B440" s="7"/>
      <c r="C440" s="7"/>
      <c r="D440" s="7"/>
      <c r="E440" s="7"/>
      <c r="F440" s="7"/>
      <c r="G440" s="7"/>
      <c r="H440" s="264"/>
      <c r="I440" s="7"/>
      <c r="J440" s="7"/>
      <c r="K440" s="7"/>
      <c r="L440" s="7"/>
      <c r="M440" s="7"/>
      <c r="N440" s="7"/>
      <c r="O440" s="7"/>
      <c r="P440" s="7"/>
      <c r="Q440" s="7"/>
      <c r="R440" s="265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 ht="18.0" customHeight="1">
      <c r="A441" s="7"/>
      <c r="B441" s="7"/>
      <c r="C441" s="7"/>
      <c r="D441" s="7"/>
      <c r="E441" s="7"/>
      <c r="F441" s="7"/>
      <c r="G441" s="7"/>
      <c r="H441" s="264"/>
      <c r="I441" s="7"/>
      <c r="J441" s="7"/>
      <c r="K441" s="7"/>
      <c r="L441" s="7"/>
      <c r="M441" s="7"/>
      <c r="N441" s="7"/>
      <c r="O441" s="7"/>
      <c r="P441" s="7"/>
      <c r="Q441" s="7"/>
      <c r="R441" s="265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 ht="18.0" customHeight="1">
      <c r="A442" s="7"/>
      <c r="B442" s="7"/>
      <c r="C442" s="7"/>
      <c r="D442" s="7"/>
      <c r="E442" s="7"/>
      <c r="F442" s="7"/>
      <c r="G442" s="7"/>
      <c r="H442" s="264"/>
      <c r="I442" s="7"/>
      <c r="J442" s="7"/>
      <c r="K442" s="7"/>
      <c r="L442" s="7"/>
      <c r="M442" s="7"/>
      <c r="N442" s="7"/>
      <c r="O442" s="7"/>
      <c r="P442" s="7"/>
      <c r="Q442" s="7"/>
      <c r="R442" s="265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 ht="18.0" customHeight="1">
      <c r="A443" s="7"/>
      <c r="B443" s="7"/>
      <c r="C443" s="7"/>
      <c r="D443" s="7"/>
      <c r="E443" s="7"/>
      <c r="F443" s="7"/>
      <c r="G443" s="7"/>
      <c r="H443" s="264"/>
      <c r="I443" s="7"/>
      <c r="J443" s="7"/>
      <c r="K443" s="7"/>
      <c r="L443" s="7"/>
      <c r="M443" s="7"/>
      <c r="N443" s="7"/>
      <c r="O443" s="7"/>
      <c r="P443" s="7"/>
      <c r="Q443" s="7"/>
      <c r="R443" s="265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 ht="18.0" customHeight="1">
      <c r="A444" s="7"/>
      <c r="B444" s="7"/>
      <c r="C444" s="7"/>
      <c r="D444" s="7"/>
      <c r="E444" s="7"/>
      <c r="F444" s="7"/>
      <c r="G444" s="7"/>
      <c r="H444" s="264"/>
      <c r="I444" s="7"/>
      <c r="J444" s="7"/>
      <c r="K444" s="7"/>
      <c r="L444" s="7"/>
      <c r="M444" s="7"/>
      <c r="N444" s="7"/>
      <c r="O444" s="7"/>
      <c r="P444" s="7"/>
      <c r="Q444" s="7"/>
      <c r="R444" s="265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 ht="18.0" customHeight="1">
      <c r="A445" s="7"/>
      <c r="B445" s="7"/>
      <c r="C445" s="7"/>
      <c r="D445" s="7"/>
      <c r="E445" s="7"/>
      <c r="F445" s="7"/>
      <c r="G445" s="7"/>
      <c r="H445" s="264"/>
      <c r="I445" s="7"/>
      <c r="J445" s="7"/>
      <c r="K445" s="7"/>
      <c r="L445" s="7"/>
      <c r="M445" s="7"/>
      <c r="N445" s="7"/>
      <c r="O445" s="7"/>
      <c r="P445" s="7"/>
      <c r="Q445" s="7"/>
      <c r="R445" s="265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 ht="18.0" customHeight="1">
      <c r="A446" s="7"/>
      <c r="B446" s="7"/>
      <c r="C446" s="7"/>
      <c r="D446" s="7"/>
      <c r="E446" s="7"/>
      <c r="F446" s="7"/>
      <c r="G446" s="7"/>
      <c r="H446" s="264"/>
      <c r="I446" s="7"/>
      <c r="J446" s="7"/>
      <c r="K446" s="7"/>
      <c r="L446" s="7"/>
      <c r="M446" s="7"/>
      <c r="N446" s="7"/>
      <c r="O446" s="7"/>
      <c r="P446" s="7"/>
      <c r="Q446" s="7"/>
      <c r="R446" s="265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 ht="18.0" customHeight="1">
      <c r="A447" s="7"/>
      <c r="B447" s="7"/>
      <c r="C447" s="7"/>
      <c r="D447" s="7"/>
      <c r="E447" s="7"/>
      <c r="F447" s="7"/>
      <c r="G447" s="7"/>
      <c r="H447" s="264"/>
      <c r="I447" s="7"/>
      <c r="J447" s="7"/>
      <c r="K447" s="7"/>
      <c r="L447" s="7"/>
      <c r="M447" s="7"/>
      <c r="N447" s="7"/>
      <c r="O447" s="7"/>
      <c r="P447" s="7"/>
      <c r="Q447" s="7"/>
      <c r="R447" s="265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 ht="18.0" customHeight="1">
      <c r="A448" s="7"/>
      <c r="B448" s="7"/>
      <c r="C448" s="7"/>
      <c r="D448" s="7"/>
      <c r="E448" s="7"/>
      <c r="F448" s="7"/>
      <c r="G448" s="7"/>
      <c r="H448" s="264"/>
      <c r="I448" s="7"/>
      <c r="J448" s="7"/>
      <c r="K448" s="7"/>
      <c r="L448" s="7"/>
      <c r="M448" s="7"/>
      <c r="N448" s="7"/>
      <c r="O448" s="7"/>
      <c r="P448" s="7"/>
      <c r="Q448" s="7"/>
      <c r="R448" s="265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 ht="18.0" customHeight="1">
      <c r="A449" s="7"/>
      <c r="B449" s="7"/>
      <c r="C449" s="7"/>
      <c r="D449" s="7"/>
      <c r="E449" s="7"/>
      <c r="F449" s="7"/>
      <c r="G449" s="7"/>
      <c r="H449" s="264"/>
      <c r="I449" s="7"/>
      <c r="J449" s="7"/>
      <c r="K449" s="7"/>
      <c r="L449" s="7"/>
      <c r="M449" s="7"/>
      <c r="N449" s="7"/>
      <c r="O449" s="7"/>
      <c r="P449" s="7"/>
      <c r="Q449" s="7"/>
      <c r="R449" s="265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 ht="18.0" customHeight="1">
      <c r="A450" s="7"/>
      <c r="B450" s="7"/>
      <c r="C450" s="7"/>
      <c r="D450" s="7"/>
      <c r="E450" s="7"/>
      <c r="F450" s="7"/>
      <c r="G450" s="7"/>
      <c r="H450" s="264"/>
      <c r="I450" s="7"/>
      <c r="J450" s="7"/>
      <c r="K450" s="7"/>
      <c r="L450" s="7"/>
      <c r="M450" s="7"/>
      <c r="N450" s="7"/>
      <c r="O450" s="7"/>
      <c r="P450" s="7"/>
      <c r="Q450" s="7"/>
      <c r="R450" s="265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 ht="18.0" customHeight="1">
      <c r="A451" s="7"/>
      <c r="B451" s="7"/>
      <c r="C451" s="7"/>
      <c r="D451" s="7"/>
      <c r="E451" s="7"/>
      <c r="F451" s="7"/>
      <c r="G451" s="7"/>
      <c r="H451" s="264"/>
      <c r="I451" s="7"/>
      <c r="J451" s="7"/>
      <c r="K451" s="7"/>
      <c r="L451" s="7"/>
      <c r="M451" s="7"/>
      <c r="N451" s="7"/>
      <c r="O451" s="7"/>
      <c r="P451" s="7"/>
      <c r="Q451" s="7"/>
      <c r="R451" s="265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 ht="18.0" customHeight="1">
      <c r="A452" s="7"/>
      <c r="B452" s="7"/>
      <c r="C452" s="7"/>
      <c r="D452" s="7"/>
      <c r="E452" s="7"/>
      <c r="F452" s="7"/>
      <c r="G452" s="7"/>
      <c r="H452" s="264"/>
      <c r="I452" s="7"/>
      <c r="J452" s="7"/>
      <c r="K452" s="7"/>
      <c r="L452" s="7"/>
      <c r="M452" s="7"/>
      <c r="N452" s="7"/>
      <c r="O452" s="7"/>
      <c r="P452" s="7"/>
      <c r="Q452" s="7"/>
      <c r="R452" s="265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 ht="18.0" customHeight="1">
      <c r="A453" s="7"/>
      <c r="B453" s="7"/>
      <c r="C453" s="7"/>
      <c r="D453" s="7"/>
      <c r="E453" s="7"/>
      <c r="F453" s="7"/>
      <c r="G453" s="7"/>
      <c r="H453" s="264"/>
      <c r="I453" s="7"/>
      <c r="J453" s="7"/>
      <c r="K453" s="7"/>
      <c r="L453" s="7"/>
      <c r="M453" s="7"/>
      <c r="N453" s="7"/>
      <c r="O453" s="7"/>
      <c r="P453" s="7"/>
      <c r="Q453" s="7"/>
      <c r="R453" s="265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 ht="18.0" customHeight="1">
      <c r="A454" s="7"/>
      <c r="B454" s="7"/>
      <c r="C454" s="7"/>
      <c r="D454" s="7"/>
      <c r="E454" s="7"/>
      <c r="F454" s="7"/>
      <c r="G454" s="7"/>
      <c r="H454" s="264"/>
      <c r="I454" s="7"/>
      <c r="J454" s="7"/>
      <c r="K454" s="7"/>
      <c r="L454" s="7"/>
      <c r="M454" s="7"/>
      <c r="N454" s="7"/>
      <c r="O454" s="7"/>
      <c r="P454" s="7"/>
      <c r="Q454" s="7"/>
      <c r="R454" s="265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 ht="18.0" customHeight="1">
      <c r="A455" s="7"/>
      <c r="B455" s="7"/>
      <c r="C455" s="7"/>
      <c r="D455" s="7"/>
      <c r="E455" s="7"/>
      <c r="F455" s="7"/>
      <c r="G455" s="7"/>
      <c r="H455" s="264"/>
      <c r="I455" s="7"/>
      <c r="J455" s="7"/>
      <c r="K455" s="7"/>
      <c r="L455" s="7"/>
      <c r="M455" s="7"/>
      <c r="N455" s="7"/>
      <c r="O455" s="7"/>
      <c r="P455" s="7"/>
      <c r="Q455" s="7"/>
      <c r="R455" s="265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H7"/>
    <mergeCell ref="C22:D22"/>
    <mergeCell ref="E23:H23"/>
    <mergeCell ref="C28:E28"/>
    <mergeCell ref="C190:E190"/>
    <mergeCell ref="C213:E213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4.43" defaultRowHeight="15.0"/>
  <cols>
    <col customWidth="1" min="1" max="1" width="27.29"/>
    <col customWidth="1" min="2" max="3" width="22.29"/>
    <col customWidth="1" min="4" max="4" width="18.43"/>
    <col customWidth="1" min="5" max="5" width="21.43"/>
    <col customWidth="1" min="6" max="6" width="19.57"/>
    <col customWidth="1" min="7" max="7" width="20.57"/>
    <col customWidth="1" hidden="1" min="8" max="8" width="154.86"/>
    <col customWidth="1" hidden="1" min="9" max="9" width="17.57"/>
    <col customWidth="1" min="10" max="10" width="112.86"/>
    <col customWidth="1" min="11" max="11" width="12.29"/>
    <col customWidth="1" min="12" max="12" width="24.0"/>
    <col customWidth="1" min="13" max="13" width="18.14"/>
    <col customWidth="1" min="14" max="14" width="19.0"/>
    <col customWidth="1" min="15" max="17" width="9.14"/>
    <col customWidth="1" min="18" max="18" width="15.29"/>
    <col customWidth="1" min="19" max="19" width="36.71"/>
    <col customWidth="1" min="20" max="20" width="19.29"/>
    <col customWidth="1" min="21" max="21" width="19.14"/>
    <col customWidth="1" min="22" max="22" width="19.71"/>
    <col customWidth="1" min="23" max="23" width="16.43"/>
    <col customWidth="1" min="24" max="24" width="15.86"/>
    <col customWidth="1" min="25" max="25" width="18.71"/>
    <col customWidth="1" min="26" max="26" width="18.57"/>
    <col customWidth="1" min="27" max="32" width="9.14"/>
  </cols>
  <sheetData>
    <row r="1" ht="20.25" customHeight="1">
      <c r="A1" s="306" t="s">
        <v>53</v>
      </c>
      <c r="B1" s="307"/>
      <c r="C1" s="307"/>
      <c r="D1" s="307"/>
      <c r="E1" s="307"/>
      <c r="F1" s="307"/>
      <c r="G1" s="307"/>
      <c r="H1" s="308"/>
      <c r="I1" s="307"/>
      <c r="J1" s="307"/>
      <c r="K1" s="307"/>
      <c r="L1" s="309"/>
      <c r="M1" s="307"/>
      <c r="N1" s="310"/>
      <c r="O1" s="307"/>
      <c r="P1" s="307"/>
      <c r="Q1" s="307"/>
      <c r="R1" s="307"/>
      <c r="S1" s="307"/>
      <c r="T1" s="311"/>
      <c r="U1" s="309"/>
      <c r="V1" s="309"/>
      <c r="W1" s="307"/>
      <c r="X1" s="309"/>
      <c r="Y1" s="307"/>
      <c r="Z1" s="307"/>
      <c r="AA1" s="307"/>
      <c r="AB1" s="307"/>
      <c r="AC1" s="307"/>
      <c r="AD1" s="307"/>
      <c r="AE1" s="307"/>
      <c r="AF1" s="307"/>
    </row>
    <row r="2" ht="20.25" customHeight="1">
      <c r="A2" s="311"/>
      <c r="B2" s="307"/>
      <c r="C2" s="307"/>
      <c r="D2" s="307"/>
      <c r="E2" s="307"/>
      <c r="F2" s="307"/>
      <c r="G2" s="307"/>
      <c r="H2" s="308"/>
      <c r="I2" s="307"/>
      <c r="J2" s="307"/>
      <c r="K2" s="307"/>
      <c r="L2" s="309"/>
      <c r="M2" s="307"/>
      <c r="N2" s="310"/>
      <c r="O2" s="307"/>
      <c r="P2" s="307"/>
      <c r="Q2" s="307"/>
      <c r="R2" s="307"/>
      <c r="S2" s="307"/>
      <c r="T2" s="311"/>
      <c r="U2" s="309"/>
      <c r="V2" s="309"/>
      <c r="W2" s="307"/>
      <c r="X2" s="309"/>
      <c r="Y2" s="307"/>
      <c r="Z2" s="307"/>
      <c r="AA2" s="307"/>
      <c r="AB2" s="307"/>
      <c r="AC2" s="307"/>
      <c r="AD2" s="307"/>
      <c r="AE2" s="307"/>
      <c r="AF2" s="307"/>
    </row>
    <row r="3" ht="20.25" customHeight="1">
      <c r="A3" s="306" t="s">
        <v>184</v>
      </c>
      <c r="B3" s="307"/>
      <c r="C3" s="307"/>
      <c r="D3" s="307"/>
      <c r="E3" s="307"/>
      <c r="F3" s="307"/>
      <c r="G3" s="307"/>
      <c r="H3" s="308"/>
      <c r="I3" s="307"/>
      <c r="J3" s="307"/>
      <c r="K3" s="307"/>
      <c r="L3" s="309"/>
      <c r="M3" s="307"/>
      <c r="N3" s="310"/>
      <c r="O3" s="307"/>
      <c r="P3" s="307"/>
      <c r="Q3" s="307"/>
      <c r="R3" s="307"/>
      <c r="S3" s="307"/>
      <c r="T3" s="311"/>
      <c r="U3" s="309"/>
      <c r="V3" s="309"/>
      <c r="W3" s="307"/>
      <c r="X3" s="309"/>
      <c r="Y3" s="307"/>
      <c r="Z3" s="307"/>
      <c r="AA3" s="307"/>
      <c r="AB3" s="307"/>
      <c r="AC3" s="307"/>
      <c r="AD3" s="307"/>
      <c r="AE3" s="307"/>
      <c r="AF3" s="307"/>
    </row>
    <row r="4" ht="22.5" customHeight="1">
      <c r="A4" s="311" t="s">
        <v>185</v>
      </c>
      <c r="B4" s="312" t="s">
        <v>186</v>
      </c>
      <c r="C4" s="307"/>
      <c r="D4" s="307"/>
      <c r="E4" s="307"/>
      <c r="F4" s="307"/>
      <c r="G4" s="307"/>
      <c r="H4" s="308"/>
      <c r="I4" s="307"/>
      <c r="J4" s="307"/>
      <c r="K4" s="307"/>
      <c r="L4" s="309"/>
      <c r="M4" s="307"/>
      <c r="N4" s="310"/>
      <c r="O4" s="307"/>
      <c r="P4" s="307"/>
      <c r="Q4" s="307"/>
      <c r="R4" s="307"/>
      <c r="S4" s="307"/>
      <c r="T4" s="311"/>
      <c r="U4" s="309"/>
      <c r="V4" s="309"/>
      <c r="W4" s="307"/>
      <c r="X4" s="309"/>
      <c r="Y4" s="307"/>
      <c r="Z4" s="307"/>
      <c r="AA4" s="307"/>
      <c r="AB4" s="307"/>
      <c r="AC4" s="307"/>
      <c r="AD4" s="307"/>
      <c r="AE4" s="307"/>
      <c r="AF4" s="307"/>
    </row>
    <row r="5" ht="21.0" customHeight="1">
      <c r="A5" s="311"/>
      <c r="B5" s="307"/>
      <c r="C5" s="307"/>
      <c r="D5" s="307"/>
      <c r="E5" s="307"/>
      <c r="F5" s="307"/>
      <c r="G5" s="307"/>
      <c r="H5" s="308"/>
      <c r="I5" s="307"/>
      <c r="J5" s="307"/>
      <c r="K5" s="307"/>
      <c r="L5" s="309"/>
      <c r="M5" s="307"/>
      <c r="N5" s="313"/>
      <c r="O5" s="307"/>
      <c r="P5" s="307"/>
      <c r="Q5" s="307"/>
      <c r="R5" s="307"/>
      <c r="S5" s="307"/>
      <c r="T5" s="311"/>
      <c r="U5" s="309"/>
      <c r="V5" s="309"/>
      <c r="W5" s="307"/>
      <c r="X5" s="309"/>
      <c r="Y5" s="307"/>
      <c r="Z5" s="307"/>
      <c r="AA5" s="307"/>
      <c r="AB5" s="307"/>
      <c r="AC5" s="307"/>
      <c r="AD5" s="307"/>
      <c r="AE5" s="307"/>
      <c r="AF5" s="307"/>
    </row>
    <row r="6" ht="61.5" customHeight="1">
      <c r="A6" s="314" t="s">
        <v>187</v>
      </c>
      <c r="B6" s="315" t="s">
        <v>188</v>
      </c>
      <c r="C6" s="316" t="s">
        <v>189</v>
      </c>
      <c r="D6" s="316" t="s">
        <v>190</v>
      </c>
      <c r="E6" s="316" t="s">
        <v>191</v>
      </c>
      <c r="F6" s="316" t="s">
        <v>192</v>
      </c>
      <c r="G6" s="317" t="s">
        <v>193</v>
      </c>
      <c r="H6" s="318" t="s">
        <v>12</v>
      </c>
      <c r="I6" s="319"/>
      <c r="J6" s="319" t="s">
        <v>12</v>
      </c>
      <c r="K6" s="319" t="s">
        <v>194</v>
      </c>
      <c r="L6" s="309" t="s">
        <v>195</v>
      </c>
      <c r="M6" s="307" t="s">
        <v>196</v>
      </c>
      <c r="N6" s="310"/>
      <c r="O6" s="307"/>
      <c r="P6" s="307"/>
      <c r="Q6" s="307"/>
      <c r="R6" s="307"/>
      <c r="S6" s="307"/>
      <c r="T6" s="320"/>
      <c r="U6" s="321" t="s">
        <v>195</v>
      </c>
      <c r="V6" s="321" t="s">
        <v>197</v>
      </c>
      <c r="W6" s="322" t="s">
        <v>198</v>
      </c>
      <c r="X6" s="321" t="s">
        <v>199</v>
      </c>
      <c r="Y6" s="323"/>
      <c r="Z6" s="323"/>
      <c r="AA6" s="307"/>
      <c r="AB6" s="307"/>
      <c r="AC6" s="307"/>
      <c r="AD6" s="307"/>
      <c r="AE6" s="307"/>
      <c r="AF6" s="307"/>
    </row>
    <row r="7" ht="26.25" customHeight="1">
      <c r="A7" s="324">
        <f>+'1-12'!I4</f>
        <v>44531</v>
      </c>
      <c r="B7" s="325">
        <f>+'1-12'!B303</f>
        <v>45405.016</v>
      </c>
      <c r="C7" s="325">
        <f>+'1-12'!C303</f>
        <v>42128.06568</v>
      </c>
      <c r="D7" s="325">
        <f>+'1-12'!D303</f>
        <v>0</v>
      </c>
      <c r="E7" s="325">
        <f>+'1-12'!E303</f>
        <v>221.4</v>
      </c>
      <c r="F7" s="325">
        <f>+'1-12'!H303</f>
        <v>1226.42583</v>
      </c>
      <c r="G7" s="325">
        <f>+'1-12'!I303</f>
        <v>1829.124493</v>
      </c>
      <c r="H7" s="162"/>
      <c r="I7" s="326"/>
      <c r="J7" s="319" t="s">
        <v>200</v>
      </c>
      <c r="K7" s="319">
        <v>8.0</v>
      </c>
      <c r="L7" s="309">
        <v>43301.659999999996</v>
      </c>
      <c r="M7" s="327">
        <f t="shared" ref="M7:M30" si="2">+C7+E7</f>
        <v>42349.46568</v>
      </c>
      <c r="N7" s="328">
        <f t="shared" ref="N7:N30" si="3">+M7/L7</f>
        <v>0.978010212</v>
      </c>
      <c r="O7" s="307"/>
      <c r="P7" s="329">
        <v>0.98</v>
      </c>
      <c r="Q7" s="307"/>
      <c r="R7" s="329">
        <f t="shared" ref="R7:R30" si="4">+N7-$P$7</f>
        <v>-0.001989787991</v>
      </c>
      <c r="S7" s="307"/>
      <c r="T7" s="320">
        <f t="shared" ref="T7:T18" si="5">+A7</f>
        <v>44531</v>
      </c>
      <c r="U7" s="330">
        <v>43301.659999999996</v>
      </c>
      <c r="V7" s="330" t="str">
        <f>+'1-12'!#REF!</f>
        <v>#ERROR!</v>
      </c>
      <c r="W7" s="331">
        <f>+'1-12'!J297</f>
        <v>369</v>
      </c>
      <c r="X7" s="330">
        <f>+'1-12'!J255</f>
        <v>0</v>
      </c>
      <c r="Y7" s="330" t="str">
        <f t="shared" ref="Y7:Y17" si="6">+V7+W7+X7</f>
        <v>#ERROR!</v>
      </c>
      <c r="Z7" s="332" t="str">
        <f t="shared" ref="Z7:Z17" si="7">+Y7/U7</f>
        <v>#ERROR!</v>
      </c>
      <c r="AA7" s="307"/>
      <c r="AB7" s="307"/>
      <c r="AC7" s="307"/>
      <c r="AD7" s="307"/>
      <c r="AE7" s="307"/>
      <c r="AF7" s="307"/>
    </row>
    <row r="8" ht="26.25" customHeight="1">
      <c r="A8" s="324">
        <f>+'2-12'!I4</f>
        <v>44532</v>
      </c>
      <c r="B8" s="325">
        <f>+'2-12'!B237</f>
        <v>31734.9539</v>
      </c>
      <c r="C8" s="325">
        <f>+'2-12'!C237</f>
        <v>28333.96424</v>
      </c>
      <c r="D8" s="325">
        <f>+'2-12'!D237</f>
        <v>494.321596</v>
      </c>
      <c r="E8" s="325">
        <f>+'2-12'!E237</f>
        <v>187.2</v>
      </c>
      <c r="F8" s="325">
        <f>+'2-12'!H237</f>
        <v>2123.367034</v>
      </c>
      <c r="G8" s="325">
        <f>+'2-12'!I237</f>
        <v>596.1010266</v>
      </c>
      <c r="H8" s="325" t="str">
        <f t="shared" ref="H8:I8" si="1">+#REF!</f>
        <v>#REF!</v>
      </c>
      <c r="I8" s="325" t="str">
        <f t="shared" si="1"/>
        <v>#REF!</v>
      </c>
      <c r="J8" s="333" t="s">
        <v>201</v>
      </c>
      <c r="K8" s="319">
        <v>6.0</v>
      </c>
      <c r="L8" s="309">
        <v>30534.27</v>
      </c>
      <c r="M8" s="327">
        <f t="shared" si="2"/>
        <v>28521.16424</v>
      </c>
      <c r="N8" s="328">
        <f t="shared" si="3"/>
        <v>0.9340706113</v>
      </c>
      <c r="O8" s="307"/>
      <c r="P8" s="307"/>
      <c r="Q8" s="307"/>
      <c r="R8" s="329">
        <f t="shared" si="4"/>
        <v>-0.04592938872</v>
      </c>
      <c r="S8" s="307"/>
      <c r="T8" s="320">
        <f t="shared" si="5"/>
        <v>44532</v>
      </c>
      <c r="U8" s="330">
        <v>30534.27</v>
      </c>
      <c r="V8" s="330" t="str">
        <f>+'2-12'!#REF!</f>
        <v>#ERROR!</v>
      </c>
      <c r="W8" s="331">
        <f>+'2-12'!J231</f>
        <v>312</v>
      </c>
      <c r="X8" s="330">
        <f>+'2-12'!J199</f>
        <v>494.321596</v>
      </c>
      <c r="Y8" s="330" t="str">
        <f t="shared" si="6"/>
        <v>#ERROR!</v>
      </c>
      <c r="Z8" s="332" t="str">
        <f t="shared" si="7"/>
        <v>#ERROR!</v>
      </c>
      <c r="AA8" s="307"/>
      <c r="AB8" s="307"/>
      <c r="AC8" s="307"/>
      <c r="AD8" s="307"/>
      <c r="AE8" s="307"/>
      <c r="AF8" s="307"/>
    </row>
    <row r="9" ht="26.25" customHeight="1">
      <c r="A9" s="324">
        <f>+'3-12'!I4</f>
        <v>44533</v>
      </c>
      <c r="B9" s="325">
        <f>+'3-12'!B256</f>
        <v>54027.6746</v>
      </c>
      <c r="C9" s="325">
        <f>+'3-12'!C256</f>
        <v>50468.73379</v>
      </c>
      <c r="D9" s="325">
        <f>+'3-12'!D256</f>
        <v>643.7208955</v>
      </c>
      <c r="E9" s="325">
        <f>+'3-12'!E256</f>
        <v>250.2</v>
      </c>
      <c r="F9" s="325">
        <f>+'3-12'!H256</f>
        <v>1541.777769</v>
      </c>
      <c r="G9" s="325">
        <f>+'3-12'!I256</f>
        <v>1123.242142</v>
      </c>
      <c r="H9" s="243"/>
      <c r="I9" s="326"/>
      <c r="J9" s="319" t="s">
        <v>202</v>
      </c>
      <c r="K9" s="319">
        <v>9.0</v>
      </c>
      <c r="L9" s="309">
        <v>51551.44</v>
      </c>
      <c r="M9" s="327">
        <f t="shared" si="2"/>
        <v>50718.93379</v>
      </c>
      <c r="N9" s="328">
        <f t="shared" si="3"/>
        <v>0.9838509612</v>
      </c>
      <c r="O9" s="307"/>
      <c r="P9" s="307"/>
      <c r="Q9" s="307"/>
      <c r="R9" s="329">
        <f t="shared" si="4"/>
        <v>0.003850961174</v>
      </c>
      <c r="S9" s="307"/>
      <c r="T9" s="320">
        <f t="shared" si="5"/>
        <v>44533</v>
      </c>
      <c r="U9" s="330">
        <v>51557.299999999996</v>
      </c>
      <c r="V9" s="330" t="str">
        <f>+'3-12'!#REF!</f>
        <v>#ERROR!</v>
      </c>
      <c r="W9" s="331">
        <f>+'3-12'!J250</f>
        <v>417</v>
      </c>
      <c r="X9" s="330">
        <f>+'3-12'!J214</f>
        <v>643.7208955</v>
      </c>
      <c r="Y9" s="330" t="str">
        <f t="shared" si="6"/>
        <v>#ERROR!</v>
      </c>
      <c r="Z9" s="332" t="str">
        <f t="shared" si="7"/>
        <v>#ERROR!</v>
      </c>
      <c r="AA9" s="307"/>
      <c r="AB9" s="307"/>
      <c r="AC9" s="307"/>
      <c r="AD9" s="307"/>
      <c r="AE9" s="307"/>
      <c r="AF9" s="307"/>
    </row>
    <row r="10" ht="26.25" customHeight="1">
      <c r="A10" s="324">
        <v>44534.0</v>
      </c>
      <c r="B10" s="325">
        <f>+'4-12'!B221</f>
        <v>25882.4472</v>
      </c>
      <c r="C10" s="325">
        <f>+'4-12'!C221</f>
        <v>21560.79494</v>
      </c>
      <c r="D10" s="325">
        <f>+'4-12'!D221</f>
        <v>255.94023</v>
      </c>
      <c r="E10" s="325">
        <f>+'4-12'!E221</f>
        <v>102</v>
      </c>
      <c r="F10" s="325">
        <f>+'4-12'!H221</f>
        <v>1539.174144</v>
      </c>
      <c r="G10" s="325">
        <f>+'4-12'!I221</f>
        <v>2424.537883</v>
      </c>
      <c r="H10" s="325" t="str">
        <f>+'4-12'!J221</f>
        <v/>
      </c>
      <c r="I10" s="325" t="str">
        <f>+'4-12'!K221</f>
        <v/>
      </c>
      <c r="J10" s="333" t="s">
        <v>203</v>
      </c>
      <c r="K10" s="319">
        <v>3.0</v>
      </c>
      <c r="L10" s="309">
        <v>24437.57</v>
      </c>
      <c r="M10" s="327">
        <f t="shared" si="2"/>
        <v>21662.79494</v>
      </c>
      <c r="N10" s="328">
        <f t="shared" si="3"/>
        <v>0.8864545429</v>
      </c>
      <c r="O10" s="307"/>
      <c r="P10" s="307"/>
      <c r="Q10" s="307"/>
      <c r="R10" s="329">
        <f t="shared" si="4"/>
        <v>-0.09354545714</v>
      </c>
      <c r="S10" s="307"/>
      <c r="T10" s="320">
        <f t="shared" si="5"/>
        <v>44534</v>
      </c>
      <c r="U10" s="330">
        <v>24437.57</v>
      </c>
      <c r="V10" s="330" t="str">
        <f>+'4-12'!#REF!</f>
        <v>#ERROR!</v>
      </c>
      <c r="W10" s="331">
        <f>+'4-12'!J215</f>
        <v>170</v>
      </c>
      <c r="X10" s="330">
        <f>+'4-12'!J187</f>
        <v>255.94023</v>
      </c>
      <c r="Y10" s="330" t="str">
        <f t="shared" si="6"/>
        <v>#ERROR!</v>
      </c>
      <c r="Z10" s="332" t="str">
        <f t="shared" si="7"/>
        <v>#ERROR!</v>
      </c>
      <c r="AA10" s="307"/>
      <c r="AB10" s="307"/>
      <c r="AC10" s="307"/>
      <c r="AD10" s="307"/>
      <c r="AE10" s="307"/>
      <c r="AF10" s="307"/>
    </row>
    <row r="11" ht="26.25" customHeight="1">
      <c r="A11" s="324">
        <f>+'6-12'!I4</f>
        <v>44536</v>
      </c>
      <c r="B11" s="325">
        <f>+'6-12'!B235</f>
        <v>19954.1884</v>
      </c>
      <c r="C11" s="325">
        <f>+'6-12'!C235</f>
        <v>17304.30669</v>
      </c>
      <c r="D11" s="325">
        <f>+'6-12'!D235</f>
        <v>552.30769</v>
      </c>
      <c r="E11" s="325">
        <f>+'6-12'!E235</f>
        <v>220.2</v>
      </c>
      <c r="F11" s="325">
        <f>+'6-12'!H235</f>
        <v>1523.476529</v>
      </c>
      <c r="G11" s="325">
        <f>+'6-12'!I235</f>
        <v>353.8974918</v>
      </c>
      <c r="H11" s="193"/>
      <c r="I11" s="326"/>
      <c r="J11" s="319" t="s">
        <v>204</v>
      </c>
      <c r="K11" s="319">
        <v>7.0</v>
      </c>
      <c r="L11" s="309">
        <v>20454.26</v>
      </c>
      <c r="M11" s="327">
        <f t="shared" si="2"/>
        <v>17524.50669</v>
      </c>
      <c r="N11" s="328">
        <f t="shared" si="3"/>
        <v>0.856765617</v>
      </c>
      <c r="O11" s="307"/>
      <c r="P11" s="307"/>
      <c r="Q11" s="307"/>
      <c r="R11" s="329">
        <f t="shared" si="4"/>
        <v>-0.123234383</v>
      </c>
      <c r="S11" s="307"/>
      <c r="T11" s="320">
        <f t="shared" si="5"/>
        <v>44536</v>
      </c>
      <c r="U11" s="330">
        <v>20454.26</v>
      </c>
      <c r="V11" s="330" t="str">
        <f>+'6-12'!#REF!</f>
        <v>#ERROR!</v>
      </c>
      <c r="W11" s="331">
        <f>+'6-12'!J229</f>
        <v>367</v>
      </c>
      <c r="X11" s="330">
        <f>+'6-12'!J193</f>
        <v>552.30769</v>
      </c>
      <c r="Y11" s="330" t="str">
        <f t="shared" si="6"/>
        <v>#ERROR!</v>
      </c>
      <c r="Z11" s="332" t="str">
        <f t="shared" si="7"/>
        <v>#ERROR!</v>
      </c>
      <c r="AA11" s="307"/>
      <c r="AB11" s="307"/>
      <c r="AC11" s="307"/>
      <c r="AD11" s="307"/>
      <c r="AE11" s="307"/>
      <c r="AF11" s="307"/>
    </row>
    <row r="12" ht="26.25" customHeight="1">
      <c r="A12" s="324">
        <f>+'7-12'!I4</f>
        <v>44537</v>
      </c>
      <c r="B12" s="325">
        <f>+'7-12'!B238</f>
        <v>45005.006</v>
      </c>
      <c r="C12" s="325">
        <f>+'7-12'!C238</f>
        <v>42406.0933</v>
      </c>
      <c r="D12" s="325">
        <f>+'7-12'!D238</f>
        <v>445.31238</v>
      </c>
      <c r="E12" s="325">
        <f>+'7-12'!E238</f>
        <v>117.6</v>
      </c>
      <c r="F12" s="325">
        <f>+'7-12'!H238</f>
        <v>875.728969</v>
      </c>
      <c r="G12" s="325">
        <f>+'7-12'!I238</f>
        <v>1160.271352</v>
      </c>
      <c r="H12" s="193"/>
      <c r="I12" s="326"/>
      <c r="J12" s="319" t="s">
        <v>205</v>
      </c>
      <c r="K12" s="319">
        <v>7.0</v>
      </c>
      <c r="L12" s="309">
        <v>43358.72</v>
      </c>
      <c r="M12" s="327">
        <f t="shared" si="2"/>
        <v>42523.6933</v>
      </c>
      <c r="N12" s="328">
        <f t="shared" si="3"/>
        <v>0.9807414356</v>
      </c>
      <c r="O12" s="307"/>
      <c r="P12" s="307"/>
      <c r="Q12" s="307"/>
      <c r="R12" s="329">
        <f t="shared" si="4"/>
        <v>0.0007414356028</v>
      </c>
      <c r="S12" s="307"/>
      <c r="T12" s="320">
        <f t="shared" si="5"/>
        <v>44537</v>
      </c>
      <c r="U12" s="330">
        <v>43095.100000000006</v>
      </c>
      <c r="V12" s="330" t="str">
        <f>+'7-12'!#REF!</f>
        <v>#ERROR!</v>
      </c>
      <c r="W12" s="331">
        <f>+'7-12'!J232</f>
        <v>196</v>
      </c>
      <c r="X12" s="330">
        <f>+'7-12'!J202</f>
        <v>445.31238</v>
      </c>
      <c r="Y12" s="330" t="str">
        <f t="shared" si="6"/>
        <v>#ERROR!</v>
      </c>
      <c r="Z12" s="332" t="str">
        <f t="shared" si="7"/>
        <v>#ERROR!</v>
      </c>
      <c r="AA12" s="307"/>
      <c r="AB12" s="307"/>
      <c r="AC12" s="307"/>
      <c r="AD12" s="307"/>
      <c r="AE12" s="307"/>
      <c r="AF12" s="307"/>
    </row>
    <row r="13" ht="26.25" customHeight="1">
      <c r="A13" s="324">
        <f>+'8-12'!I4</f>
        <v>44538</v>
      </c>
      <c r="B13" s="325">
        <f>+'8-12'!B235</f>
        <v>42780.2104</v>
      </c>
      <c r="C13" s="325">
        <f>+'8-12'!C235</f>
        <v>40263.89664</v>
      </c>
      <c r="D13" s="325">
        <f>+'8-12'!D235</f>
        <v>585.303957</v>
      </c>
      <c r="E13" s="325">
        <f>+'8-12'!E235</f>
        <v>169.8</v>
      </c>
      <c r="F13" s="325">
        <f>+'8-12'!H235</f>
        <v>937.5270121</v>
      </c>
      <c r="G13" s="325">
        <f>+'8-12'!I235</f>
        <v>823.6827903</v>
      </c>
      <c r="H13" s="325" t="str">
        <f t="shared" ref="H13:I13" si="8">+#REF!</f>
        <v>#REF!</v>
      </c>
      <c r="I13" s="325" t="str">
        <f t="shared" si="8"/>
        <v>#REF!</v>
      </c>
      <c r="J13" s="333" t="s">
        <v>206</v>
      </c>
      <c r="K13" s="319">
        <v>6.0</v>
      </c>
      <c r="L13" s="334">
        <v>41378.009999999995</v>
      </c>
      <c r="M13" s="327">
        <f t="shared" si="2"/>
        <v>40433.69664</v>
      </c>
      <c r="N13" s="328">
        <f t="shared" si="3"/>
        <v>0.9771783766</v>
      </c>
      <c r="O13" s="307"/>
      <c r="P13" s="307"/>
      <c r="Q13" s="307"/>
      <c r="R13" s="329">
        <f t="shared" si="4"/>
        <v>-0.002821623355</v>
      </c>
      <c r="S13" s="307"/>
      <c r="T13" s="320">
        <f t="shared" si="5"/>
        <v>44538</v>
      </c>
      <c r="U13" s="330">
        <v>41057.95</v>
      </c>
      <c r="V13" s="330" t="str">
        <f>+'8-12'!#REF!</f>
        <v>#ERROR!</v>
      </c>
      <c r="W13" s="331">
        <f>+'8-12'!J229</f>
        <v>283</v>
      </c>
      <c r="X13" s="330">
        <f>+'8-12'!J197</f>
        <v>585.303957</v>
      </c>
      <c r="Y13" s="330" t="str">
        <f t="shared" si="6"/>
        <v>#ERROR!</v>
      </c>
      <c r="Z13" s="332" t="str">
        <f t="shared" si="7"/>
        <v>#ERROR!</v>
      </c>
      <c r="AA13" s="307"/>
      <c r="AB13" s="307"/>
      <c r="AC13" s="307"/>
      <c r="AD13" s="307"/>
      <c r="AE13" s="307"/>
      <c r="AF13" s="307"/>
    </row>
    <row r="14" ht="26.25" customHeight="1">
      <c r="A14" s="324">
        <f>+'9-12'!I4</f>
        <v>44539</v>
      </c>
      <c r="B14" s="325">
        <f>+'9-12'!B231</f>
        <v>19152.0555</v>
      </c>
      <c r="C14" s="325">
        <f>+'9-12'!C231</f>
        <v>17516.80046</v>
      </c>
      <c r="D14" s="325">
        <f>+'9-12'!D231</f>
        <v>488.837856</v>
      </c>
      <c r="E14" s="325">
        <f>+'9-12'!E231</f>
        <v>145.2</v>
      </c>
      <c r="F14" s="325">
        <f>+'9-12'!H231</f>
        <v>666.8355141</v>
      </c>
      <c r="G14" s="325">
        <f>+'9-12'!I231</f>
        <v>334.3816746</v>
      </c>
      <c r="H14" s="285"/>
      <c r="I14" s="326"/>
      <c r="J14" s="319" t="s">
        <v>207</v>
      </c>
      <c r="K14" s="319">
        <v>5.0</v>
      </c>
      <c r="L14" s="309">
        <v>18412.800000000003</v>
      </c>
      <c r="M14" s="327">
        <f t="shared" si="2"/>
        <v>17662.00046</v>
      </c>
      <c r="N14" s="328">
        <f t="shared" si="3"/>
        <v>0.9592240428</v>
      </c>
      <c r="O14" s="307"/>
      <c r="P14" s="307"/>
      <c r="Q14" s="307"/>
      <c r="R14" s="329">
        <f t="shared" si="4"/>
        <v>-0.0207759572</v>
      </c>
      <c r="S14" s="307"/>
      <c r="T14" s="320">
        <f t="shared" si="5"/>
        <v>44539</v>
      </c>
      <c r="U14" s="330">
        <v>18412.800000000003</v>
      </c>
      <c r="V14" s="330" t="str">
        <f>+'9-12'!#REF!</f>
        <v>#ERROR!</v>
      </c>
      <c r="W14" s="331">
        <f>+'9-12'!J225</f>
        <v>242</v>
      </c>
      <c r="X14" s="330">
        <f>+'9-12'!J193</f>
        <v>488.837856</v>
      </c>
      <c r="Y14" s="330" t="str">
        <f t="shared" si="6"/>
        <v>#ERROR!</v>
      </c>
      <c r="Z14" s="332" t="str">
        <f t="shared" si="7"/>
        <v>#ERROR!</v>
      </c>
      <c r="AA14" s="307"/>
      <c r="AB14" s="307"/>
      <c r="AC14" s="307"/>
      <c r="AD14" s="307"/>
      <c r="AE14" s="307"/>
      <c r="AF14" s="307"/>
    </row>
    <row r="15" ht="26.25" customHeight="1">
      <c r="A15" s="324">
        <f>+'10-12'!I4</f>
        <v>44540</v>
      </c>
      <c r="B15" s="325">
        <f>+'10-12'!B252</f>
        <v>46525.2376</v>
      </c>
      <c r="C15" s="325">
        <f>+'10-12'!C252</f>
        <v>42822.04164</v>
      </c>
      <c r="D15" s="325">
        <f>+'10-12'!D252</f>
        <v>610.334472</v>
      </c>
      <c r="E15" s="325">
        <f>+'10-12'!E252</f>
        <v>244.2</v>
      </c>
      <c r="F15" s="325">
        <f>+'10-12'!H252</f>
        <v>1480.120358</v>
      </c>
      <c r="G15" s="325">
        <f>+'10-12'!I252</f>
        <v>1368.541131</v>
      </c>
      <c r="H15" s="285"/>
      <c r="I15" s="326"/>
      <c r="J15" s="319" t="s">
        <v>208</v>
      </c>
      <c r="K15" s="319">
        <v>7.0</v>
      </c>
      <c r="L15" s="309">
        <v>44413.98</v>
      </c>
      <c r="M15" s="327">
        <f t="shared" si="2"/>
        <v>43066.24164</v>
      </c>
      <c r="N15" s="328">
        <f t="shared" si="3"/>
        <v>0.969655087</v>
      </c>
      <c r="O15" s="307"/>
      <c r="P15" s="307"/>
      <c r="Q15" s="307"/>
      <c r="R15" s="329">
        <f t="shared" si="4"/>
        <v>-0.01034491303</v>
      </c>
      <c r="S15" s="307"/>
      <c r="T15" s="320">
        <f t="shared" si="5"/>
        <v>44540</v>
      </c>
      <c r="U15" s="330">
        <v>44413.98</v>
      </c>
      <c r="V15" s="330" t="str">
        <f>+'10-12'!#REF!</f>
        <v>#ERROR!</v>
      </c>
      <c r="W15" s="331">
        <f>+'10-12'!J246</f>
        <v>407</v>
      </c>
      <c r="X15" s="330">
        <f>+'10-12'!J210</f>
        <v>610.334472</v>
      </c>
      <c r="Y15" s="330" t="str">
        <f t="shared" si="6"/>
        <v>#ERROR!</v>
      </c>
      <c r="Z15" s="332" t="str">
        <f t="shared" si="7"/>
        <v>#ERROR!</v>
      </c>
      <c r="AA15" s="307"/>
      <c r="AB15" s="307"/>
      <c r="AC15" s="307"/>
      <c r="AD15" s="307"/>
      <c r="AE15" s="307"/>
      <c r="AF15" s="307"/>
    </row>
    <row r="16" ht="26.25" customHeight="1">
      <c r="A16" s="324">
        <f>+'11-12'!I4</f>
        <v>44541</v>
      </c>
      <c r="B16" s="325">
        <f>+'11-12'!B210</f>
        <v>11519.9157</v>
      </c>
      <c r="C16" s="325">
        <f>+'11-12'!C210</f>
        <v>10249.88662</v>
      </c>
      <c r="D16" s="325">
        <f>+'11-12'!D210</f>
        <v>199.6899765</v>
      </c>
      <c r="E16" s="325">
        <f>+'11-12'!E210</f>
        <v>88.8</v>
      </c>
      <c r="F16" s="325">
        <f>+'11-12'!H210</f>
        <v>893.1945127</v>
      </c>
      <c r="G16" s="325">
        <f>+'11-12'!I210</f>
        <v>88.34458815</v>
      </c>
      <c r="H16" s="285"/>
      <c r="I16" s="326"/>
      <c r="J16" s="319" t="s">
        <v>209</v>
      </c>
      <c r="K16" s="319">
        <v>3.0</v>
      </c>
      <c r="L16" s="309">
        <v>10946.88</v>
      </c>
      <c r="M16" s="327">
        <f t="shared" si="2"/>
        <v>10338.68662</v>
      </c>
      <c r="N16" s="328">
        <f t="shared" si="3"/>
        <v>0.9444413954</v>
      </c>
      <c r="O16" s="307"/>
      <c r="P16" s="307"/>
      <c r="Q16" s="307"/>
      <c r="R16" s="329">
        <f t="shared" si="4"/>
        <v>-0.03555860458</v>
      </c>
      <c r="S16" s="307"/>
      <c r="T16" s="320">
        <f t="shared" si="5"/>
        <v>44541</v>
      </c>
      <c r="U16" s="330">
        <v>10946.88</v>
      </c>
      <c r="V16" s="330" t="str">
        <f>+'11-12'!#REF!</f>
        <v>#ERROR!</v>
      </c>
      <c r="W16" s="331">
        <f>+'11-12'!J204</f>
        <v>148</v>
      </c>
      <c r="X16" s="330">
        <f>+'11-12'!J176</f>
        <v>199.6899765</v>
      </c>
      <c r="Y16" s="330" t="str">
        <f t="shared" si="6"/>
        <v>#ERROR!</v>
      </c>
      <c r="Z16" s="332" t="str">
        <f t="shared" si="7"/>
        <v>#ERROR!</v>
      </c>
      <c r="AA16" s="307"/>
      <c r="AB16" s="307"/>
      <c r="AC16" s="307"/>
      <c r="AD16" s="307"/>
      <c r="AE16" s="307"/>
      <c r="AF16" s="307"/>
    </row>
    <row r="17" ht="26.25" customHeight="1">
      <c r="A17" s="324">
        <f>+'13-12'!I4</f>
        <v>44543</v>
      </c>
      <c r="B17" s="325">
        <f>+'13-12'!B266</f>
        <v>36168.6977</v>
      </c>
      <c r="C17" s="325">
        <f>+'13-12'!C266</f>
        <v>33701.01894</v>
      </c>
      <c r="D17" s="325">
        <f>+'13-12'!D266</f>
        <v>1012.816924</v>
      </c>
      <c r="E17" s="325">
        <f>+'13-12'!E266</f>
        <v>306.6</v>
      </c>
      <c r="F17" s="325">
        <f>+'13-12'!H266</f>
        <v>1513.728918</v>
      </c>
      <c r="G17" s="325">
        <f>+'13-12'!I266</f>
        <v>-365.467078</v>
      </c>
      <c r="H17" s="285"/>
      <c r="I17" s="326"/>
      <c r="J17" s="319" t="s">
        <v>210</v>
      </c>
      <c r="K17" s="319">
        <v>12.0</v>
      </c>
      <c r="L17" s="309">
        <v>34520.38</v>
      </c>
      <c r="M17" s="327">
        <f t="shared" si="2"/>
        <v>34007.61894</v>
      </c>
      <c r="N17" s="328">
        <f t="shared" si="3"/>
        <v>0.985146135</v>
      </c>
      <c r="O17" s="307"/>
      <c r="P17" s="307"/>
      <c r="Q17" s="307"/>
      <c r="R17" s="329">
        <f t="shared" si="4"/>
        <v>0.005146135014</v>
      </c>
      <c r="S17" s="307"/>
      <c r="T17" s="320">
        <f t="shared" si="5"/>
        <v>44543</v>
      </c>
      <c r="U17" s="330">
        <v>34490.729999999996</v>
      </c>
      <c r="V17" s="330" t="str">
        <f>+'13-12'!#REF!</f>
        <v>#ERROR!</v>
      </c>
      <c r="W17" s="331">
        <f>+'13-12'!J253</f>
        <v>511</v>
      </c>
      <c r="X17" s="330">
        <f>+'13-12'!J213</f>
        <v>1012.816924</v>
      </c>
      <c r="Y17" s="330" t="str">
        <f t="shared" si="6"/>
        <v>#ERROR!</v>
      </c>
      <c r="Z17" s="332" t="str">
        <f t="shared" si="7"/>
        <v>#ERROR!</v>
      </c>
      <c r="AA17" s="307"/>
      <c r="AB17" s="307"/>
      <c r="AC17" s="307"/>
      <c r="AD17" s="307"/>
      <c r="AE17" s="307"/>
      <c r="AF17" s="307"/>
    </row>
    <row r="18" ht="26.25" customHeight="1">
      <c r="A18" s="324">
        <f>+'14-12'!I4</f>
        <v>44544</v>
      </c>
      <c r="B18" s="325">
        <f>+'14-12'!B224</f>
        <v>30281.139</v>
      </c>
      <c r="C18" s="325">
        <f>+'14-12'!C224</f>
        <v>27514.84631</v>
      </c>
      <c r="D18" s="325">
        <f>+'14-12'!D224</f>
        <v>206.6646195</v>
      </c>
      <c r="E18" s="325">
        <f>+'14-12'!E224</f>
        <v>75</v>
      </c>
      <c r="F18" s="325">
        <f>+'14-12'!H224</f>
        <v>1987.77499</v>
      </c>
      <c r="G18" s="325">
        <f>+'14-12'!I224</f>
        <v>496.8530801</v>
      </c>
      <c r="H18" s="285"/>
      <c r="I18" s="326"/>
      <c r="J18" s="319" t="s">
        <v>211</v>
      </c>
      <c r="K18" s="319">
        <v>3.0</v>
      </c>
      <c r="L18" s="309">
        <v>30641.1</v>
      </c>
      <c r="M18" s="327">
        <f t="shared" si="2"/>
        <v>27589.84631</v>
      </c>
      <c r="N18" s="328">
        <f t="shared" si="3"/>
        <v>0.9004195773</v>
      </c>
      <c r="O18" s="307"/>
      <c r="P18" s="307"/>
      <c r="Q18" s="307"/>
      <c r="R18" s="329">
        <f t="shared" si="4"/>
        <v>-0.07958042268</v>
      </c>
      <c r="S18" s="307"/>
      <c r="T18" s="311">
        <f t="shared" si="5"/>
        <v>44544</v>
      </c>
      <c r="U18" s="309">
        <v>30554.32</v>
      </c>
      <c r="V18" s="309"/>
      <c r="W18" s="307"/>
      <c r="X18" s="309"/>
      <c r="Y18" s="307"/>
      <c r="Z18" s="307"/>
      <c r="AA18" s="307"/>
      <c r="AB18" s="307"/>
      <c r="AC18" s="307"/>
      <c r="AD18" s="307"/>
      <c r="AE18" s="307"/>
      <c r="AF18" s="307"/>
    </row>
    <row r="19" ht="26.25" customHeight="1">
      <c r="A19" s="324">
        <f>+'15-12'!I4</f>
        <v>44545</v>
      </c>
      <c r="B19" s="325">
        <f>+'15-12'!B243</f>
        <v>43880.2607</v>
      </c>
      <c r="C19" s="325">
        <f>+'15-12'!C243</f>
        <v>40592.75102</v>
      </c>
      <c r="D19" s="325">
        <f>+'15-12'!D243</f>
        <v>635.65626</v>
      </c>
      <c r="E19" s="325">
        <f>+'15-12'!E243</f>
        <v>216.6</v>
      </c>
      <c r="F19" s="325">
        <f>+'15-12'!H243</f>
        <v>1311.015018</v>
      </c>
      <c r="G19" s="325">
        <f>+'15-12'!I243</f>
        <v>1124.238401</v>
      </c>
      <c r="H19" s="193"/>
      <c r="I19" s="326"/>
      <c r="J19" s="319" t="s">
        <v>212</v>
      </c>
      <c r="K19" s="319">
        <v>7.0</v>
      </c>
      <c r="L19" s="309">
        <v>42167.53</v>
      </c>
      <c r="M19" s="327">
        <f t="shared" si="2"/>
        <v>40809.35102</v>
      </c>
      <c r="N19" s="328">
        <f t="shared" si="3"/>
        <v>0.9677908813</v>
      </c>
      <c r="O19" s="307"/>
      <c r="P19" s="307"/>
      <c r="Q19" s="307"/>
      <c r="R19" s="329">
        <f t="shared" si="4"/>
        <v>-0.0122091187</v>
      </c>
      <c r="S19" s="307"/>
      <c r="T19" s="311"/>
      <c r="U19" s="309"/>
      <c r="V19" s="309"/>
      <c r="W19" s="307"/>
      <c r="X19" s="309"/>
      <c r="Y19" s="307"/>
      <c r="Z19" s="307"/>
      <c r="AA19" s="307"/>
      <c r="AB19" s="307"/>
      <c r="AC19" s="307"/>
      <c r="AD19" s="307"/>
      <c r="AE19" s="307"/>
      <c r="AF19" s="307"/>
    </row>
    <row r="20" ht="26.25" customHeight="1">
      <c r="A20" s="324">
        <f>+'17-12'!I4</f>
        <v>44547</v>
      </c>
      <c r="B20" s="325">
        <f>+'17-12'!B257</f>
        <v>59740.1166</v>
      </c>
      <c r="C20" s="325">
        <f>+'17-12'!C257</f>
        <v>55609.71205</v>
      </c>
      <c r="D20" s="325">
        <f>+'17-12'!D257</f>
        <v>754.0013955</v>
      </c>
      <c r="E20" s="325">
        <f>+'17-12'!E257</f>
        <v>277.8</v>
      </c>
      <c r="F20" s="325">
        <f>+'17-12'!H257</f>
        <v>2190.8064</v>
      </c>
      <c r="G20" s="325">
        <f>+'17-12'!I257</f>
        <v>907.7967536</v>
      </c>
      <c r="H20" s="193"/>
      <c r="I20" s="326"/>
      <c r="J20" s="319" t="s">
        <v>213</v>
      </c>
      <c r="K20" s="319">
        <v>8.0</v>
      </c>
      <c r="L20" s="309">
        <v>57797.91</v>
      </c>
      <c r="M20" s="327">
        <f t="shared" si="2"/>
        <v>55887.51205</v>
      </c>
      <c r="N20" s="328">
        <f t="shared" si="3"/>
        <v>0.9669469372</v>
      </c>
      <c r="O20" s="307"/>
      <c r="P20" s="307"/>
      <c r="Q20" s="307"/>
      <c r="R20" s="329">
        <f t="shared" si="4"/>
        <v>-0.0130530628</v>
      </c>
      <c r="S20" s="307"/>
      <c r="T20" s="311"/>
      <c r="U20" s="309"/>
      <c r="V20" s="309"/>
      <c r="W20" s="307"/>
      <c r="X20" s="309"/>
      <c r="Y20" s="307"/>
      <c r="Z20" s="307"/>
      <c r="AA20" s="307"/>
      <c r="AB20" s="307"/>
      <c r="AC20" s="307"/>
      <c r="AD20" s="307"/>
      <c r="AE20" s="307"/>
      <c r="AF20" s="307"/>
    </row>
    <row r="21" ht="26.25" customHeight="1">
      <c r="A21" s="324">
        <f>+'18-12'!I4</f>
        <v>44548</v>
      </c>
      <c r="B21" s="335">
        <f>+'18-12'!B218</f>
        <v>17552.8779</v>
      </c>
      <c r="C21" s="335">
        <f>+'18-12'!C218</f>
        <v>16369.64108</v>
      </c>
      <c r="D21" s="335">
        <f>+'18-12'!D218</f>
        <v>337.073944</v>
      </c>
      <c r="E21" s="335">
        <f>+'18-12'!E218</f>
        <v>139.8</v>
      </c>
      <c r="F21" s="335">
        <f>+'18-12'!H218</f>
        <v>398.1750552</v>
      </c>
      <c r="G21" s="335">
        <f>+'18-12'!I218</f>
        <v>308.1878206</v>
      </c>
      <c r="H21" s="336"/>
      <c r="I21" s="326"/>
      <c r="J21" s="319" t="s">
        <v>214</v>
      </c>
      <c r="K21" s="319">
        <v>4.0</v>
      </c>
      <c r="L21" s="309">
        <v>16881.410000000003</v>
      </c>
      <c r="M21" s="327">
        <f t="shared" si="2"/>
        <v>16509.44108</v>
      </c>
      <c r="N21" s="328">
        <f t="shared" si="3"/>
        <v>0.9779657671</v>
      </c>
      <c r="O21" s="307"/>
      <c r="P21" s="307"/>
      <c r="Q21" s="307"/>
      <c r="R21" s="329">
        <f t="shared" si="4"/>
        <v>-0.002034232911</v>
      </c>
      <c r="S21" s="307"/>
      <c r="T21" s="311"/>
      <c r="U21" s="309"/>
      <c r="V21" s="309"/>
      <c r="W21" s="307"/>
      <c r="X21" s="309"/>
      <c r="Y21" s="307"/>
      <c r="Z21" s="307"/>
      <c r="AA21" s="307"/>
      <c r="AB21" s="307"/>
      <c r="AC21" s="307"/>
      <c r="AD21" s="307"/>
      <c r="AE21" s="307"/>
      <c r="AF21" s="307"/>
    </row>
    <row r="22" ht="26.25" customHeight="1">
      <c r="A22" s="324">
        <f>+'19-12'!I4</f>
        <v>44549</v>
      </c>
      <c r="B22" s="335">
        <f>+'19-12'!B202</f>
        <v>6959.5194</v>
      </c>
      <c r="C22" s="335">
        <f>+'19-12'!C202</f>
        <v>6117.789559</v>
      </c>
      <c r="D22" s="335">
        <f>+'19-12'!D202</f>
        <v>154.331892</v>
      </c>
      <c r="E22" s="335">
        <f>+'19-12'!E202</f>
        <v>48.6</v>
      </c>
      <c r="F22" s="335">
        <f>+'19-12'!H202</f>
        <v>592.3052618</v>
      </c>
      <c r="G22" s="335">
        <f>+'19-12'!I202</f>
        <v>46.49268762</v>
      </c>
      <c r="H22" s="336"/>
      <c r="I22" s="326"/>
      <c r="J22" s="319" t="s">
        <v>215</v>
      </c>
      <c r="K22" s="319">
        <v>2.0</v>
      </c>
      <c r="L22" s="309">
        <v>6606.56</v>
      </c>
      <c r="M22" s="327">
        <f t="shared" si="2"/>
        <v>6166.389559</v>
      </c>
      <c r="N22" s="328">
        <f t="shared" si="3"/>
        <v>0.9333737314</v>
      </c>
      <c r="O22" s="307"/>
      <c r="P22" s="307"/>
      <c r="Q22" s="307"/>
      <c r="R22" s="329">
        <f t="shared" si="4"/>
        <v>-0.04662626865</v>
      </c>
      <c r="S22" s="307"/>
      <c r="T22" s="311"/>
      <c r="U22" s="309"/>
      <c r="V22" s="309"/>
      <c r="W22" s="307"/>
      <c r="X22" s="309"/>
      <c r="Y22" s="307"/>
      <c r="Z22" s="307"/>
      <c r="AA22" s="307"/>
      <c r="AB22" s="307"/>
      <c r="AC22" s="307"/>
      <c r="AD22" s="307"/>
      <c r="AE22" s="307"/>
      <c r="AF22" s="307"/>
    </row>
    <row r="23" ht="26.25" customHeight="1">
      <c r="A23" s="324">
        <f>+'20-12'!I4</f>
        <v>44550</v>
      </c>
      <c r="B23" s="335">
        <f>+'20-12'!B249</f>
        <v>42498.824</v>
      </c>
      <c r="C23" s="335">
        <f>+'20-12'!C249</f>
        <v>38599.86759</v>
      </c>
      <c r="D23" s="335">
        <f>+'20-12'!D249</f>
        <v>0</v>
      </c>
      <c r="E23" s="335">
        <f>+'20-12'!E249</f>
        <v>192.6</v>
      </c>
      <c r="F23" s="335">
        <f>+'20-12'!H249</f>
        <v>2211.350853</v>
      </c>
      <c r="G23" s="335">
        <f>+'20-12'!I249</f>
        <v>1495.005558</v>
      </c>
      <c r="H23" s="193"/>
      <c r="I23" s="326"/>
      <c r="J23" s="319" t="s">
        <v>216</v>
      </c>
      <c r="K23" s="319">
        <v>7.0</v>
      </c>
      <c r="L23" s="309">
        <v>40497.149999999994</v>
      </c>
      <c r="M23" s="327">
        <f t="shared" si="2"/>
        <v>38792.46759</v>
      </c>
      <c r="N23" s="328">
        <f t="shared" si="3"/>
        <v>0.9579061141</v>
      </c>
      <c r="O23" s="307"/>
      <c r="P23" s="307"/>
      <c r="Q23" s="307"/>
      <c r="R23" s="329">
        <f t="shared" si="4"/>
        <v>-0.02209388591</v>
      </c>
      <c r="S23" s="307"/>
      <c r="T23" s="311"/>
      <c r="U23" s="309"/>
      <c r="V23" s="309"/>
      <c r="W23" s="307"/>
      <c r="X23" s="309"/>
      <c r="Y23" s="307"/>
      <c r="Z23" s="307"/>
      <c r="AA23" s="307"/>
      <c r="AB23" s="307"/>
      <c r="AC23" s="307"/>
      <c r="AD23" s="307"/>
      <c r="AE23" s="307"/>
      <c r="AF23" s="307"/>
    </row>
    <row r="24" ht="26.25" customHeight="1">
      <c r="A24" s="324">
        <f>+'21-12'!I4</f>
        <v>44551</v>
      </c>
      <c r="B24" s="335">
        <f>+'21-12'!B249</f>
        <v>51812.5395</v>
      </c>
      <c r="C24" s="335">
        <f>+'21-12'!C249</f>
        <v>47543.99022</v>
      </c>
      <c r="D24" s="335">
        <f>+'21-12'!D249</f>
        <v>0</v>
      </c>
      <c r="E24" s="335">
        <f>+'21-12'!E249</f>
        <v>157.2</v>
      </c>
      <c r="F24" s="335">
        <f>+'21-12'!H249</f>
        <v>2383.992472</v>
      </c>
      <c r="G24" s="335">
        <f>+'21-12'!I249</f>
        <v>1727.356804</v>
      </c>
      <c r="H24" s="193"/>
      <c r="I24" s="326"/>
      <c r="J24" s="319" t="s">
        <v>217</v>
      </c>
      <c r="K24" s="319">
        <v>6.0</v>
      </c>
      <c r="L24" s="309">
        <v>51397.85999999999</v>
      </c>
      <c r="M24" s="327">
        <f t="shared" si="2"/>
        <v>47701.19022</v>
      </c>
      <c r="N24" s="328">
        <f t="shared" si="3"/>
        <v>0.9280773601</v>
      </c>
      <c r="O24" s="307"/>
      <c r="P24" s="307"/>
      <c r="Q24" s="307"/>
      <c r="R24" s="329">
        <f t="shared" si="4"/>
        <v>-0.05192263989</v>
      </c>
      <c r="S24" s="307"/>
      <c r="T24" s="311"/>
      <c r="U24" s="309"/>
      <c r="V24" s="309"/>
      <c r="W24" s="307"/>
      <c r="X24" s="309"/>
      <c r="Y24" s="307"/>
      <c r="Z24" s="307"/>
      <c r="AA24" s="307"/>
      <c r="AB24" s="307"/>
      <c r="AC24" s="307"/>
      <c r="AD24" s="307"/>
      <c r="AE24" s="307"/>
      <c r="AF24" s="307"/>
    </row>
    <row r="25" ht="26.25" customHeight="1">
      <c r="A25" s="324">
        <f>+'22-12'!I4</f>
        <v>44552</v>
      </c>
      <c r="B25" s="335">
        <f>+'22-12'!B237</f>
        <v>41459.244</v>
      </c>
      <c r="C25" s="335">
        <f>+'22-12'!C237</f>
        <v>38670.27177</v>
      </c>
      <c r="D25" s="335">
        <f>+'22-12'!D237</f>
        <v>0</v>
      </c>
      <c r="E25" s="335">
        <f>+'22-12'!E237</f>
        <v>193.2</v>
      </c>
      <c r="F25" s="335">
        <f>+'22-12'!H237</f>
        <v>934.4075244</v>
      </c>
      <c r="G25" s="335">
        <f>+'22-12'!I237</f>
        <v>1661.364709</v>
      </c>
      <c r="H25" s="193"/>
      <c r="I25" s="326"/>
      <c r="J25" s="319" t="s">
        <v>218</v>
      </c>
      <c r="K25" s="319">
        <v>5.0</v>
      </c>
      <c r="L25" s="309">
        <v>39780.119999999995</v>
      </c>
      <c r="M25" s="327">
        <f t="shared" si="2"/>
        <v>38863.47177</v>
      </c>
      <c r="N25" s="328">
        <f t="shared" si="3"/>
        <v>0.9769571275</v>
      </c>
      <c r="O25" s="307"/>
      <c r="P25" s="307"/>
      <c r="Q25" s="307"/>
      <c r="R25" s="329">
        <f t="shared" si="4"/>
        <v>-0.0030428725</v>
      </c>
      <c r="S25" s="307"/>
      <c r="T25" s="311"/>
      <c r="U25" s="309"/>
      <c r="V25" s="309"/>
      <c r="W25" s="307"/>
      <c r="X25" s="309"/>
      <c r="Y25" s="307"/>
      <c r="Z25" s="307"/>
      <c r="AA25" s="307"/>
      <c r="AB25" s="307"/>
      <c r="AC25" s="307"/>
      <c r="AD25" s="307"/>
      <c r="AE25" s="307"/>
      <c r="AF25" s="307"/>
    </row>
    <row r="26" ht="26.25" customHeight="1">
      <c r="A26" s="324">
        <f>+'23-12'!I4</f>
        <v>44553</v>
      </c>
      <c r="B26" s="335">
        <f>+'23-12'!B238</f>
        <v>32416.9951</v>
      </c>
      <c r="C26" s="335">
        <f>+'23-12'!C238</f>
        <v>30448.34276</v>
      </c>
      <c r="D26" s="335">
        <f>+'23-12'!D238</f>
        <v>0</v>
      </c>
      <c r="E26" s="335">
        <f>+'23-12'!E238</f>
        <v>191.4</v>
      </c>
      <c r="F26" s="335">
        <f>+'23-12'!H238</f>
        <v>970.3027349</v>
      </c>
      <c r="G26" s="335">
        <f>+'23-12'!I238</f>
        <v>806.9496061</v>
      </c>
      <c r="H26" s="193"/>
      <c r="I26" s="326"/>
      <c r="J26" s="319" t="s">
        <v>219</v>
      </c>
      <c r="K26" s="319">
        <v>6.0</v>
      </c>
      <c r="L26" s="309">
        <v>30981.550000000003</v>
      </c>
      <c r="M26" s="327">
        <f t="shared" si="2"/>
        <v>30639.74276</v>
      </c>
      <c r="N26" s="328">
        <f t="shared" si="3"/>
        <v>0.9889673938</v>
      </c>
      <c r="O26" s="307"/>
      <c r="P26" s="307"/>
      <c r="Q26" s="307"/>
      <c r="R26" s="329">
        <f t="shared" si="4"/>
        <v>0.008967393788</v>
      </c>
      <c r="S26" s="307"/>
      <c r="T26" s="311"/>
      <c r="U26" s="309"/>
      <c r="V26" s="309"/>
      <c r="W26" s="307"/>
      <c r="X26" s="309"/>
      <c r="Y26" s="307"/>
      <c r="Z26" s="307"/>
      <c r="AA26" s="307"/>
      <c r="AB26" s="307"/>
      <c r="AC26" s="307"/>
      <c r="AD26" s="307"/>
      <c r="AE26" s="307"/>
      <c r="AF26" s="307"/>
    </row>
    <row r="27" ht="26.25" customHeight="1">
      <c r="A27" s="324">
        <f>+'24-12'!I4</f>
        <v>44554</v>
      </c>
      <c r="B27" s="335">
        <f>+'24-12'!B237</f>
        <v>47245.3448</v>
      </c>
      <c r="C27" s="335">
        <f>+'24-12'!C237</f>
        <v>44537.77476</v>
      </c>
      <c r="D27" s="335">
        <f>+'24-12'!D237</f>
        <v>0</v>
      </c>
      <c r="E27" s="335">
        <f>+'24-12'!E237</f>
        <v>163.2</v>
      </c>
      <c r="F27" s="335">
        <f>+'24-12'!H237</f>
        <v>903.1886236</v>
      </c>
      <c r="G27" s="335">
        <f>+'24-12'!I237</f>
        <v>1641.181418</v>
      </c>
      <c r="H27" s="335" t="str">
        <f>+'24-12'!J237</f>
        <v/>
      </c>
      <c r="I27" s="335" t="str">
        <f>+'24-12'!K237</f>
        <v/>
      </c>
      <c r="J27" s="333" t="s">
        <v>220</v>
      </c>
      <c r="K27" s="319">
        <v>6.0</v>
      </c>
      <c r="L27" s="309">
        <v>45354.670000000006</v>
      </c>
      <c r="M27" s="327">
        <f t="shared" si="2"/>
        <v>44700.97476</v>
      </c>
      <c r="N27" s="328">
        <f t="shared" si="3"/>
        <v>0.9855870357</v>
      </c>
      <c r="O27" s="307"/>
      <c r="P27" s="307"/>
      <c r="Q27" s="307"/>
      <c r="R27" s="329">
        <f t="shared" si="4"/>
        <v>0.005587035664</v>
      </c>
      <c r="S27" s="307"/>
      <c r="T27" s="311"/>
      <c r="U27" s="309"/>
      <c r="V27" s="309"/>
      <c r="W27" s="307"/>
      <c r="X27" s="309"/>
      <c r="Y27" s="307"/>
      <c r="Z27" s="307"/>
      <c r="AA27" s="307"/>
      <c r="AB27" s="307"/>
      <c r="AC27" s="307"/>
      <c r="AD27" s="307"/>
      <c r="AE27" s="307"/>
      <c r="AF27" s="307"/>
    </row>
    <row r="28" ht="26.25" customHeight="1">
      <c r="A28" s="324">
        <f>+'25-12'!I4</f>
        <v>44555</v>
      </c>
      <c r="B28" s="335">
        <f>+'25-12'!B239</f>
        <v>40892.6312</v>
      </c>
      <c r="C28" s="335">
        <f>+'25-12'!C239</f>
        <v>37974.33568</v>
      </c>
      <c r="D28" s="335">
        <f>+'25-12'!D239</f>
        <v>0</v>
      </c>
      <c r="E28" s="335">
        <f>+'25-12'!E239</f>
        <v>202.8</v>
      </c>
      <c r="F28" s="335">
        <f>+'25-12'!H239</f>
        <v>1565.157998</v>
      </c>
      <c r="G28" s="335">
        <f>+'25-12'!I239</f>
        <v>1150.337527</v>
      </c>
      <c r="H28" s="337"/>
      <c r="I28" s="326"/>
      <c r="J28" s="319" t="s">
        <v>221</v>
      </c>
      <c r="K28" s="319">
        <v>5.0</v>
      </c>
      <c r="L28" s="309">
        <v>39245.950000000004</v>
      </c>
      <c r="M28" s="327">
        <f t="shared" si="2"/>
        <v>38177.13568</v>
      </c>
      <c r="N28" s="328">
        <f t="shared" si="3"/>
        <v>0.9727662517</v>
      </c>
      <c r="O28" s="307"/>
      <c r="P28" s="307"/>
      <c r="Q28" s="307"/>
      <c r="R28" s="329">
        <f t="shared" si="4"/>
        <v>-0.007233748318</v>
      </c>
      <c r="S28" s="307"/>
      <c r="T28" s="311"/>
      <c r="U28" s="309"/>
      <c r="V28" s="309"/>
      <c r="W28" s="307"/>
      <c r="X28" s="309"/>
      <c r="Y28" s="307"/>
      <c r="Z28" s="307"/>
      <c r="AA28" s="307"/>
      <c r="AB28" s="307"/>
      <c r="AC28" s="307"/>
      <c r="AD28" s="307"/>
      <c r="AE28" s="307"/>
      <c r="AF28" s="307"/>
    </row>
    <row r="29" ht="26.25" customHeight="1">
      <c r="A29" s="324">
        <f>+'27-12'!I4</f>
        <v>44557</v>
      </c>
      <c r="B29" s="335">
        <f>+'27-12'!B262</f>
        <v>54168.1505</v>
      </c>
      <c r="C29" s="335">
        <f>+'27-12'!C262</f>
        <v>49238.03389</v>
      </c>
      <c r="D29" s="335">
        <f>+'27-12'!D262</f>
        <v>0</v>
      </c>
      <c r="E29" s="335">
        <f>+'27-12'!E262</f>
        <v>242.4</v>
      </c>
      <c r="F29" s="335">
        <f>+'27-12'!H262</f>
        <v>2068.939212</v>
      </c>
      <c r="G29" s="335">
        <f>+'27-12'!I262</f>
        <v>2618.777397</v>
      </c>
      <c r="H29" s="193"/>
      <c r="I29" s="326"/>
      <c r="J29" s="319" t="s">
        <v>222</v>
      </c>
      <c r="K29" s="319">
        <v>11.0</v>
      </c>
      <c r="L29" s="309">
        <v>52933.05999999999</v>
      </c>
      <c r="M29" s="327">
        <f t="shared" si="2"/>
        <v>49480.43389</v>
      </c>
      <c r="N29" s="328">
        <f t="shared" si="3"/>
        <v>0.9347737291</v>
      </c>
      <c r="O29" s="307"/>
      <c r="P29" s="307"/>
      <c r="Q29" s="307"/>
      <c r="R29" s="329">
        <f t="shared" si="4"/>
        <v>-0.04522627086</v>
      </c>
      <c r="S29" s="307"/>
      <c r="T29" s="311"/>
      <c r="U29" s="309"/>
      <c r="V29" s="309"/>
      <c r="W29" s="307"/>
      <c r="X29" s="309"/>
      <c r="Y29" s="307"/>
      <c r="Z29" s="307"/>
      <c r="AA29" s="307"/>
      <c r="AB29" s="307"/>
      <c r="AC29" s="307"/>
      <c r="AD29" s="307"/>
      <c r="AE29" s="307"/>
      <c r="AF29" s="307"/>
    </row>
    <row r="30" ht="26.25" customHeight="1">
      <c r="A30" s="324">
        <f>+'28-12'!I4</f>
        <v>44558</v>
      </c>
      <c r="B30" s="335">
        <f>+'28-12'!B249</f>
        <v>43533.2527</v>
      </c>
      <c r="C30" s="335">
        <f>+'28-12'!C249</f>
        <v>40565.30544</v>
      </c>
      <c r="D30" s="335">
        <f>+'28-12'!D249</f>
        <v>0</v>
      </c>
      <c r="E30" s="335">
        <f>+'28-12'!E249</f>
        <v>244.8</v>
      </c>
      <c r="F30" s="335">
        <f>+'28-12'!H249</f>
        <v>1442.964291</v>
      </c>
      <c r="G30" s="335">
        <f>+'28-12'!I249</f>
        <v>1280.182973</v>
      </c>
      <c r="H30" s="335" t="str">
        <f>+'28-12'!J249</f>
        <v/>
      </c>
      <c r="I30" s="335" t="str">
        <f>+'28-12'!K249</f>
        <v/>
      </c>
      <c r="J30" s="333" t="s">
        <v>223</v>
      </c>
      <c r="K30" s="319">
        <v>7.0</v>
      </c>
      <c r="L30" s="309">
        <v>41680.35</v>
      </c>
      <c r="M30" s="327">
        <f t="shared" si="2"/>
        <v>40810.10544</v>
      </c>
      <c r="N30" s="328">
        <f t="shared" si="3"/>
        <v>0.9791209871</v>
      </c>
      <c r="O30" s="307"/>
      <c r="P30" s="307"/>
      <c r="Q30" s="307"/>
      <c r="R30" s="329">
        <f t="shared" si="4"/>
        <v>-0.0008790128682</v>
      </c>
      <c r="S30" s="307"/>
      <c r="T30" s="311"/>
      <c r="U30" s="309"/>
      <c r="V30" s="309"/>
      <c r="W30" s="307"/>
      <c r="X30" s="309"/>
      <c r="Y30" s="307"/>
      <c r="Z30" s="307"/>
      <c r="AA30" s="307"/>
      <c r="AB30" s="307"/>
      <c r="AC30" s="307"/>
      <c r="AD30" s="307"/>
      <c r="AE30" s="307"/>
      <c r="AF30" s="307"/>
    </row>
    <row r="31" ht="29.25" customHeight="1">
      <c r="A31" s="338" t="s">
        <v>117</v>
      </c>
      <c r="B31" s="339">
        <f t="shared" ref="B31:G31" si="9">SUM(B7:B30)</f>
        <v>890596.2984</v>
      </c>
      <c r="C31" s="339">
        <f t="shared" si="9"/>
        <v>820538.2651</v>
      </c>
      <c r="D31" s="339">
        <f t="shared" si="9"/>
        <v>7376.314088</v>
      </c>
      <c r="E31" s="339">
        <f t="shared" si="9"/>
        <v>4398.6</v>
      </c>
      <c r="F31" s="339">
        <f t="shared" si="9"/>
        <v>33281.73702</v>
      </c>
      <c r="G31" s="339">
        <f t="shared" si="9"/>
        <v>25001.38223</v>
      </c>
      <c r="H31" s="340"/>
      <c r="I31" s="341"/>
      <c r="J31" s="308"/>
      <c r="K31" s="308"/>
      <c r="L31" s="309"/>
      <c r="M31" s="307"/>
      <c r="N31" s="313"/>
      <c r="O31" s="307"/>
      <c r="P31" s="307"/>
      <c r="Q31" s="307"/>
      <c r="R31" s="307"/>
      <c r="S31" s="307"/>
      <c r="T31" s="311"/>
      <c r="U31" s="309"/>
      <c r="V31" s="309"/>
      <c r="W31" s="307"/>
      <c r="X31" s="309"/>
      <c r="Y31" s="307"/>
      <c r="Z31" s="307"/>
      <c r="AA31" s="307"/>
      <c r="AB31" s="307"/>
      <c r="AC31" s="307"/>
      <c r="AD31" s="307"/>
      <c r="AE31" s="307"/>
      <c r="AF31" s="307"/>
    </row>
    <row r="32" ht="24.75" customHeight="1">
      <c r="A32" s="342" t="s">
        <v>49</v>
      </c>
      <c r="B32" s="343"/>
      <c r="C32" s="344">
        <f>+C31/B31</f>
        <v>0.9213358135</v>
      </c>
      <c r="D32" s="345">
        <f>+D31/B31</f>
        <v>0.008282444135</v>
      </c>
      <c r="E32" s="345">
        <f>+E31/B31</f>
        <v>0.004938938111</v>
      </c>
      <c r="F32" s="344">
        <f>+F31/B31</f>
        <v>0.03737017219</v>
      </c>
      <c r="G32" s="345">
        <f>+G31/B31</f>
        <v>0.02807263209</v>
      </c>
      <c r="H32" s="340"/>
      <c r="I32" s="307"/>
      <c r="J32" s="307"/>
      <c r="K32" s="307"/>
      <c r="L32" s="309"/>
      <c r="M32" s="307"/>
      <c r="N32" s="310"/>
      <c r="O32" s="307"/>
      <c r="P32" s="307"/>
      <c r="Q32" s="307"/>
      <c r="R32" s="307"/>
      <c r="S32" s="307"/>
      <c r="T32" s="311"/>
      <c r="U32" s="309"/>
      <c r="V32" s="309"/>
      <c r="W32" s="307"/>
      <c r="X32" s="309"/>
      <c r="Y32" s="307"/>
      <c r="Z32" s="307"/>
      <c r="AA32" s="307"/>
      <c r="AB32" s="307"/>
      <c r="AC32" s="307"/>
      <c r="AD32" s="307"/>
      <c r="AE32" s="307"/>
      <c r="AF32" s="307"/>
    </row>
    <row r="33" ht="24.0" customHeight="1">
      <c r="A33" s="346" t="s">
        <v>224</v>
      </c>
      <c r="B33" s="310"/>
      <c r="C33" s="347"/>
      <c r="D33" s="348">
        <v>0.0053</v>
      </c>
      <c r="E33" s="348">
        <v>0.0084</v>
      </c>
      <c r="F33" s="347"/>
      <c r="G33" s="349">
        <v>0.0061</v>
      </c>
      <c r="H33" s="340"/>
      <c r="I33" s="307"/>
      <c r="J33" s="307"/>
      <c r="K33" s="307"/>
      <c r="L33" s="309"/>
      <c r="M33" s="307"/>
      <c r="N33" s="310"/>
      <c r="O33" s="307"/>
      <c r="P33" s="307"/>
      <c r="Q33" s="307"/>
      <c r="R33" s="307"/>
      <c r="S33" s="307"/>
      <c r="T33" s="311"/>
      <c r="U33" s="309"/>
      <c r="V33" s="309"/>
      <c r="W33" s="307"/>
      <c r="X33" s="309"/>
      <c r="Y33" s="307"/>
      <c r="Z33" s="307"/>
      <c r="AA33" s="307"/>
      <c r="AB33" s="307"/>
      <c r="AC33" s="307"/>
      <c r="AD33" s="307"/>
      <c r="AE33" s="307"/>
      <c r="AF33" s="307"/>
    </row>
    <row r="34" ht="24.0" customHeight="1">
      <c r="A34" s="350"/>
      <c r="B34" s="351"/>
      <c r="C34" s="307"/>
      <c r="D34" s="307"/>
      <c r="E34" s="307"/>
      <c r="F34" s="307"/>
      <c r="G34" s="351"/>
      <c r="H34" s="352"/>
      <c r="I34" s="307"/>
      <c r="J34" s="307"/>
      <c r="K34" s="307"/>
      <c r="L34" s="309"/>
      <c r="M34" s="307"/>
      <c r="N34" s="310"/>
      <c r="O34" s="307"/>
      <c r="P34" s="307"/>
      <c r="Q34" s="307"/>
      <c r="R34" s="307"/>
      <c r="S34" s="307"/>
      <c r="T34" s="311"/>
      <c r="U34" s="309"/>
      <c r="V34" s="309"/>
      <c r="W34" s="307"/>
      <c r="X34" s="309"/>
      <c r="Y34" s="307"/>
      <c r="Z34" s="307"/>
      <c r="AA34" s="307"/>
      <c r="AB34" s="307"/>
      <c r="AC34" s="307"/>
      <c r="AD34" s="307"/>
      <c r="AE34" s="307"/>
      <c r="AF34" s="307"/>
    </row>
    <row r="35" ht="23.25" customHeight="1">
      <c r="A35" s="353"/>
      <c r="B35" s="307"/>
      <c r="C35" s="307"/>
      <c r="D35" s="307" t="s">
        <v>225</v>
      </c>
      <c r="E35" s="307"/>
      <c r="F35" s="354">
        <f>+D31+E31+F31+G31</f>
        <v>70058.03334</v>
      </c>
      <c r="G35" s="307"/>
      <c r="H35" s="355"/>
      <c r="I35" s="307"/>
      <c r="J35" s="307"/>
      <c r="K35" s="307"/>
      <c r="L35" s="309"/>
      <c r="M35" s="307"/>
      <c r="N35" s="310"/>
      <c r="O35" s="307"/>
      <c r="P35" s="307"/>
      <c r="Q35" s="307"/>
      <c r="R35" s="307"/>
      <c r="S35" s="307"/>
      <c r="T35" s="311"/>
      <c r="U35" s="309"/>
      <c r="V35" s="309"/>
      <c r="W35" s="307"/>
      <c r="X35" s="309"/>
      <c r="Y35" s="307"/>
      <c r="Z35" s="307"/>
      <c r="AA35" s="307"/>
      <c r="AB35" s="307"/>
      <c r="AC35" s="307"/>
      <c r="AD35" s="307"/>
      <c r="AE35" s="307"/>
      <c r="AF35" s="307"/>
    </row>
    <row r="36" ht="20.25" customHeight="1">
      <c r="A36" s="353"/>
      <c r="B36" s="307"/>
      <c r="C36" s="307"/>
      <c r="D36" s="307" t="s">
        <v>226</v>
      </c>
      <c r="E36" s="307"/>
      <c r="F36" s="356">
        <f>+F35/B31</f>
        <v>0.07866418653</v>
      </c>
      <c r="G36" s="307"/>
      <c r="H36" s="326"/>
      <c r="I36" s="307"/>
      <c r="J36" s="307"/>
      <c r="K36" s="307"/>
      <c r="L36" s="309"/>
      <c r="M36" s="307"/>
      <c r="N36" s="310"/>
      <c r="O36" s="307"/>
      <c r="P36" s="307"/>
      <c r="Q36" s="307"/>
      <c r="R36" s="307"/>
      <c r="S36" s="307"/>
      <c r="T36" s="311"/>
      <c r="U36" s="309"/>
      <c r="V36" s="309"/>
      <c r="W36" s="307"/>
      <c r="X36" s="309"/>
      <c r="Y36" s="307"/>
      <c r="Z36" s="307"/>
      <c r="AA36" s="307"/>
      <c r="AB36" s="307"/>
      <c r="AC36" s="307"/>
      <c r="AD36" s="307"/>
      <c r="AE36" s="307"/>
      <c r="AF36" s="307"/>
    </row>
    <row r="37" ht="20.25" customHeight="1">
      <c r="A37" s="353"/>
      <c r="B37" s="307"/>
      <c r="C37" s="307"/>
      <c r="D37" s="307" t="s">
        <v>227</v>
      </c>
      <c r="E37" s="307"/>
      <c r="F37" s="356">
        <f t="shared" ref="F37:F38" si="10">+D32+E32+G32</f>
        <v>0.04129401434</v>
      </c>
      <c r="G37" s="307"/>
      <c r="H37" s="326"/>
      <c r="I37" s="307"/>
      <c r="J37" s="307"/>
      <c r="K37" s="307"/>
      <c r="L37" s="309"/>
      <c r="M37" s="307"/>
      <c r="N37" s="310"/>
      <c r="O37" s="307"/>
      <c r="P37" s="307"/>
      <c r="Q37" s="307"/>
      <c r="R37" s="307"/>
      <c r="S37" s="307"/>
      <c r="T37" s="311"/>
      <c r="U37" s="309"/>
      <c r="V37" s="309"/>
      <c r="W37" s="307"/>
      <c r="X37" s="309"/>
      <c r="Y37" s="307"/>
      <c r="Z37" s="307"/>
      <c r="AA37" s="307"/>
      <c r="AB37" s="307"/>
      <c r="AC37" s="307"/>
      <c r="AD37" s="307"/>
      <c r="AE37" s="307"/>
      <c r="AF37" s="307"/>
    </row>
    <row r="38" ht="20.25" customHeight="1">
      <c r="A38" s="353"/>
      <c r="B38" s="307"/>
      <c r="C38" s="310" t="s">
        <v>228</v>
      </c>
      <c r="D38" s="310"/>
      <c r="E38" s="310"/>
      <c r="F38" s="349">
        <f t="shared" si="10"/>
        <v>0.0198</v>
      </c>
      <c r="G38" s="307"/>
      <c r="H38" s="357"/>
      <c r="I38" s="307"/>
      <c r="J38" s="307"/>
      <c r="K38" s="307"/>
      <c r="L38" s="309"/>
      <c r="M38" s="307"/>
      <c r="N38" s="310"/>
      <c r="O38" s="307"/>
      <c r="P38" s="307"/>
      <c r="Q38" s="307"/>
      <c r="R38" s="307"/>
      <c r="S38" s="307"/>
      <c r="T38" s="311"/>
      <c r="U38" s="309"/>
      <c r="V38" s="309"/>
      <c r="W38" s="307"/>
      <c r="X38" s="309"/>
      <c r="Y38" s="307"/>
      <c r="Z38" s="307"/>
      <c r="AA38" s="307"/>
      <c r="AB38" s="307"/>
      <c r="AC38" s="307"/>
      <c r="AD38" s="307"/>
      <c r="AE38" s="307"/>
      <c r="AF38" s="307"/>
    </row>
    <row r="39" ht="20.25" customHeight="1">
      <c r="A39" s="353" t="s">
        <v>229</v>
      </c>
      <c r="B39" s="307"/>
      <c r="C39" s="307"/>
      <c r="D39" s="358">
        <v>9.0</v>
      </c>
      <c r="E39" s="307"/>
      <c r="F39" s="307"/>
      <c r="G39" s="307"/>
      <c r="H39" s="357"/>
      <c r="I39" s="307"/>
      <c r="J39" s="307"/>
      <c r="K39" s="307"/>
      <c r="L39" s="309"/>
      <c r="M39" s="307"/>
      <c r="N39" s="310"/>
      <c r="O39" s="307"/>
      <c r="P39" s="307"/>
      <c r="Q39" s="307"/>
      <c r="R39" s="307"/>
      <c r="S39" s="307"/>
      <c r="T39" s="311"/>
      <c r="U39" s="309"/>
      <c r="V39" s="309"/>
      <c r="W39" s="307"/>
      <c r="X39" s="309"/>
      <c r="Y39" s="307"/>
      <c r="Z39" s="307"/>
      <c r="AA39" s="307"/>
      <c r="AB39" s="307"/>
      <c r="AC39" s="307"/>
      <c r="AD39" s="307"/>
      <c r="AE39" s="307"/>
      <c r="AF39" s="307"/>
    </row>
    <row r="40" ht="20.25" customHeight="1">
      <c r="A40" s="353"/>
      <c r="B40" s="307"/>
      <c r="C40" s="307" t="s">
        <v>230</v>
      </c>
      <c r="D40" s="359">
        <f t="shared" ref="D40:E40" si="11">+$D$39*D31</f>
        <v>66386.82679</v>
      </c>
      <c r="E40" s="359">
        <f t="shared" si="11"/>
        <v>39587.4</v>
      </c>
      <c r="F40" s="359"/>
      <c r="G40" s="359">
        <f>+$D$39*G31</f>
        <v>225012.4401</v>
      </c>
      <c r="H40" s="357"/>
      <c r="I40" s="307"/>
      <c r="J40" s="307"/>
      <c r="K40" s="307"/>
      <c r="L40" s="309"/>
      <c r="M40" s="307"/>
      <c r="N40" s="310"/>
      <c r="O40" s="307"/>
      <c r="P40" s="307"/>
      <c r="Q40" s="307"/>
      <c r="R40" s="307"/>
      <c r="S40" s="307"/>
      <c r="T40" s="311"/>
      <c r="U40" s="309"/>
      <c r="V40" s="309"/>
      <c r="W40" s="307"/>
      <c r="X40" s="309"/>
      <c r="Y40" s="307"/>
      <c r="Z40" s="307"/>
      <c r="AA40" s="307"/>
      <c r="AB40" s="307"/>
      <c r="AC40" s="307"/>
      <c r="AD40" s="307"/>
      <c r="AE40" s="307"/>
      <c r="AF40" s="307"/>
    </row>
    <row r="41" ht="21.0" customHeight="1">
      <c r="A41" s="360"/>
      <c r="B41" s="361"/>
      <c r="C41" s="361"/>
      <c r="D41" s="361"/>
      <c r="E41" s="361"/>
      <c r="F41" s="361"/>
      <c r="G41" s="361"/>
      <c r="H41" s="362"/>
      <c r="I41" s="307"/>
      <c r="J41" s="307"/>
      <c r="K41" s="307"/>
      <c r="L41" s="309"/>
      <c r="M41" s="307"/>
      <c r="N41" s="310"/>
      <c r="O41" s="307"/>
      <c r="P41" s="307"/>
      <c r="Q41" s="307"/>
      <c r="R41" s="307"/>
      <c r="S41" s="307"/>
      <c r="T41" s="311"/>
      <c r="U41" s="309"/>
      <c r="V41" s="309"/>
      <c r="W41" s="307"/>
      <c r="X41" s="309"/>
      <c r="Y41" s="307"/>
      <c r="Z41" s="307"/>
      <c r="AA41" s="307"/>
      <c r="AB41" s="307"/>
      <c r="AC41" s="307"/>
      <c r="AD41" s="307"/>
      <c r="AE41" s="307"/>
      <c r="AF41" s="307"/>
    </row>
    <row r="42" ht="20.25" customHeight="1">
      <c r="A42" s="363">
        <f>+'1-12'!Q239+'2-12'!Q184+'3-12'!Q197+'4-12'!Q166+'6-12'!Q177+'7-12'!Q179+'8-12'!Q182+'9-12'!Q169+'10-12'!Q194+'11-12'!Q155+'13-12'!Q194+'14-12'!P169+'15-12'!P187+'17-12'!P196+'18-12'!P160+'19-12'!P150+'20-12'!P184+'21-12'!P187+'22-12'!P176+'23-12'!P176+'24-12'!P178+'25-12'!P178+'27-12'!P192+'28-12'!P182</f>
        <v>0</v>
      </c>
      <c r="B42" s="363"/>
      <c r="C42" s="363">
        <f>+'1-12'!R239+'2-12'!R184+'3-12'!R197+'4-12'!R166+'6-12'!R177+'7-12'!R179+'8-12'!R182+'9-12'!R169+'10-12'!R194+'11-12'!R155+'13-12'!R194+'14-12'!R169+'15-12'!R187+'17-12'!R196+'18-12'!R160+'19-12'!R150+'20-12'!R184+'21-12'!R187+'22-12'!R176+'23-12'!R176+'24-12'!R178+'25-12'!R178+'27-12'!R192+'28-12'!R182</f>
        <v>0</v>
      </c>
      <c r="D42" s="363">
        <f>+'1-12'!S239+'2-12'!S184+'3-12'!S197+'4-12'!S166+'6-12'!S177+'7-12'!S179+'8-12'!S182+'9-12'!S169+'10-12'!S194+'11-12'!S155+'13-12'!S194+'14-12'!S169+'15-12'!S187+'17-12'!S196+'18-12'!S160+'19-12'!S150+'20-12'!S184+'21-12'!S187+'22-12'!S176+'23-12'!S176+'24-12'!S178+'25-12'!S178+'27-12'!S192+'28-12'!S182</f>
        <v>0</v>
      </c>
      <c r="E42" s="363">
        <f>+'1-12'!T239+'2-12'!T184+'3-12'!T197+'4-12'!T166+'6-12'!T177+'7-12'!T179+'8-12'!T182+'9-12'!T169+'10-12'!T194+'11-12'!T155+'13-12'!T194+'14-12'!T169+'15-12'!T187+'17-12'!T196+'18-12'!T160+'19-12'!T150+'20-12'!T184+'21-12'!T187+'22-12'!T176+'23-12'!T176+'24-12'!T178+'25-12'!T178+'27-12'!T192+'28-12'!T182</f>
        <v>0</v>
      </c>
      <c r="F42" s="363">
        <f>+'1-12'!U239+'2-12'!U184+'3-12'!U197+'4-12'!U166+'6-12'!U177+'7-12'!U179+'8-12'!U182+'9-12'!U169+'10-12'!U194+'11-12'!U155+'13-12'!U194+'14-12'!U169+'15-12'!U187+'17-12'!U196+'18-12'!U160+'19-12'!U150+'20-12'!U184+'21-12'!U187+'22-12'!U176+'23-12'!U176+'24-12'!U178+'25-12'!U178+'27-12'!U192+'28-12'!U182</f>
        <v>0</v>
      </c>
      <c r="G42" s="363">
        <f>+'1-12'!V239+'2-12'!V184+'3-12'!V197+'4-12'!V166+'6-12'!V177+'7-12'!V179+'8-12'!V182+'9-12'!V169+'10-12'!V194+'11-12'!V155+'13-12'!V194+'14-12'!V169+'15-12'!V187+'17-12'!V196+'18-12'!V160+'19-12'!V150+'20-12'!V184+'21-12'!V187+'22-12'!V176+'23-12'!V176+'24-12'!V178+'25-12'!V178+'27-12'!V192+'28-12'!V182</f>
        <v>0</v>
      </c>
      <c r="H42" s="363">
        <f>+'1-12'!W239+'2-12'!W184+'3-12'!W197+'4-12'!W166+'6-12'!W177+'7-12'!W179+'8-12'!W182+'9-12'!W169+'10-12'!W194+'11-12'!W155+'13-12'!W194+'14-12'!W169+'15-12'!W187+'17-12'!W196+'18-12'!W160+'19-12'!W150+'20-12'!W184+'21-12'!W187+'22-12'!W176+'23-12'!W176+'24-12'!W178+'25-12'!W178+'27-12'!W192+'28-12'!W182</f>
        <v>0</v>
      </c>
      <c r="I42" s="363">
        <f>+'1-12'!X239+'2-12'!X184+'3-12'!X197+'4-12'!X166+'6-12'!X177+'7-12'!X179+'8-12'!X182+'9-12'!X169+'10-12'!X194+'11-12'!X155+'13-12'!X194+'14-12'!X169+'15-12'!X187+'17-12'!X196+'18-12'!X160+'19-12'!X150+'20-12'!X184+'21-12'!X187+'22-12'!X176+'23-12'!X176+'24-12'!X178+'25-12'!X178+'27-12'!X192+'28-12'!X182</f>
        <v>0</v>
      </c>
      <c r="J42" s="363">
        <f>+'1-12'!Y239+'2-12'!Y184+'3-12'!Y197+'4-12'!Y166+'6-12'!Y177+'7-12'!Y179+'8-12'!Y182+'9-12'!Y169+'10-12'!Y194+'11-12'!Y155+'13-12'!Y194+'14-12'!Y169+'15-12'!Y187+'17-12'!Y196+'18-12'!Y160+'19-12'!Y150+'20-12'!Y184+'21-12'!Y187+'22-12'!Y176+'23-12'!Y176+'24-12'!Y178+'25-12'!Y178+'27-12'!Y192+'28-12'!Y182</f>
        <v>0</v>
      </c>
      <c r="K42" s="363">
        <f>+'1-12'!Z239+'2-12'!Z184+'3-12'!Z197+'4-12'!Z166+'6-12'!Z177+'7-12'!Z179+'8-12'!Z182+'9-12'!Z169+'10-12'!Z194+'11-12'!Z155+'13-12'!Z194+'14-12'!Z169+'15-12'!Z187+'17-12'!Z196+'18-12'!Z160+'19-12'!Z150+'20-12'!Z184+'21-12'!Z187+'22-12'!Z176+'23-12'!Z176+'24-12'!Z178+'25-12'!Z178+'27-12'!Z192+'28-12'!Z182</f>
        <v>0</v>
      </c>
      <c r="L42" s="363">
        <f>+'1-12'!AA239+'2-12'!AA184+'3-12'!AA197+'4-12'!AA166+'6-12'!AA177+'7-12'!AA179+'8-12'!AA182+'9-12'!AA169+'10-12'!AA194+'11-12'!AA155+'13-12'!AA194+'14-12'!AA169+'15-12'!AA187+'17-12'!AA196+'18-12'!AA160+'19-12'!AA150+'20-12'!AA184+'21-12'!AA187+'22-12'!AA176+'23-12'!AA176+'24-12'!AA178+'25-12'!AA178+'27-12'!AA192+'28-12'!AA182</f>
        <v>0</v>
      </c>
      <c r="M42" s="363">
        <f>+'1-12'!AB239+'2-12'!AB184+'3-12'!AB197+'4-12'!AB166+'6-12'!AB177+'7-12'!AB179+'8-12'!AB182+'9-12'!AB169+'10-12'!AB194+'11-12'!AB155+'13-12'!AB194+'14-12'!AB169+'15-12'!AB187+'17-12'!AB196+'18-12'!AB160+'19-12'!AB150+'20-12'!AB184+'21-12'!AB187+'22-12'!AB176+'23-12'!AB176+'24-12'!AB178+'25-12'!AB178+'27-12'!AB192+'28-12'!AB182</f>
        <v>0</v>
      </c>
      <c r="N42" s="363">
        <f>+'1-12'!AC239+'2-12'!AC184+'3-12'!AC197+'4-12'!AC166+'6-12'!AC177+'7-12'!AC179+'8-12'!AC182+'9-12'!AC169+'10-12'!AC194+'11-12'!AC155+'13-12'!AC194+'14-12'!AC169+'15-12'!AC187+'17-12'!AC196+'18-12'!AC160+'19-12'!AC150+'20-12'!AC184+'21-12'!AC187+'22-12'!AC176+'23-12'!AC176+'24-12'!AC178+'25-12'!AC178+'27-12'!AC192+'28-12'!AC182</f>
        <v>0</v>
      </c>
      <c r="O42" s="363">
        <f>+'1-12'!AD239+'2-12'!AD184+'3-12'!AD197+'4-12'!AD166+'6-12'!AD177+'7-12'!AD179+'8-12'!AD182+'9-12'!AD169+'10-12'!AD194+'11-12'!AD155+'13-12'!AD194+'14-12'!AD169+'15-12'!AD187+'17-12'!AD196+'18-12'!AD160+'19-12'!AD150+'20-12'!AD184+'21-12'!AD187+'22-12'!AD176+'23-12'!AD176+'24-12'!AD178+'25-12'!AD178+'27-12'!AD192+'28-12'!AD182</f>
        <v>0</v>
      </c>
      <c r="P42" s="307"/>
      <c r="Q42" s="307"/>
      <c r="R42" s="307"/>
      <c r="S42" s="307"/>
      <c r="T42" s="311"/>
      <c r="U42" s="309"/>
      <c r="V42" s="309"/>
      <c r="W42" s="307"/>
      <c r="X42" s="309"/>
      <c r="Y42" s="307"/>
      <c r="Z42" s="307"/>
      <c r="AA42" s="307"/>
      <c r="AB42" s="307"/>
      <c r="AC42" s="307"/>
      <c r="AD42" s="307"/>
      <c r="AE42" s="307"/>
      <c r="AF42" s="307"/>
    </row>
    <row r="43" ht="20.25" customHeight="1">
      <c r="A43" s="363">
        <f>+'1-12'!Q240+'2-12'!Q185+'3-12'!Q198+'4-12'!Q167+'6-12'!Q178+'7-12'!Q180+'8-12'!Q183+'9-12'!Q170+'10-12'!Q195+'11-12'!Q156+'13-12'!Q195+'14-12'!P170+'15-12'!P188+'17-12'!P197+'18-12'!P161+'19-12'!P151+'20-12'!P185+'21-12'!P188+'22-12'!P177+'23-12'!P177+'24-12'!P179+'25-12'!P179+'27-12'!P193+'28-12'!P183</f>
        <v>0</v>
      </c>
      <c r="B43" s="363"/>
      <c r="C43" s="363">
        <f>+'1-12'!R240+'2-12'!R185+'3-12'!R198+'4-12'!R167+'6-12'!R178+'7-12'!R180+'8-12'!R183+'9-12'!R170+'10-12'!R195+'11-12'!R156+'13-12'!R195+'14-12'!R170+'15-12'!R188+'17-12'!R197+'18-12'!R161+'19-12'!R151+'20-12'!R185+'21-12'!R188+'22-12'!R177+'23-12'!R177+'24-12'!R179+'25-12'!R179+'27-12'!R193+'28-12'!R183</f>
        <v>0</v>
      </c>
      <c r="D43" s="363">
        <f>+'1-12'!S240+'2-12'!S185+'3-12'!S198+'4-12'!S167+'6-12'!S178+'7-12'!S180+'8-12'!S183+'9-12'!S170+'10-12'!S195+'11-12'!S156+'13-12'!S195+'14-12'!S170+'15-12'!S188+'17-12'!S197+'18-12'!S161+'19-12'!S151+'20-12'!S185+'21-12'!S188+'22-12'!S177+'23-12'!S177+'24-12'!S179+'25-12'!S179+'27-12'!S193+'28-12'!S183</f>
        <v>0</v>
      </c>
      <c r="E43" s="363">
        <f>+'1-12'!T240+'2-12'!T185+'3-12'!T198+'4-12'!T167+'6-12'!T178+'7-12'!T180+'8-12'!T183+'9-12'!T170+'10-12'!T195+'11-12'!T156+'13-12'!T195+'14-12'!T170+'15-12'!T188+'17-12'!T197+'18-12'!T161+'19-12'!T151+'20-12'!T185+'21-12'!T188+'22-12'!T177+'23-12'!T177+'24-12'!T179+'25-12'!T179+'27-12'!T193+'28-12'!T183</f>
        <v>0</v>
      </c>
      <c r="F43" s="363">
        <f>+'1-12'!U240+'2-12'!U185+'3-12'!U198+'4-12'!U167+'6-12'!U178+'7-12'!U180+'8-12'!U183+'9-12'!U170+'10-12'!U195+'11-12'!U156+'13-12'!U195+'14-12'!U170+'15-12'!U188+'17-12'!U197+'18-12'!U161+'19-12'!U151+'20-12'!U185+'21-12'!U188+'22-12'!U177+'23-12'!U177+'24-12'!U179+'25-12'!U179+'27-12'!U193+'28-12'!U183</f>
        <v>0</v>
      </c>
      <c r="G43" s="363">
        <f>+'1-12'!V240+'2-12'!V185+'3-12'!V198+'4-12'!V167+'6-12'!V178+'7-12'!V180+'8-12'!V183+'9-12'!V170+'10-12'!V195+'11-12'!V156+'13-12'!V195+'14-12'!V170+'15-12'!V188+'17-12'!V197+'18-12'!V161+'19-12'!V151+'20-12'!V185+'21-12'!V188+'22-12'!V177+'23-12'!V177+'24-12'!V179+'25-12'!V179+'27-12'!V193+'28-12'!V183</f>
        <v>0</v>
      </c>
      <c r="H43" s="363">
        <f>+'1-12'!W240+'2-12'!W185+'3-12'!W198+'4-12'!W167+'6-12'!W178+'7-12'!W180+'8-12'!W183+'9-12'!W170+'10-12'!W195+'11-12'!W156+'13-12'!W195+'14-12'!W170+'15-12'!W188+'17-12'!W197+'18-12'!W161+'19-12'!W151+'20-12'!W185+'21-12'!W188+'22-12'!W177+'23-12'!W177+'24-12'!W179+'25-12'!W179+'27-12'!W193+'28-12'!W183</f>
        <v>0</v>
      </c>
      <c r="I43" s="363">
        <f>+'1-12'!X240+'2-12'!X185+'3-12'!X198+'4-12'!X167+'6-12'!X178+'7-12'!X180+'8-12'!X183+'9-12'!X170+'10-12'!X195+'11-12'!X156+'13-12'!X195+'14-12'!X170+'15-12'!X188+'17-12'!X197+'18-12'!X161+'19-12'!X151+'20-12'!X185+'21-12'!X188+'22-12'!X177+'23-12'!X177+'24-12'!X179+'25-12'!X179+'27-12'!X193+'28-12'!X183</f>
        <v>0</v>
      </c>
      <c r="J43" s="363">
        <f>+'1-12'!Y240+'2-12'!Y185+'3-12'!Y198+'4-12'!Y167+'6-12'!Y178+'7-12'!Y180+'8-12'!Y183+'9-12'!Y170+'10-12'!Y195+'11-12'!Y156+'13-12'!Y195+'14-12'!Y170+'15-12'!Y188+'17-12'!Y197+'18-12'!Y161+'19-12'!Y151+'20-12'!Y185+'21-12'!Y188+'22-12'!Y177+'23-12'!Y177+'24-12'!Y179+'25-12'!Y179+'27-12'!Y193+'28-12'!Y183</f>
        <v>0</v>
      </c>
      <c r="K43" s="363">
        <f>+'1-12'!Z240+'2-12'!Z185+'3-12'!Z198+'4-12'!Z167+'6-12'!Z178+'7-12'!Z180+'8-12'!Z183+'9-12'!Z170+'10-12'!Z195+'11-12'!Z156+'13-12'!Z195+'14-12'!Z170+'15-12'!Z188+'17-12'!Z197+'18-12'!Z161+'19-12'!Z151+'20-12'!Z185+'21-12'!Z188+'22-12'!Z177+'23-12'!Z177+'24-12'!Z179+'25-12'!Z179+'27-12'!Z193+'28-12'!Z183</f>
        <v>0</v>
      </c>
      <c r="L43" s="363">
        <f>+'1-12'!AA240+'2-12'!AA185+'3-12'!AA198+'4-12'!AA167+'6-12'!AA178+'7-12'!AA180+'8-12'!AA183+'9-12'!AA170+'10-12'!AA195+'11-12'!AA156+'13-12'!AA195+'14-12'!AA170+'15-12'!AA188+'17-12'!AA197+'18-12'!AA161+'19-12'!AA151+'20-12'!AA185+'21-12'!AA188+'22-12'!AA177+'23-12'!AA177+'24-12'!AA179+'25-12'!AA179+'27-12'!AA193+'28-12'!AA183</f>
        <v>0</v>
      </c>
      <c r="M43" s="363">
        <f>+'1-12'!AB240+'2-12'!AB185+'3-12'!AB198+'4-12'!AB167+'6-12'!AB178+'7-12'!AB180+'8-12'!AB183+'9-12'!AB170+'10-12'!AB195+'11-12'!AB156+'13-12'!AB195+'14-12'!AB170+'15-12'!AB188+'17-12'!AB197+'18-12'!AB161+'19-12'!AB151+'20-12'!AB185+'21-12'!AB188+'22-12'!AB177+'23-12'!AB177+'24-12'!AB179+'25-12'!AB179+'27-12'!AB193+'28-12'!AB183</f>
        <v>0</v>
      </c>
      <c r="N43" s="363">
        <f>+'1-12'!AC240+'2-12'!AC185+'3-12'!AC198+'4-12'!AC167+'6-12'!AC178+'7-12'!AC180+'8-12'!AC183+'9-12'!AC170+'10-12'!AC195+'11-12'!AC156+'13-12'!AC195+'14-12'!AC170+'15-12'!AC188+'17-12'!AC197+'18-12'!AC161+'19-12'!AC151+'20-12'!AC185+'21-12'!AC188+'22-12'!AC177+'23-12'!AC177+'24-12'!AC179+'25-12'!AC179+'27-12'!AC193+'28-12'!AC183</f>
        <v>0</v>
      </c>
      <c r="O43" s="363">
        <f>+'1-12'!AD240+'2-12'!AD185+'3-12'!AD198+'4-12'!AD167+'6-12'!AD178+'7-12'!AD180+'8-12'!AD183+'9-12'!AD170+'10-12'!AD195+'11-12'!AD156+'13-12'!AD195+'14-12'!AD170+'15-12'!AD188+'17-12'!AD197+'18-12'!AD161+'19-12'!AD151+'20-12'!AD185+'21-12'!AD188+'22-12'!AD177+'23-12'!AD177+'24-12'!AD179+'25-12'!AD179+'27-12'!AD193+'28-12'!AD183</f>
        <v>0</v>
      </c>
      <c r="P43" s="307"/>
      <c r="Q43" s="307"/>
      <c r="R43" s="307"/>
      <c r="S43" s="307"/>
      <c r="T43" s="311"/>
      <c r="U43" s="309"/>
      <c r="V43" s="309"/>
      <c r="W43" s="307"/>
      <c r="X43" s="309"/>
      <c r="Y43" s="307"/>
      <c r="Z43" s="307"/>
      <c r="AA43" s="307"/>
      <c r="AB43" s="307"/>
      <c r="AC43" s="307"/>
      <c r="AD43" s="307"/>
      <c r="AE43" s="307"/>
      <c r="AF43" s="307"/>
    </row>
    <row r="44" ht="20.25" customHeight="1">
      <c r="A44" s="363">
        <f>+'1-12'!Q241+'2-12'!Q186+'3-12'!Q199+'4-12'!Q168+'6-12'!Q179+'7-12'!Q181+'8-12'!Q184+'9-12'!Q171+'10-12'!Q196+'11-12'!Q157+'13-12'!Q196+'14-12'!P171+'15-12'!P189+'17-12'!P198+'18-12'!P162+'19-12'!P152+'20-12'!P186+'21-12'!P189+'22-12'!P178+'23-12'!P178+'24-12'!P180+'25-12'!P180+'27-12'!P194+'28-12'!P184</f>
        <v>0</v>
      </c>
      <c r="B44" s="363"/>
      <c r="C44" s="363">
        <f>+'1-12'!R241+'2-12'!R186+'3-12'!R199+'4-12'!R168+'6-12'!R179+'7-12'!R181+'8-12'!R184+'9-12'!R171+'10-12'!R196+'11-12'!R157+'13-12'!R196+'14-12'!R171+'15-12'!R189+'17-12'!R198+'18-12'!R162+'19-12'!R152+'20-12'!R186+'21-12'!R189+'22-12'!R178+'23-12'!R178+'24-12'!R180+'25-12'!R180+'27-12'!R194+'28-12'!R184</f>
        <v>0</v>
      </c>
      <c r="D44" s="363">
        <f>+'1-12'!S241+'2-12'!S186+'3-12'!S199+'4-12'!S168+'6-12'!S179+'7-12'!S181+'8-12'!S184+'9-12'!S171+'10-12'!S196+'11-12'!S157+'13-12'!S196+'14-12'!S171+'15-12'!S189+'17-12'!S198+'18-12'!S162+'19-12'!S152+'20-12'!S186+'21-12'!S189+'22-12'!S178+'23-12'!S178+'24-12'!S180+'25-12'!S180+'27-12'!S194+'28-12'!S184</f>
        <v>517</v>
      </c>
      <c r="E44" s="363">
        <f>+'1-12'!T241+'2-12'!T186+'3-12'!T199+'4-12'!T168+'6-12'!T179+'7-12'!T181+'8-12'!T184+'9-12'!T171+'10-12'!T196+'11-12'!T157+'13-12'!T196+'14-12'!T171+'15-12'!T189+'17-12'!T198+'18-12'!T162+'19-12'!T152+'20-12'!T186+'21-12'!T189+'22-12'!T178+'23-12'!T178+'24-12'!T180+'25-12'!T180+'27-12'!T194+'28-12'!T184</f>
        <v>851</v>
      </c>
      <c r="F44" s="363">
        <f>+'1-12'!U241+'2-12'!U186+'3-12'!U199+'4-12'!U168+'6-12'!U179+'7-12'!U181+'8-12'!U184+'9-12'!U171+'10-12'!U196+'11-12'!U157+'13-12'!U196+'14-12'!U171+'15-12'!U189+'17-12'!U198+'18-12'!U162+'19-12'!U152+'20-12'!U186+'21-12'!U189+'22-12'!U178+'23-12'!U178+'24-12'!U180+'25-12'!U180+'27-12'!U194+'28-12'!U184</f>
        <v>15198.07</v>
      </c>
      <c r="G44" s="363">
        <f>+'1-12'!V241+'2-12'!V186+'3-12'!V199+'4-12'!V168+'6-12'!V179+'7-12'!V181+'8-12'!V184+'9-12'!V171+'10-12'!V196+'11-12'!V157+'13-12'!V196+'14-12'!V171+'15-12'!V189+'17-12'!V198+'18-12'!V162+'19-12'!V152+'20-12'!V186+'21-12'!V189+'22-12'!V178+'23-12'!V178+'24-12'!V180+'25-12'!V180+'27-12'!V194+'28-12'!V184</f>
        <v>0</v>
      </c>
      <c r="H44" s="363">
        <f>+'1-12'!W241+'2-12'!W186+'3-12'!W199+'4-12'!W168+'6-12'!W179+'7-12'!W181+'8-12'!W184+'9-12'!W171+'10-12'!W196+'11-12'!W157+'13-12'!W196+'14-12'!W171+'15-12'!W189+'17-12'!W198+'18-12'!W162+'19-12'!W152+'20-12'!W186+'21-12'!W189+'22-12'!W178+'23-12'!W178+'24-12'!W180+'25-12'!W180+'27-12'!W194+'28-12'!W184</f>
        <v>0</v>
      </c>
      <c r="I44" s="363">
        <f>+'1-12'!X241+'2-12'!X186+'3-12'!X199+'4-12'!X168+'6-12'!X179+'7-12'!X181+'8-12'!X184+'9-12'!X171+'10-12'!X196+'11-12'!X157+'13-12'!X196+'14-12'!X171+'15-12'!X189+'17-12'!X198+'18-12'!X162+'19-12'!X152+'20-12'!X186+'21-12'!X189+'22-12'!X178+'23-12'!X178+'24-12'!X180+'25-12'!X180+'27-12'!X194+'28-12'!X184</f>
        <v>0</v>
      </c>
      <c r="J44" s="363">
        <f>+'1-12'!Y241+'2-12'!Y186+'3-12'!Y199+'4-12'!Y168+'6-12'!Y179+'7-12'!Y181+'8-12'!Y184+'9-12'!Y171+'10-12'!Y196+'11-12'!Y157+'13-12'!Y196+'14-12'!Y171+'15-12'!Y189+'17-12'!Y198+'18-12'!Y162+'19-12'!Y152+'20-12'!Y186+'21-12'!Y189+'22-12'!Y178+'23-12'!Y178+'24-12'!Y180+'25-12'!Y180+'27-12'!Y194+'28-12'!Y184</f>
        <v>0</v>
      </c>
      <c r="K44" s="363">
        <f>+'1-12'!Z241+'2-12'!Z186+'3-12'!Z199+'4-12'!Z168+'6-12'!Z179+'7-12'!Z181+'8-12'!Z184+'9-12'!Z171+'10-12'!Z196+'11-12'!Z157+'13-12'!Z196+'14-12'!Z171+'15-12'!Z189+'17-12'!Z198+'18-12'!Z162+'19-12'!Z152+'20-12'!Z186+'21-12'!Z189+'22-12'!Z178+'23-12'!Z178+'24-12'!Z180+'25-12'!Z180+'27-12'!Z194+'28-12'!Z184</f>
        <v>30319.01035</v>
      </c>
      <c r="L44" s="363">
        <f>+'1-12'!AA241+'2-12'!AA186+'3-12'!AA199+'4-12'!AA168+'6-12'!AA179+'7-12'!AA181+'8-12'!AA184+'9-12'!AA171+'10-12'!AA196+'11-12'!AA157+'13-12'!AA196+'14-12'!AA171+'15-12'!AA189+'17-12'!AA198+'18-12'!AA162+'19-12'!AA152+'20-12'!AA186+'21-12'!AA189+'22-12'!AA178+'23-12'!AA178+'24-12'!AA180+'25-12'!AA180+'27-12'!AA194+'28-12'!AA184</f>
        <v>0</v>
      </c>
      <c r="M44" s="363">
        <f>+'1-12'!AB241+'2-12'!AB186+'3-12'!AB199+'4-12'!AB168+'6-12'!AB179+'7-12'!AB181+'8-12'!AB184+'9-12'!AB171+'10-12'!AB196+'11-12'!AB157+'13-12'!AB196+'14-12'!AB171+'15-12'!AB189+'17-12'!AB198+'18-12'!AB162+'19-12'!AB152+'20-12'!AB186+'21-12'!AB189+'22-12'!AB178+'23-12'!AB178+'24-12'!AB180+'25-12'!AB180+'27-12'!AB194+'28-12'!AB184</f>
        <v>0</v>
      </c>
      <c r="N44" s="363">
        <f>+'1-12'!AC241+'2-12'!AC186+'3-12'!AC199+'4-12'!AC168+'6-12'!AC179+'7-12'!AC181+'8-12'!AC184+'9-12'!AC171+'10-12'!AC196+'11-12'!AC157+'13-12'!AC196+'14-12'!AC171+'15-12'!AC189+'17-12'!AC198+'18-12'!AC162+'19-12'!AC152+'20-12'!AC186+'21-12'!AC189+'22-12'!AC178+'23-12'!AC178+'24-12'!AC180+'25-12'!AC180+'27-12'!AC194+'28-12'!AC184</f>
        <v>0</v>
      </c>
      <c r="O44" s="363">
        <f>+'1-12'!AD241+'2-12'!AD186+'3-12'!AD199+'4-12'!AD168+'6-12'!AD179+'7-12'!AD181+'8-12'!AD184+'9-12'!AD171+'10-12'!AD196+'11-12'!AD157+'13-12'!AD196+'14-12'!AD171+'15-12'!AD189+'17-12'!AD198+'18-12'!AD162+'19-12'!AD152+'20-12'!AD186+'21-12'!AD189+'22-12'!AD178+'23-12'!AD178+'24-12'!AD180+'25-12'!AD180+'27-12'!AD194+'28-12'!AD184</f>
        <v>0</v>
      </c>
      <c r="P44" s="307"/>
      <c r="Q44" s="307"/>
      <c r="R44" s="307"/>
      <c r="S44" s="307"/>
      <c r="T44" s="311"/>
      <c r="U44" s="309"/>
      <c r="V44" s="309"/>
      <c r="W44" s="307"/>
      <c r="X44" s="309"/>
      <c r="Y44" s="307"/>
      <c r="Z44" s="307"/>
      <c r="AA44" s="307"/>
      <c r="AB44" s="307"/>
      <c r="AC44" s="307"/>
      <c r="AD44" s="307"/>
      <c r="AE44" s="307"/>
      <c r="AF44" s="307"/>
    </row>
    <row r="45" ht="20.25" customHeight="1">
      <c r="A45" s="363">
        <f>+'1-12'!Q242+'2-12'!Q187+'3-12'!Q200+'4-12'!Q169+'6-12'!Q180+'7-12'!Q182+'8-12'!Q185+'9-12'!Q172+'10-12'!Q197+'11-12'!Q158+'13-12'!Q197+'14-12'!P172+'15-12'!P190+'17-12'!P199+'18-12'!P163+'19-12'!P153+'20-12'!P187+'21-12'!P190+'22-12'!P179+'23-12'!P179+'24-12'!P181+'25-12'!P181+'27-12'!P195+'28-12'!P185</f>
        <v>0</v>
      </c>
      <c r="B45" s="363"/>
      <c r="C45" s="363">
        <f>+'1-12'!R242+'2-12'!R187+'3-12'!R200+'4-12'!R169+'6-12'!R180+'7-12'!R182+'8-12'!R185+'9-12'!R172+'10-12'!R197+'11-12'!R158+'13-12'!R197+'14-12'!R172+'15-12'!R190+'17-12'!R199+'18-12'!R163+'19-12'!R153+'20-12'!R187+'21-12'!R190+'22-12'!R179+'23-12'!R179+'24-12'!R181+'25-12'!R181+'27-12'!R195+'28-12'!R185</f>
        <v>0</v>
      </c>
      <c r="D45" s="363">
        <f>+'1-12'!S242+'2-12'!S187+'3-12'!S200+'4-12'!S169+'6-12'!S180+'7-12'!S182+'8-12'!S185+'9-12'!S172+'10-12'!S197+'11-12'!S158+'13-12'!S197+'14-12'!S172+'15-12'!S190+'17-12'!S199+'18-12'!S163+'19-12'!S153+'20-12'!S187+'21-12'!S190+'22-12'!S179+'23-12'!S179+'24-12'!S181+'25-12'!S181+'27-12'!S195+'28-12'!S185</f>
        <v>0</v>
      </c>
      <c r="E45" s="363">
        <f>+'1-12'!T242+'2-12'!T187+'3-12'!T200+'4-12'!T169+'6-12'!T180+'7-12'!T182+'8-12'!T185+'9-12'!T172+'10-12'!T197+'11-12'!T158+'13-12'!T197+'14-12'!T172+'15-12'!T190+'17-12'!T199+'18-12'!T163+'19-12'!T153+'20-12'!T187+'21-12'!T190+'22-12'!T179+'23-12'!T179+'24-12'!T181+'25-12'!T181+'27-12'!T195+'28-12'!T185</f>
        <v>334</v>
      </c>
      <c r="F45" s="363">
        <f>+'1-12'!U242+'2-12'!U187+'3-12'!U200+'4-12'!U169+'6-12'!U180+'7-12'!U182+'8-12'!U185+'9-12'!U172+'10-12'!U197+'11-12'!U158+'13-12'!U197+'14-12'!U172+'15-12'!U190+'17-12'!U199+'18-12'!U163+'19-12'!U153+'20-12'!U187+'21-12'!U190+'22-12'!U179+'23-12'!U179+'24-12'!U181+'25-12'!U181+'27-12'!U195+'28-12'!U185</f>
        <v>0</v>
      </c>
      <c r="G45" s="363">
        <f>+'1-12'!V242+'2-12'!V187+'3-12'!V200+'4-12'!V169+'6-12'!V180+'7-12'!V182+'8-12'!V185+'9-12'!V172+'10-12'!V197+'11-12'!V158+'13-12'!V197+'14-12'!V172+'15-12'!V190+'17-12'!V199+'18-12'!V163+'19-12'!V153+'20-12'!V187+'21-12'!V190+'22-12'!V179+'23-12'!V179+'24-12'!V181+'25-12'!V181+'27-12'!V195+'28-12'!V185</f>
        <v>0</v>
      </c>
      <c r="H45" s="363">
        <f>+'1-12'!W242+'2-12'!W187+'3-12'!W200+'4-12'!W169+'6-12'!W180+'7-12'!W182+'8-12'!W185+'9-12'!W172+'10-12'!W197+'11-12'!W158+'13-12'!W197+'14-12'!W172+'15-12'!W190+'17-12'!W199+'18-12'!W163+'19-12'!W153+'20-12'!W187+'21-12'!W190+'22-12'!W179+'23-12'!W179+'24-12'!W181+'25-12'!W181+'27-12'!W195+'28-12'!W185</f>
        <v>0</v>
      </c>
      <c r="I45" s="363">
        <f>+'1-12'!X242+'2-12'!X187+'3-12'!X200+'4-12'!X169+'6-12'!X180+'7-12'!X182+'8-12'!X185+'9-12'!X172+'10-12'!X197+'11-12'!X158+'13-12'!X197+'14-12'!X172+'15-12'!X190+'17-12'!X199+'18-12'!X163+'19-12'!X153+'20-12'!X187+'21-12'!X190+'22-12'!X179+'23-12'!X179+'24-12'!X181+'25-12'!X181+'27-12'!X195+'28-12'!X185</f>
        <v>0</v>
      </c>
      <c r="J45" s="363">
        <f>+'1-12'!Y242+'2-12'!Y187+'3-12'!Y200+'4-12'!Y169+'6-12'!Y180+'7-12'!Y182+'8-12'!Y185+'9-12'!Y172+'10-12'!Y197+'11-12'!Y158+'13-12'!Y197+'14-12'!Y172+'15-12'!Y190+'17-12'!Y199+'18-12'!Y163+'19-12'!Y153+'20-12'!Y187+'21-12'!Y190+'22-12'!Y179+'23-12'!Y179+'24-12'!Y181+'25-12'!Y181+'27-12'!Y195+'28-12'!Y185</f>
        <v>0</v>
      </c>
      <c r="K45" s="363">
        <f>+'1-12'!Z242+'2-12'!Z187+'3-12'!Z200+'4-12'!Z169+'6-12'!Z180+'7-12'!Z182+'8-12'!Z185+'9-12'!Z172+'10-12'!Z197+'11-12'!Z158+'13-12'!Z197+'14-12'!Z172+'15-12'!Z190+'17-12'!Z199+'18-12'!Z163+'19-12'!Z153+'20-12'!Z187+'21-12'!Z190+'22-12'!Z179+'23-12'!Z179+'24-12'!Z181+'25-12'!Z181+'27-12'!Z195+'28-12'!Z185</f>
        <v>0</v>
      </c>
      <c r="L45" s="363">
        <f>+'1-12'!AA242+'2-12'!AA187+'3-12'!AA200+'4-12'!AA169+'6-12'!AA180+'7-12'!AA182+'8-12'!AA185+'9-12'!AA172+'10-12'!AA197+'11-12'!AA158+'13-12'!AA197+'14-12'!AA172+'15-12'!AA190+'17-12'!AA199+'18-12'!AA163+'19-12'!AA153+'20-12'!AA187+'21-12'!AA190+'22-12'!AA179+'23-12'!AA179+'24-12'!AA181+'25-12'!AA181+'27-12'!AA195+'28-12'!AA185</f>
        <v>0</v>
      </c>
      <c r="M45" s="363">
        <f>+'1-12'!AB242+'2-12'!AB187+'3-12'!AB200+'4-12'!AB169+'6-12'!AB180+'7-12'!AB182+'8-12'!AB185+'9-12'!AB172+'10-12'!AB197+'11-12'!AB158+'13-12'!AB197+'14-12'!AB172+'15-12'!AB190+'17-12'!AB199+'18-12'!AB163+'19-12'!AB153+'20-12'!AB187+'21-12'!AB190+'22-12'!AB179+'23-12'!AB179+'24-12'!AB181+'25-12'!AB181+'27-12'!AB195+'28-12'!AB185</f>
        <v>0</v>
      </c>
      <c r="N45" s="363">
        <f>+'1-12'!AC242+'2-12'!AC187+'3-12'!AC200+'4-12'!AC169+'6-12'!AC180+'7-12'!AC182+'8-12'!AC185+'9-12'!AC172+'10-12'!AC197+'11-12'!AC158+'13-12'!AC197+'14-12'!AC172+'15-12'!AC190+'17-12'!AC199+'18-12'!AC163+'19-12'!AC153+'20-12'!AC187+'21-12'!AC190+'22-12'!AC179+'23-12'!AC179+'24-12'!AC181+'25-12'!AC181+'27-12'!AC195+'28-12'!AC185</f>
        <v>0</v>
      </c>
      <c r="O45" s="363">
        <f>+'1-12'!AD242+'2-12'!AD187+'3-12'!AD200+'4-12'!AD169+'6-12'!AD180+'7-12'!AD182+'8-12'!AD185+'9-12'!AD172+'10-12'!AD197+'11-12'!AD158+'13-12'!AD197+'14-12'!AD172+'15-12'!AD190+'17-12'!AD199+'18-12'!AD163+'19-12'!AD153+'20-12'!AD187+'21-12'!AD190+'22-12'!AD179+'23-12'!AD179+'24-12'!AD181+'25-12'!AD181+'27-12'!AD195+'28-12'!AD185</f>
        <v>0</v>
      </c>
      <c r="P45" s="307"/>
      <c r="Q45" s="307"/>
      <c r="R45" s="307"/>
      <c r="S45" s="307"/>
      <c r="T45" s="311"/>
      <c r="U45" s="309"/>
      <c r="V45" s="309"/>
      <c r="W45" s="307"/>
      <c r="X45" s="309"/>
      <c r="Y45" s="307"/>
      <c r="Z45" s="307"/>
      <c r="AA45" s="307"/>
      <c r="AB45" s="307"/>
      <c r="AC45" s="307"/>
      <c r="AD45" s="307"/>
      <c r="AE45" s="307"/>
      <c r="AF45" s="307"/>
    </row>
    <row r="46" ht="20.25" customHeight="1">
      <c r="A46" s="363">
        <f>+'1-12'!Q243+'2-12'!Q188+'3-12'!Q201+'4-12'!Q170+'6-12'!Q181+'7-12'!Q183+'8-12'!Q186+'9-12'!Q173+'10-12'!Q198+'11-12'!Q159+'13-12'!Q198+'14-12'!P173+'15-12'!P191+'17-12'!P200+'18-12'!P164+'19-12'!P154+'20-12'!P188+'21-12'!P191+'22-12'!P180+'23-12'!P180+'24-12'!P182+'25-12'!P182+'27-12'!P196+'28-12'!P186</f>
        <v>0</v>
      </c>
      <c r="B46" s="363"/>
      <c r="C46" s="363">
        <f>+'1-12'!R243+'2-12'!R188+'3-12'!R201+'4-12'!R170+'6-12'!R181+'7-12'!R183+'8-12'!R186+'9-12'!R173+'10-12'!R198+'11-12'!R159+'13-12'!R198+'14-12'!R173+'15-12'!R191+'17-12'!R200+'18-12'!R164+'19-12'!R154+'20-12'!R188+'21-12'!R191+'22-12'!R180+'23-12'!R180+'24-12'!R182+'25-12'!R182+'27-12'!R196+'28-12'!R186</f>
        <v>0</v>
      </c>
      <c r="D46" s="363">
        <f>+'1-12'!S243+'2-12'!S188+'3-12'!S201+'4-12'!S170+'6-12'!S181+'7-12'!S183+'8-12'!S186+'9-12'!S173+'10-12'!S198+'11-12'!S159+'13-12'!S198+'14-12'!S173+'15-12'!S191+'17-12'!S200+'18-12'!S164+'19-12'!S154+'20-12'!S188+'21-12'!S191+'22-12'!S180+'23-12'!S180+'24-12'!S182+'25-12'!S182+'27-12'!S196+'28-12'!S186</f>
        <v>0</v>
      </c>
      <c r="E46" s="363"/>
      <c r="F46" s="363"/>
      <c r="G46" s="363">
        <f>+'1-12'!V243+'2-12'!V188+'3-12'!V201+'4-12'!V170+'6-12'!V181+'7-12'!V183+'8-12'!V186+'9-12'!V173+'10-12'!V198+'11-12'!V159+'13-12'!V198+'14-12'!V173+'15-12'!V191+'17-12'!V200+'18-12'!V164+'19-12'!V154+'20-12'!V188+'21-12'!V191+'22-12'!V180+'23-12'!V180+'24-12'!V182+'25-12'!V182+'27-12'!V196+'28-12'!V186</f>
        <v>0</v>
      </c>
      <c r="H46" s="363">
        <f>+'1-12'!W243+'2-12'!W188+'3-12'!W201+'4-12'!W170+'6-12'!W181+'7-12'!W183+'8-12'!W186+'9-12'!W173+'10-12'!W198+'11-12'!W159+'13-12'!W198+'14-12'!W173+'15-12'!W191+'17-12'!W200+'18-12'!W164+'19-12'!W154+'20-12'!W188+'21-12'!W191+'22-12'!W180+'23-12'!W180+'24-12'!W182+'25-12'!W182+'27-12'!W196+'28-12'!W186</f>
        <v>0</v>
      </c>
      <c r="I46" s="363">
        <f>+'1-12'!X243+'2-12'!X188+'3-12'!X201+'4-12'!X170+'6-12'!X181+'7-12'!X183+'8-12'!X186+'9-12'!X173+'10-12'!X198+'11-12'!X159+'13-12'!X198+'14-12'!X173+'15-12'!X191+'17-12'!X200+'18-12'!X164+'19-12'!X154+'20-12'!X188+'21-12'!X191+'22-12'!X180+'23-12'!X180+'24-12'!X182+'25-12'!X182+'27-12'!X196+'28-12'!X186</f>
        <v>0</v>
      </c>
      <c r="J46" s="363">
        <f>+'1-12'!Y243+'2-12'!Y188+'3-12'!Y201+'4-12'!Y170+'6-12'!Y181+'7-12'!Y183+'8-12'!Y186+'9-12'!Y173+'10-12'!Y198+'11-12'!Y159+'13-12'!Y198+'14-12'!Y173+'15-12'!Y191+'17-12'!Y200+'18-12'!Y164+'19-12'!Y154+'20-12'!Y188+'21-12'!Y191+'22-12'!Y180+'23-12'!Y180+'24-12'!Y182+'25-12'!Y182+'27-12'!Y196+'28-12'!Y186</f>
        <v>0</v>
      </c>
      <c r="K46" s="363">
        <f>+'1-12'!Z243+'2-12'!Z188+'3-12'!Z201+'4-12'!Z170+'6-12'!Z181+'7-12'!Z183+'8-12'!Z186+'9-12'!Z173+'10-12'!Z198+'11-12'!Z159+'13-12'!Z198+'14-12'!Z173+'15-12'!Z191+'17-12'!Z200+'18-12'!Z164+'19-12'!Z154+'20-12'!Z188+'21-12'!Z191+'22-12'!Z180+'23-12'!Z180+'24-12'!Z182+'25-12'!Z182+'27-12'!Z196+'28-12'!Z186</f>
        <v>0</v>
      </c>
      <c r="L46" s="363">
        <f>+'1-12'!AA243+'2-12'!AA188+'3-12'!AA201+'4-12'!AA170+'6-12'!AA181+'7-12'!AA183+'8-12'!AA186+'9-12'!AA173+'10-12'!AA198+'11-12'!AA159+'13-12'!AA198+'14-12'!AA173+'15-12'!AA191+'17-12'!AA200+'18-12'!AA164+'19-12'!AA154+'20-12'!AA188+'21-12'!AA191+'22-12'!AA180+'23-12'!AA180+'24-12'!AA182+'25-12'!AA182+'27-12'!AA196+'28-12'!AA186</f>
        <v>0</v>
      </c>
      <c r="M46" s="363">
        <f>+'1-12'!AB243+'2-12'!AB188+'3-12'!AB201+'4-12'!AB170+'6-12'!AB181+'7-12'!AB183+'8-12'!AB186+'9-12'!AB173+'10-12'!AB198+'11-12'!AB159+'13-12'!AB198+'14-12'!AB173+'15-12'!AB191+'17-12'!AB200+'18-12'!AB164+'19-12'!AB154+'20-12'!AB188+'21-12'!AB191+'22-12'!AB180+'23-12'!AB180+'24-12'!AB182+'25-12'!AB182+'27-12'!AB196+'28-12'!AB186</f>
        <v>0</v>
      </c>
      <c r="N46" s="363">
        <f>+'1-12'!AC243+'2-12'!AC188+'3-12'!AC201+'4-12'!AC170+'6-12'!AC181+'7-12'!AC183+'8-12'!AC186+'9-12'!AC173+'10-12'!AC198+'11-12'!AC159+'13-12'!AC198+'14-12'!AC173+'15-12'!AC191+'17-12'!AC200+'18-12'!AC164+'19-12'!AC154+'20-12'!AC188+'21-12'!AC191+'22-12'!AC180+'23-12'!AC180+'24-12'!AC182+'25-12'!AC182+'27-12'!AC196+'28-12'!AC186</f>
        <v>0</v>
      </c>
      <c r="O46" s="363">
        <f>+'1-12'!AD243+'2-12'!AD188+'3-12'!AD201+'4-12'!AD170+'6-12'!AD181+'7-12'!AD183+'8-12'!AD186+'9-12'!AD173+'10-12'!AD198+'11-12'!AD159+'13-12'!AD198+'14-12'!AD173+'15-12'!AD191+'17-12'!AD200+'18-12'!AD164+'19-12'!AD154+'20-12'!AD188+'21-12'!AD191+'22-12'!AD180+'23-12'!AD180+'24-12'!AD182+'25-12'!AD182+'27-12'!AD196+'28-12'!AD186</f>
        <v>0</v>
      </c>
      <c r="P46" s="307"/>
      <c r="Q46" s="307"/>
      <c r="R46" s="307"/>
      <c r="S46" s="307"/>
      <c r="T46" s="311"/>
      <c r="U46" s="309"/>
      <c r="V46" s="309"/>
      <c r="W46" s="307"/>
      <c r="X46" s="309"/>
      <c r="Y46" s="307"/>
      <c r="Z46" s="307"/>
      <c r="AA46" s="307"/>
      <c r="AB46" s="307"/>
      <c r="AC46" s="307"/>
      <c r="AD46" s="307"/>
      <c r="AE46" s="307"/>
      <c r="AF46" s="307"/>
    </row>
    <row r="47" ht="21.75" customHeight="1">
      <c r="A47" s="311"/>
      <c r="B47" s="307"/>
      <c r="C47" s="307"/>
      <c r="D47" s="364" t="s">
        <v>31</v>
      </c>
      <c r="E47" s="363">
        <f>+'1-12'!T244+'2-12'!T189+'3-12'!T202+'4-12'!T171+'6-12'!T182+'7-12'!T184+'8-12'!T187+'9-12'!T174+'10-12'!T199+'11-12'!T160+'13-12'!T199+'14-12'!T174+'15-12'!T192+'17-12'!T201+'18-12'!T165+'19-12'!T155+'20-12'!T189+'21-12'!T192+'22-12'!T181+'23-12'!T181+'24-12'!T183+'25-12'!T183+'27-12'!T197+'28-12'!T187</f>
        <v>788725.9657</v>
      </c>
      <c r="F47" s="307"/>
      <c r="G47" s="307"/>
      <c r="H47" s="308"/>
      <c r="I47" s="307"/>
      <c r="J47" s="307"/>
      <c r="K47" s="307"/>
      <c r="L47" s="309"/>
      <c r="M47" s="307"/>
      <c r="N47" s="310"/>
      <c r="O47" s="307"/>
      <c r="P47" s="307"/>
      <c r="Q47" s="307"/>
      <c r="R47" s="307"/>
      <c r="S47" s="307"/>
      <c r="T47" s="311"/>
      <c r="U47" s="309"/>
      <c r="V47" s="309"/>
      <c r="W47" s="307"/>
      <c r="X47" s="309"/>
      <c r="Y47" s="307"/>
      <c r="Z47" s="307"/>
      <c r="AA47" s="307"/>
      <c r="AB47" s="307"/>
      <c r="AC47" s="307"/>
      <c r="AD47" s="307"/>
      <c r="AE47" s="307"/>
      <c r="AF47" s="307"/>
    </row>
    <row r="48" ht="21.75" customHeight="1">
      <c r="A48" s="311"/>
      <c r="B48" s="307"/>
      <c r="C48" s="307"/>
      <c r="D48" s="364" t="s">
        <v>34</v>
      </c>
      <c r="E48" s="363">
        <f>+'1-12'!T245+'2-12'!T190+'3-12'!T203+'4-12'!T172+'6-12'!T183+'7-12'!T185+'8-12'!T188+'9-12'!T175+'10-12'!T200+'11-12'!T161+'13-12'!T200+'14-12'!T175+'15-12'!T193+'17-12'!T202+'18-12'!T166+'19-12'!T156+'20-12'!T190+'21-12'!T193+'22-12'!T182+'23-12'!T182+'24-12'!T184+'25-12'!T184+'27-12'!T198+'28-12'!T188</f>
        <v>31812.29933</v>
      </c>
      <c r="F48" s="363">
        <f>+'1-12'!U245+'2-12'!U190+'3-12'!U203+'4-12'!U172+'6-12'!U183+'7-12'!U185+'8-12'!U188+'9-12'!U175+'10-12'!U200+'11-12'!U161+'13-12'!U200+'14-12'!U175+'15-12'!U193+'17-12'!U202+'18-12'!U166+'19-12'!U156+'20-12'!U190+'21-12'!U193+'22-12'!U182+'23-12'!U182+'24-12'!U184+'25-12'!U184+'27-12'!U198+'28-12'!U188</f>
        <v>14555.14</v>
      </c>
      <c r="G48" s="307"/>
      <c r="H48" s="308"/>
      <c r="I48" s="307"/>
      <c r="J48" s="307"/>
      <c r="K48" s="307"/>
      <c r="L48" s="309"/>
      <c r="M48" s="307"/>
      <c r="N48" s="310"/>
      <c r="O48" s="307"/>
      <c r="P48" s="307"/>
      <c r="Q48" s="307"/>
      <c r="R48" s="307"/>
      <c r="S48" s="307"/>
      <c r="T48" s="311"/>
      <c r="U48" s="309"/>
      <c r="V48" s="309"/>
      <c r="W48" s="307"/>
      <c r="X48" s="309"/>
      <c r="Y48" s="307"/>
      <c r="Z48" s="307"/>
      <c r="AA48" s="307"/>
      <c r="AB48" s="307"/>
      <c r="AC48" s="307"/>
      <c r="AD48" s="307"/>
      <c r="AE48" s="307"/>
      <c r="AF48" s="307"/>
    </row>
    <row r="49" ht="20.25" customHeight="1">
      <c r="A49" s="311"/>
      <c r="B49" s="307"/>
      <c r="C49" s="307"/>
      <c r="D49" s="307"/>
      <c r="E49" s="365">
        <f>SUM(E47:E48)</f>
        <v>820538.2651</v>
      </c>
      <c r="F49" s="307"/>
      <c r="G49" s="307"/>
      <c r="H49" s="308"/>
      <c r="I49" s="307"/>
      <c r="J49" s="307"/>
      <c r="K49" s="307"/>
      <c r="L49" s="309"/>
      <c r="M49" s="307"/>
      <c r="N49" s="310"/>
      <c r="O49" s="307"/>
      <c r="P49" s="307"/>
      <c r="Q49" s="307"/>
      <c r="R49" s="307"/>
      <c r="S49" s="307"/>
      <c r="T49" s="311"/>
      <c r="U49" s="309"/>
      <c r="V49" s="309"/>
      <c r="W49" s="307"/>
      <c r="X49" s="309"/>
      <c r="Y49" s="307"/>
      <c r="Z49" s="307"/>
      <c r="AA49" s="307"/>
      <c r="AB49" s="307"/>
      <c r="AC49" s="307"/>
      <c r="AD49" s="307"/>
      <c r="AE49" s="307"/>
      <c r="AF49" s="307"/>
    </row>
    <row r="50" ht="20.25" customHeight="1">
      <c r="A50" s="311"/>
      <c r="B50" s="307"/>
      <c r="C50" s="307"/>
      <c r="D50" s="307"/>
      <c r="E50" s="307"/>
      <c r="F50" s="307"/>
      <c r="G50" s="307"/>
      <c r="H50" s="308"/>
      <c r="I50" s="307"/>
      <c r="J50" s="307"/>
      <c r="K50" s="307"/>
      <c r="L50" s="309"/>
      <c r="M50" s="307"/>
      <c r="N50" s="310"/>
      <c r="O50" s="307"/>
      <c r="P50" s="307"/>
      <c r="Q50" s="307"/>
      <c r="R50" s="307"/>
      <c r="S50" s="307"/>
      <c r="T50" s="311"/>
      <c r="U50" s="309"/>
      <c r="V50" s="309"/>
      <c r="W50" s="307"/>
      <c r="X50" s="309"/>
      <c r="Y50" s="307"/>
      <c r="Z50" s="307"/>
      <c r="AA50" s="307"/>
      <c r="AB50" s="307"/>
      <c r="AC50" s="307"/>
      <c r="AD50" s="307"/>
      <c r="AE50" s="307"/>
      <c r="AF50" s="307"/>
    </row>
    <row r="51" ht="20.25" customHeight="1">
      <c r="A51" s="311"/>
      <c r="B51" s="307"/>
      <c r="C51" s="307"/>
      <c r="D51" s="307"/>
      <c r="E51" s="307"/>
      <c r="F51" s="307"/>
      <c r="G51" s="307"/>
      <c r="H51" s="308"/>
      <c r="I51" s="307"/>
      <c r="J51" s="307"/>
      <c r="K51" s="307"/>
      <c r="L51" s="309"/>
      <c r="M51" s="307"/>
      <c r="N51" s="310"/>
      <c r="O51" s="307"/>
      <c r="P51" s="307"/>
      <c r="Q51" s="307"/>
      <c r="R51" s="307"/>
      <c r="S51" s="307"/>
      <c r="T51" s="311"/>
      <c r="U51" s="309"/>
      <c r="V51" s="309"/>
      <c r="W51" s="307"/>
      <c r="X51" s="309"/>
      <c r="Y51" s="307"/>
      <c r="Z51" s="307"/>
      <c r="AA51" s="307"/>
      <c r="AB51" s="307"/>
      <c r="AC51" s="307"/>
      <c r="AD51" s="307"/>
      <c r="AE51" s="307"/>
      <c r="AF51" s="307"/>
    </row>
    <row r="52" ht="20.25" customHeight="1">
      <c r="A52" s="311"/>
      <c r="B52" s="307"/>
      <c r="C52" s="307"/>
      <c r="D52" s="307"/>
      <c r="E52" s="307"/>
      <c r="F52" s="307"/>
      <c r="G52" s="307"/>
      <c r="H52" s="308"/>
      <c r="I52" s="307"/>
      <c r="J52" s="307"/>
      <c r="K52" s="307"/>
      <c r="L52" s="309"/>
      <c r="M52" s="307"/>
      <c r="N52" s="310"/>
      <c r="O52" s="307"/>
      <c r="P52" s="307"/>
      <c r="Q52" s="307"/>
      <c r="R52" s="307"/>
      <c r="S52" s="307"/>
      <c r="T52" s="311"/>
      <c r="U52" s="309"/>
      <c r="V52" s="309"/>
      <c r="W52" s="307"/>
      <c r="X52" s="309"/>
      <c r="Y52" s="307"/>
      <c r="Z52" s="307"/>
      <c r="AA52" s="307"/>
      <c r="AB52" s="307"/>
      <c r="AC52" s="307"/>
      <c r="AD52" s="307"/>
      <c r="AE52" s="307"/>
      <c r="AF52" s="307"/>
    </row>
    <row r="53" ht="20.25" customHeight="1">
      <c r="A53" s="311"/>
      <c r="B53" s="307"/>
      <c r="C53" s="307"/>
      <c r="D53" s="307"/>
      <c r="E53" s="307"/>
      <c r="F53" s="307"/>
      <c r="G53" s="307"/>
      <c r="H53" s="308"/>
      <c r="I53" s="307"/>
      <c r="J53" s="307"/>
      <c r="K53" s="307"/>
      <c r="L53" s="309"/>
      <c r="M53" s="307"/>
      <c r="N53" s="310"/>
      <c r="O53" s="307"/>
      <c r="P53" s="307"/>
      <c r="Q53" s="307"/>
      <c r="R53" s="307"/>
      <c r="S53" s="307"/>
      <c r="T53" s="311"/>
      <c r="U53" s="309"/>
      <c r="V53" s="309"/>
      <c r="W53" s="307"/>
      <c r="X53" s="309"/>
      <c r="Y53" s="307"/>
      <c r="Z53" s="307"/>
      <c r="AA53" s="307"/>
      <c r="AB53" s="307"/>
      <c r="AC53" s="307"/>
      <c r="AD53" s="307"/>
      <c r="AE53" s="307"/>
      <c r="AF53" s="307"/>
    </row>
    <row r="54" ht="20.25" customHeight="1">
      <c r="A54" s="311"/>
      <c r="B54" s="307"/>
      <c r="C54" s="307"/>
      <c r="D54" s="307"/>
      <c r="E54" s="307"/>
      <c r="F54" s="307"/>
      <c r="G54" s="307"/>
      <c r="H54" s="308"/>
      <c r="I54" s="307"/>
      <c r="J54" s="307"/>
      <c r="K54" s="307"/>
      <c r="L54" s="309"/>
      <c r="M54" s="307"/>
      <c r="N54" s="310"/>
      <c r="O54" s="307"/>
      <c r="P54" s="307"/>
      <c r="Q54" s="307"/>
      <c r="R54" s="307"/>
      <c r="S54" s="307"/>
      <c r="T54" s="311"/>
      <c r="U54" s="309"/>
      <c r="V54" s="309"/>
      <c r="W54" s="307"/>
      <c r="X54" s="309"/>
      <c r="Y54" s="307"/>
      <c r="Z54" s="307"/>
      <c r="AA54" s="307"/>
      <c r="AB54" s="307"/>
      <c r="AC54" s="307"/>
      <c r="AD54" s="307"/>
      <c r="AE54" s="307"/>
      <c r="AF54" s="307"/>
    </row>
    <row r="55" ht="20.25" customHeight="1">
      <c r="A55" s="311"/>
      <c r="B55" s="307"/>
      <c r="C55" s="307"/>
      <c r="D55" s="307"/>
      <c r="E55" s="307"/>
      <c r="F55" s="307"/>
      <c r="G55" s="307"/>
      <c r="H55" s="308"/>
      <c r="I55" s="307"/>
      <c r="J55" s="307"/>
      <c r="K55" s="307"/>
      <c r="L55" s="309"/>
      <c r="M55" s="307"/>
      <c r="N55" s="310"/>
      <c r="O55" s="307"/>
      <c r="P55" s="307"/>
      <c r="Q55" s="307"/>
      <c r="R55" s="307"/>
      <c r="S55" s="307"/>
      <c r="T55" s="311"/>
      <c r="U55" s="309"/>
      <c r="V55" s="309"/>
      <c r="W55" s="307"/>
      <c r="X55" s="309"/>
      <c r="Y55" s="307"/>
      <c r="Z55" s="307"/>
      <c r="AA55" s="307"/>
      <c r="AB55" s="307"/>
      <c r="AC55" s="307"/>
      <c r="AD55" s="307"/>
      <c r="AE55" s="307"/>
      <c r="AF55" s="307"/>
    </row>
    <row r="56" ht="20.25" customHeight="1">
      <c r="A56" s="311"/>
      <c r="B56" s="307"/>
      <c r="C56" s="307"/>
      <c r="D56" s="307"/>
      <c r="E56" s="307"/>
      <c r="F56" s="307"/>
      <c r="G56" s="307"/>
      <c r="H56" s="308"/>
      <c r="I56" s="307"/>
      <c r="J56" s="307"/>
      <c r="K56" s="307"/>
      <c r="L56" s="309"/>
      <c r="M56" s="307"/>
      <c r="N56" s="310"/>
      <c r="O56" s="307"/>
      <c r="P56" s="307"/>
      <c r="Q56" s="307"/>
      <c r="R56" s="307"/>
      <c r="S56" s="307"/>
      <c r="T56" s="311"/>
      <c r="U56" s="309"/>
      <c r="V56" s="309"/>
      <c r="W56" s="307"/>
      <c r="X56" s="309"/>
      <c r="Y56" s="307"/>
      <c r="Z56" s="307"/>
      <c r="AA56" s="307"/>
      <c r="AB56" s="307"/>
      <c r="AC56" s="307"/>
      <c r="AD56" s="307"/>
      <c r="AE56" s="307"/>
      <c r="AF56" s="307"/>
    </row>
    <row r="57" ht="20.25" customHeight="1">
      <c r="A57" s="311"/>
      <c r="B57" s="307"/>
      <c r="C57" s="307"/>
      <c r="D57" s="307"/>
      <c r="E57" s="307"/>
      <c r="F57" s="307"/>
      <c r="G57" s="307"/>
      <c r="H57" s="308"/>
      <c r="I57" s="307"/>
      <c r="J57" s="307"/>
      <c r="K57" s="307"/>
      <c r="L57" s="309"/>
      <c r="M57" s="307"/>
      <c r="N57" s="310"/>
      <c r="O57" s="307"/>
      <c r="P57" s="307"/>
      <c r="Q57" s="307"/>
      <c r="R57" s="307"/>
      <c r="S57" s="307"/>
      <c r="T57" s="311"/>
      <c r="U57" s="309"/>
      <c r="V57" s="309"/>
      <c r="W57" s="307"/>
      <c r="X57" s="309"/>
      <c r="Y57" s="307"/>
      <c r="Z57" s="307"/>
      <c r="AA57" s="307"/>
      <c r="AB57" s="307"/>
      <c r="AC57" s="307"/>
      <c r="AD57" s="307"/>
      <c r="AE57" s="307"/>
      <c r="AF57" s="307"/>
    </row>
    <row r="58" ht="20.25" customHeight="1">
      <c r="A58" s="311"/>
      <c r="B58" s="307"/>
      <c r="C58" s="307"/>
      <c r="D58" s="307"/>
      <c r="E58" s="307"/>
      <c r="F58" s="307"/>
      <c r="G58" s="307"/>
      <c r="H58" s="308"/>
      <c r="I58" s="307"/>
      <c r="J58" s="307"/>
      <c r="K58" s="307"/>
      <c r="L58" s="309"/>
      <c r="M58" s="307"/>
      <c r="N58" s="310"/>
      <c r="O58" s="307"/>
      <c r="P58" s="307"/>
      <c r="Q58" s="307"/>
      <c r="R58" s="307"/>
      <c r="S58" s="307"/>
      <c r="T58" s="311"/>
      <c r="U58" s="309"/>
      <c r="V58" s="309"/>
      <c r="W58" s="307"/>
      <c r="X58" s="309"/>
      <c r="Y58" s="307"/>
      <c r="Z58" s="307"/>
      <c r="AA58" s="307"/>
      <c r="AB58" s="307"/>
      <c r="AC58" s="307"/>
      <c r="AD58" s="307"/>
      <c r="AE58" s="307"/>
      <c r="AF58" s="307"/>
    </row>
    <row r="59" ht="20.25" customHeight="1">
      <c r="A59" s="311"/>
      <c r="B59" s="307"/>
      <c r="C59" s="307"/>
      <c r="D59" s="307"/>
      <c r="E59" s="307"/>
      <c r="F59" s="307"/>
      <c r="G59" s="307"/>
      <c r="H59" s="308"/>
      <c r="I59" s="307"/>
      <c r="J59" s="307"/>
      <c r="K59" s="307"/>
      <c r="L59" s="309"/>
      <c r="M59" s="307"/>
      <c r="N59" s="310"/>
      <c r="O59" s="307"/>
      <c r="P59" s="307"/>
      <c r="Q59" s="307"/>
      <c r="R59" s="307"/>
      <c r="S59" s="307"/>
      <c r="T59" s="311"/>
      <c r="U59" s="309"/>
      <c r="V59" s="309"/>
      <c r="W59" s="307"/>
      <c r="X59" s="309"/>
      <c r="Y59" s="307"/>
      <c r="Z59" s="307"/>
      <c r="AA59" s="307"/>
      <c r="AB59" s="307"/>
      <c r="AC59" s="307"/>
      <c r="AD59" s="307"/>
      <c r="AE59" s="307"/>
      <c r="AF59" s="307"/>
    </row>
    <row r="60" ht="20.25" customHeight="1">
      <c r="A60" s="311"/>
      <c r="B60" s="307"/>
      <c r="C60" s="307"/>
      <c r="D60" s="307"/>
      <c r="E60" s="307"/>
      <c r="F60" s="307"/>
      <c r="G60" s="307"/>
      <c r="H60" s="308"/>
      <c r="I60" s="307"/>
      <c r="J60" s="307"/>
      <c r="K60" s="307"/>
      <c r="L60" s="309"/>
      <c r="M60" s="307"/>
      <c r="N60" s="310"/>
      <c r="O60" s="307"/>
      <c r="P60" s="307"/>
      <c r="Q60" s="307"/>
      <c r="R60" s="307"/>
      <c r="S60" s="307"/>
      <c r="T60" s="311"/>
      <c r="U60" s="309"/>
      <c r="V60" s="309"/>
      <c r="W60" s="307"/>
      <c r="X60" s="309"/>
      <c r="Y60" s="307"/>
      <c r="Z60" s="307"/>
      <c r="AA60" s="307"/>
      <c r="AB60" s="307"/>
      <c r="AC60" s="307"/>
      <c r="AD60" s="307"/>
      <c r="AE60" s="307"/>
      <c r="AF60" s="307"/>
    </row>
    <row r="61" ht="20.25" customHeight="1">
      <c r="A61" s="311"/>
      <c r="B61" s="307"/>
      <c r="C61" s="307"/>
      <c r="D61" s="307"/>
      <c r="E61" s="307"/>
      <c r="F61" s="307"/>
      <c r="G61" s="307"/>
      <c r="H61" s="308"/>
      <c r="I61" s="307"/>
      <c r="J61" s="307"/>
      <c r="K61" s="307"/>
      <c r="L61" s="309"/>
      <c r="M61" s="307"/>
      <c r="N61" s="310"/>
      <c r="O61" s="307"/>
      <c r="P61" s="307"/>
      <c r="Q61" s="307"/>
      <c r="R61" s="307"/>
      <c r="S61" s="307"/>
      <c r="T61" s="311"/>
      <c r="U61" s="309"/>
      <c r="V61" s="309"/>
      <c r="W61" s="307"/>
      <c r="X61" s="309"/>
      <c r="Y61" s="307"/>
      <c r="Z61" s="307"/>
      <c r="AA61" s="307"/>
      <c r="AB61" s="307"/>
      <c r="AC61" s="307"/>
      <c r="AD61" s="307"/>
      <c r="AE61" s="307"/>
      <c r="AF61" s="307"/>
    </row>
    <row r="62" ht="20.25" customHeight="1">
      <c r="A62" s="311"/>
      <c r="B62" s="307"/>
      <c r="C62" s="307"/>
      <c r="D62" s="307"/>
      <c r="E62" s="307"/>
      <c r="F62" s="307"/>
      <c r="G62" s="307"/>
      <c r="H62" s="308"/>
      <c r="I62" s="307"/>
      <c r="J62" s="307"/>
      <c r="K62" s="307"/>
      <c r="L62" s="309"/>
      <c r="M62" s="307"/>
      <c r="N62" s="310"/>
      <c r="O62" s="307"/>
      <c r="P62" s="307"/>
      <c r="Q62" s="307"/>
      <c r="R62" s="307"/>
      <c r="S62" s="307"/>
      <c r="T62" s="311"/>
      <c r="U62" s="309"/>
      <c r="V62" s="309"/>
      <c r="W62" s="307"/>
      <c r="X62" s="309"/>
      <c r="Y62" s="307"/>
      <c r="Z62" s="307"/>
      <c r="AA62" s="307"/>
      <c r="AB62" s="307"/>
      <c r="AC62" s="307"/>
      <c r="AD62" s="307"/>
      <c r="AE62" s="307"/>
      <c r="AF62" s="307"/>
    </row>
    <row r="63" ht="20.25" customHeight="1">
      <c r="A63" s="311"/>
      <c r="B63" s="307"/>
      <c r="C63" s="307"/>
      <c r="D63" s="307"/>
      <c r="E63" s="307"/>
      <c r="F63" s="307"/>
      <c r="G63" s="307"/>
      <c r="H63" s="308"/>
      <c r="I63" s="307"/>
      <c r="J63" s="307"/>
      <c r="K63" s="307"/>
      <c r="L63" s="309"/>
      <c r="M63" s="307"/>
      <c r="N63" s="310"/>
      <c r="O63" s="307"/>
      <c r="P63" s="307"/>
      <c r="Q63" s="307"/>
      <c r="R63" s="307"/>
      <c r="S63" s="307"/>
      <c r="T63" s="311"/>
      <c r="U63" s="309"/>
      <c r="V63" s="309"/>
      <c r="W63" s="307"/>
      <c r="X63" s="309"/>
      <c r="Y63" s="307"/>
      <c r="Z63" s="307"/>
      <c r="AA63" s="307"/>
      <c r="AB63" s="307"/>
      <c r="AC63" s="307"/>
      <c r="AD63" s="307"/>
      <c r="AE63" s="307"/>
      <c r="AF63" s="307"/>
    </row>
    <row r="64" ht="20.25" customHeight="1">
      <c r="A64" s="311"/>
      <c r="B64" s="307"/>
      <c r="C64" s="307"/>
      <c r="D64" s="307"/>
      <c r="E64" s="307"/>
      <c r="F64" s="307"/>
      <c r="G64" s="307"/>
      <c r="H64" s="308"/>
      <c r="I64" s="307"/>
      <c r="J64" s="307"/>
      <c r="K64" s="307"/>
      <c r="L64" s="309"/>
      <c r="M64" s="307"/>
      <c r="N64" s="310"/>
      <c r="O64" s="307"/>
      <c r="P64" s="307"/>
      <c r="Q64" s="307"/>
      <c r="R64" s="307"/>
      <c r="S64" s="307"/>
      <c r="T64" s="311"/>
      <c r="U64" s="309"/>
      <c r="V64" s="309"/>
      <c r="W64" s="307"/>
      <c r="X64" s="309"/>
      <c r="Y64" s="307"/>
      <c r="Z64" s="307"/>
      <c r="AA64" s="307"/>
      <c r="AB64" s="307"/>
      <c r="AC64" s="307"/>
      <c r="AD64" s="307"/>
      <c r="AE64" s="307"/>
      <c r="AF64" s="307"/>
    </row>
    <row r="65" ht="20.25" customHeight="1">
      <c r="A65" s="311"/>
      <c r="B65" s="307"/>
      <c r="C65" s="307"/>
      <c r="D65" s="307"/>
      <c r="E65" s="307"/>
      <c r="F65" s="307"/>
      <c r="G65" s="307"/>
      <c r="H65" s="308"/>
      <c r="I65" s="307"/>
      <c r="J65" s="307"/>
      <c r="K65" s="307"/>
      <c r="L65" s="309"/>
      <c r="M65" s="307"/>
      <c r="N65" s="310"/>
      <c r="O65" s="307"/>
      <c r="P65" s="307"/>
      <c r="Q65" s="307"/>
      <c r="R65" s="307"/>
      <c r="S65" s="307"/>
      <c r="T65" s="311"/>
      <c r="U65" s="309"/>
      <c r="V65" s="309"/>
      <c r="W65" s="307"/>
      <c r="X65" s="309"/>
      <c r="Y65" s="307"/>
      <c r="Z65" s="307"/>
      <c r="AA65" s="307"/>
      <c r="AB65" s="307"/>
      <c r="AC65" s="307"/>
      <c r="AD65" s="307"/>
      <c r="AE65" s="307"/>
      <c r="AF65" s="307"/>
    </row>
    <row r="66" ht="20.25" customHeight="1">
      <c r="A66" s="311"/>
      <c r="B66" s="307"/>
      <c r="C66" s="307"/>
      <c r="D66" s="307"/>
      <c r="E66" s="307"/>
      <c r="F66" s="307"/>
      <c r="G66" s="307"/>
      <c r="H66" s="308"/>
      <c r="I66" s="307"/>
      <c r="J66" s="307"/>
      <c r="K66" s="307"/>
      <c r="L66" s="309"/>
      <c r="M66" s="307"/>
      <c r="N66" s="310"/>
      <c r="O66" s="307"/>
      <c r="P66" s="307"/>
      <c r="Q66" s="307"/>
      <c r="R66" s="307"/>
      <c r="S66" s="307"/>
      <c r="T66" s="311"/>
      <c r="U66" s="309"/>
      <c r="V66" s="309"/>
      <c r="W66" s="307"/>
      <c r="X66" s="309"/>
      <c r="Y66" s="307"/>
      <c r="Z66" s="307"/>
      <c r="AA66" s="307"/>
      <c r="AB66" s="307"/>
      <c r="AC66" s="307"/>
      <c r="AD66" s="307"/>
      <c r="AE66" s="307"/>
      <c r="AF66" s="307"/>
    </row>
    <row r="67" ht="20.25" customHeight="1">
      <c r="A67" s="311"/>
      <c r="B67" s="307"/>
      <c r="C67" s="307"/>
      <c r="D67" s="307"/>
      <c r="E67" s="307"/>
      <c r="F67" s="307"/>
      <c r="G67" s="307"/>
      <c r="H67" s="308"/>
      <c r="I67" s="307"/>
      <c r="J67" s="307"/>
      <c r="K67" s="307"/>
      <c r="L67" s="309"/>
      <c r="M67" s="307"/>
      <c r="N67" s="310"/>
      <c r="O67" s="307"/>
      <c r="P67" s="307"/>
      <c r="Q67" s="307"/>
      <c r="R67" s="307"/>
      <c r="S67" s="307"/>
      <c r="T67" s="311"/>
      <c r="U67" s="309"/>
      <c r="V67" s="309"/>
      <c r="W67" s="307"/>
      <c r="X67" s="309"/>
      <c r="Y67" s="307"/>
      <c r="Z67" s="307"/>
      <c r="AA67" s="307"/>
      <c r="AB67" s="307"/>
      <c r="AC67" s="307"/>
      <c r="AD67" s="307"/>
      <c r="AE67" s="307"/>
      <c r="AF67" s="307"/>
    </row>
    <row r="68" ht="20.25" customHeight="1">
      <c r="A68" s="311"/>
      <c r="B68" s="307"/>
      <c r="C68" s="307"/>
      <c r="D68" s="307"/>
      <c r="E68" s="307"/>
      <c r="F68" s="307"/>
      <c r="G68" s="307"/>
      <c r="H68" s="308"/>
      <c r="I68" s="307"/>
      <c r="J68" s="307"/>
      <c r="K68" s="307"/>
      <c r="L68" s="309"/>
      <c r="M68" s="307"/>
      <c r="N68" s="310"/>
      <c r="O68" s="307"/>
      <c r="P68" s="307"/>
      <c r="Q68" s="307"/>
      <c r="R68" s="307"/>
      <c r="S68" s="307"/>
      <c r="T68" s="311"/>
      <c r="U68" s="309"/>
      <c r="V68" s="309"/>
      <c r="W68" s="307"/>
      <c r="X68" s="309"/>
      <c r="Y68" s="307"/>
      <c r="Z68" s="307"/>
      <c r="AA68" s="307"/>
      <c r="AB68" s="307"/>
      <c r="AC68" s="307"/>
      <c r="AD68" s="307"/>
      <c r="AE68" s="307"/>
      <c r="AF68" s="307"/>
    </row>
    <row r="69" ht="20.25" customHeight="1">
      <c r="A69" s="311"/>
      <c r="B69" s="307"/>
      <c r="C69" s="307"/>
      <c r="D69" s="307"/>
      <c r="E69" s="307"/>
      <c r="F69" s="307"/>
      <c r="G69" s="307"/>
      <c r="H69" s="308"/>
      <c r="I69" s="307"/>
      <c r="J69" s="307"/>
      <c r="K69" s="307"/>
      <c r="L69" s="309"/>
      <c r="M69" s="307"/>
      <c r="N69" s="310"/>
      <c r="O69" s="307"/>
      <c r="P69" s="307"/>
      <c r="Q69" s="307"/>
      <c r="R69" s="307"/>
      <c r="S69" s="307"/>
      <c r="T69" s="311"/>
      <c r="U69" s="309"/>
      <c r="V69" s="309"/>
      <c r="W69" s="307"/>
      <c r="X69" s="309"/>
      <c r="Y69" s="307"/>
      <c r="Z69" s="307"/>
      <c r="AA69" s="307"/>
      <c r="AB69" s="307"/>
      <c r="AC69" s="307"/>
      <c r="AD69" s="307"/>
      <c r="AE69" s="307"/>
      <c r="AF69" s="307"/>
    </row>
    <row r="70" ht="20.25" customHeight="1">
      <c r="A70" s="311"/>
      <c r="B70" s="307"/>
      <c r="C70" s="307"/>
      <c r="D70" s="307"/>
      <c r="E70" s="307"/>
      <c r="F70" s="307"/>
      <c r="G70" s="307"/>
      <c r="H70" s="308"/>
      <c r="I70" s="307"/>
      <c r="J70" s="307"/>
      <c r="K70" s="307"/>
      <c r="L70" s="309"/>
      <c r="M70" s="307"/>
      <c r="N70" s="310"/>
      <c r="O70" s="307"/>
      <c r="P70" s="307"/>
      <c r="Q70" s="307"/>
      <c r="R70" s="307"/>
      <c r="S70" s="307"/>
      <c r="T70" s="311"/>
      <c r="U70" s="309"/>
      <c r="V70" s="309"/>
      <c r="W70" s="307"/>
      <c r="X70" s="309"/>
      <c r="Y70" s="307"/>
      <c r="Z70" s="307"/>
      <c r="AA70" s="307"/>
      <c r="AB70" s="307"/>
      <c r="AC70" s="307"/>
      <c r="AD70" s="307"/>
      <c r="AE70" s="307"/>
      <c r="AF70" s="307"/>
    </row>
    <row r="71" ht="20.25" customHeight="1">
      <c r="A71" s="311"/>
      <c r="B71" s="307"/>
      <c r="C71" s="307"/>
      <c r="D71" s="307"/>
      <c r="E71" s="307"/>
      <c r="F71" s="307"/>
      <c r="G71" s="307"/>
      <c r="H71" s="308"/>
      <c r="I71" s="307"/>
      <c r="J71" s="307"/>
      <c r="K71" s="307"/>
      <c r="L71" s="309"/>
      <c r="M71" s="307"/>
      <c r="N71" s="310"/>
      <c r="O71" s="307"/>
      <c r="P71" s="307"/>
      <c r="Q71" s="307"/>
      <c r="R71" s="307"/>
      <c r="S71" s="307"/>
      <c r="T71" s="311"/>
      <c r="U71" s="309"/>
      <c r="V71" s="309"/>
      <c r="W71" s="307"/>
      <c r="X71" s="309"/>
      <c r="Y71" s="307"/>
      <c r="Z71" s="307"/>
      <c r="AA71" s="307"/>
      <c r="AB71" s="307"/>
      <c r="AC71" s="307"/>
      <c r="AD71" s="307"/>
      <c r="AE71" s="307"/>
      <c r="AF71" s="307"/>
    </row>
    <row r="72" ht="20.25" customHeight="1">
      <c r="A72" s="311"/>
      <c r="B72" s="307"/>
      <c r="C72" s="307"/>
      <c r="D72" s="307"/>
      <c r="E72" s="307"/>
      <c r="F72" s="307"/>
      <c r="G72" s="307"/>
      <c r="H72" s="308"/>
      <c r="I72" s="307"/>
      <c r="J72" s="307"/>
      <c r="K72" s="307"/>
      <c r="L72" s="309"/>
      <c r="M72" s="307"/>
      <c r="N72" s="310"/>
      <c r="O72" s="307"/>
      <c r="P72" s="307"/>
      <c r="Q72" s="307"/>
      <c r="R72" s="307"/>
      <c r="S72" s="307"/>
      <c r="T72" s="311"/>
      <c r="U72" s="309"/>
      <c r="V72" s="309"/>
      <c r="W72" s="307"/>
      <c r="X72" s="309"/>
      <c r="Y72" s="307"/>
      <c r="Z72" s="307"/>
      <c r="AA72" s="307"/>
      <c r="AB72" s="307"/>
      <c r="AC72" s="307"/>
      <c r="AD72" s="307"/>
      <c r="AE72" s="307"/>
      <c r="AF72" s="307"/>
    </row>
    <row r="73" ht="20.25" customHeight="1">
      <c r="A73" s="311"/>
      <c r="B73" s="307"/>
      <c r="C73" s="307"/>
      <c r="D73" s="307"/>
      <c r="E73" s="307"/>
      <c r="F73" s="307"/>
      <c r="G73" s="307"/>
      <c r="H73" s="308"/>
      <c r="I73" s="307"/>
      <c r="J73" s="307"/>
      <c r="K73" s="307"/>
      <c r="L73" s="309"/>
      <c r="M73" s="307"/>
      <c r="N73" s="310"/>
      <c r="O73" s="307"/>
      <c r="P73" s="307"/>
      <c r="Q73" s="307"/>
      <c r="R73" s="307"/>
      <c r="S73" s="307"/>
      <c r="T73" s="311"/>
      <c r="U73" s="309"/>
      <c r="V73" s="309"/>
      <c r="W73" s="307"/>
      <c r="X73" s="309"/>
      <c r="Y73" s="307"/>
      <c r="Z73" s="307"/>
      <c r="AA73" s="307"/>
      <c r="AB73" s="307"/>
      <c r="AC73" s="307"/>
      <c r="AD73" s="307"/>
      <c r="AE73" s="307"/>
      <c r="AF73" s="307"/>
    </row>
    <row r="74" ht="20.25" customHeight="1">
      <c r="A74" s="311"/>
      <c r="B74" s="307"/>
      <c r="C74" s="307"/>
      <c r="D74" s="307"/>
      <c r="E74" s="307"/>
      <c r="F74" s="307"/>
      <c r="G74" s="307"/>
      <c r="H74" s="308"/>
      <c r="I74" s="307"/>
      <c r="J74" s="307"/>
      <c r="K74" s="307"/>
      <c r="L74" s="309"/>
      <c r="M74" s="307"/>
      <c r="N74" s="310"/>
      <c r="O74" s="307"/>
      <c r="P74" s="307"/>
      <c r="Q74" s="307"/>
      <c r="R74" s="307"/>
      <c r="S74" s="307"/>
      <c r="T74" s="311"/>
      <c r="U74" s="309"/>
      <c r="V74" s="309"/>
      <c r="W74" s="307"/>
      <c r="X74" s="309"/>
      <c r="Y74" s="307"/>
      <c r="Z74" s="307"/>
      <c r="AA74" s="307"/>
      <c r="AB74" s="307"/>
      <c r="AC74" s="307"/>
      <c r="AD74" s="307"/>
      <c r="AE74" s="307"/>
      <c r="AF74" s="307"/>
    </row>
    <row r="75" ht="20.25" customHeight="1">
      <c r="A75" s="311"/>
      <c r="B75" s="307"/>
      <c r="C75" s="307"/>
      <c r="D75" s="307"/>
      <c r="E75" s="307"/>
      <c r="F75" s="307"/>
      <c r="G75" s="307"/>
      <c r="H75" s="308"/>
      <c r="I75" s="307"/>
      <c r="J75" s="307"/>
      <c r="K75" s="307"/>
      <c r="L75" s="309"/>
      <c r="M75" s="307"/>
      <c r="N75" s="310"/>
      <c r="O75" s="307"/>
      <c r="P75" s="307"/>
      <c r="Q75" s="307"/>
      <c r="R75" s="307"/>
      <c r="S75" s="307"/>
      <c r="T75" s="311"/>
      <c r="U75" s="309"/>
      <c r="V75" s="309"/>
      <c r="W75" s="307"/>
      <c r="X75" s="309"/>
      <c r="Y75" s="307"/>
      <c r="Z75" s="307"/>
      <c r="AA75" s="307"/>
      <c r="AB75" s="307"/>
      <c r="AC75" s="307"/>
      <c r="AD75" s="307"/>
      <c r="AE75" s="307"/>
      <c r="AF75" s="307"/>
    </row>
    <row r="76" ht="20.25" customHeight="1">
      <c r="A76" s="311"/>
      <c r="B76" s="307"/>
      <c r="C76" s="307"/>
      <c r="D76" s="307"/>
      <c r="E76" s="307"/>
      <c r="F76" s="307"/>
      <c r="G76" s="307"/>
      <c r="H76" s="308"/>
      <c r="I76" s="307"/>
      <c r="J76" s="307"/>
      <c r="K76" s="307"/>
      <c r="L76" s="309"/>
      <c r="M76" s="307"/>
      <c r="N76" s="310"/>
      <c r="O76" s="307"/>
      <c r="P76" s="307"/>
      <c r="Q76" s="307"/>
      <c r="R76" s="307"/>
      <c r="S76" s="307"/>
      <c r="T76" s="311"/>
      <c r="U76" s="309"/>
      <c r="V76" s="309"/>
      <c r="W76" s="307"/>
      <c r="X76" s="309"/>
      <c r="Y76" s="307"/>
      <c r="Z76" s="307"/>
      <c r="AA76" s="307"/>
      <c r="AB76" s="307"/>
      <c r="AC76" s="307"/>
      <c r="AD76" s="307"/>
      <c r="AE76" s="307"/>
      <c r="AF76" s="307"/>
    </row>
    <row r="77" ht="20.25" customHeight="1">
      <c r="A77" s="311"/>
      <c r="B77" s="307"/>
      <c r="C77" s="307"/>
      <c r="D77" s="307"/>
      <c r="E77" s="307"/>
      <c r="F77" s="307"/>
      <c r="G77" s="307"/>
      <c r="H77" s="308"/>
      <c r="I77" s="307"/>
      <c r="J77" s="307"/>
      <c r="K77" s="307"/>
      <c r="L77" s="309"/>
      <c r="M77" s="307"/>
      <c r="N77" s="310"/>
      <c r="O77" s="307"/>
      <c r="P77" s="307"/>
      <c r="Q77" s="307"/>
      <c r="R77" s="307"/>
      <c r="S77" s="307"/>
      <c r="T77" s="311"/>
      <c r="U77" s="309"/>
      <c r="V77" s="309"/>
      <c r="W77" s="307"/>
      <c r="X77" s="309"/>
      <c r="Y77" s="307"/>
      <c r="Z77" s="307"/>
      <c r="AA77" s="307"/>
      <c r="AB77" s="307"/>
      <c r="AC77" s="307"/>
      <c r="AD77" s="307"/>
      <c r="AE77" s="307"/>
      <c r="AF77" s="307"/>
    </row>
    <row r="78" ht="20.25" customHeight="1">
      <c r="A78" s="311"/>
      <c r="B78" s="307"/>
      <c r="C78" s="307"/>
      <c r="D78" s="307"/>
      <c r="E78" s="307"/>
      <c r="F78" s="307"/>
      <c r="G78" s="307"/>
      <c r="H78" s="308"/>
      <c r="I78" s="307"/>
      <c r="J78" s="307"/>
      <c r="K78" s="307"/>
      <c r="L78" s="309"/>
      <c r="M78" s="307"/>
      <c r="N78" s="310"/>
      <c r="O78" s="307"/>
      <c r="P78" s="307"/>
      <c r="Q78" s="307"/>
      <c r="R78" s="307"/>
      <c r="S78" s="307"/>
      <c r="T78" s="311"/>
      <c r="U78" s="309"/>
      <c r="V78" s="309"/>
      <c r="W78" s="307"/>
      <c r="X78" s="309"/>
      <c r="Y78" s="307"/>
      <c r="Z78" s="307"/>
      <c r="AA78" s="307"/>
      <c r="AB78" s="307"/>
      <c r="AC78" s="307"/>
      <c r="AD78" s="307"/>
      <c r="AE78" s="307"/>
      <c r="AF78" s="307"/>
    </row>
    <row r="79" ht="20.25" customHeight="1">
      <c r="A79" s="311"/>
      <c r="B79" s="307"/>
      <c r="C79" s="307"/>
      <c r="D79" s="307"/>
      <c r="E79" s="307"/>
      <c r="F79" s="307"/>
      <c r="G79" s="307"/>
      <c r="H79" s="308"/>
      <c r="I79" s="307"/>
      <c r="J79" s="307"/>
      <c r="K79" s="307"/>
      <c r="L79" s="309"/>
      <c r="M79" s="307"/>
      <c r="N79" s="310"/>
      <c r="O79" s="307"/>
      <c r="P79" s="307"/>
      <c r="Q79" s="307"/>
      <c r="R79" s="307"/>
      <c r="S79" s="307"/>
      <c r="T79" s="311"/>
      <c r="U79" s="309"/>
      <c r="V79" s="309"/>
      <c r="W79" s="307"/>
      <c r="X79" s="309"/>
      <c r="Y79" s="307"/>
      <c r="Z79" s="307"/>
      <c r="AA79" s="307"/>
      <c r="AB79" s="307"/>
      <c r="AC79" s="307"/>
      <c r="AD79" s="307"/>
      <c r="AE79" s="307"/>
      <c r="AF79" s="307"/>
    </row>
    <row r="80" ht="20.25" customHeight="1">
      <c r="A80" s="311"/>
      <c r="B80" s="307"/>
      <c r="C80" s="307"/>
      <c r="D80" s="307"/>
      <c r="E80" s="307"/>
      <c r="F80" s="307"/>
      <c r="G80" s="307"/>
      <c r="H80" s="308"/>
      <c r="I80" s="307"/>
      <c r="J80" s="307"/>
      <c r="K80" s="307"/>
      <c r="L80" s="309"/>
      <c r="M80" s="307"/>
      <c r="N80" s="310"/>
      <c r="O80" s="307"/>
      <c r="P80" s="307"/>
      <c r="Q80" s="307"/>
      <c r="R80" s="307"/>
      <c r="S80" s="307"/>
      <c r="T80" s="311"/>
      <c r="U80" s="309"/>
      <c r="V80" s="309"/>
      <c r="W80" s="307"/>
      <c r="X80" s="309"/>
      <c r="Y80" s="307"/>
      <c r="Z80" s="307"/>
      <c r="AA80" s="307"/>
      <c r="AB80" s="307"/>
      <c r="AC80" s="307"/>
      <c r="AD80" s="307"/>
      <c r="AE80" s="307"/>
      <c r="AF80" s="307"/>
    </row>
    <row r="81" ht="20.25" customHeight="1">
      <c r="A81" s="311"/>
      <c r="B81" s="307"/>
      <c r="C81" s="307"/>
      <c r="D81" s="307"/>
      <c r="E81" s="307"/>
      <c r="F81" s="307"/>
      <c r="G81" s="307"/>
      <c r="H81" s="308"/>
      <c r="I81" s="307"/>
      <c r="J81" s="307"/>
      <c r="K81" s="307"/>
      <c r="L81" s="309"/>
      <c r="M81" s="307"/>
      <c r="N81" s="310"/>
      <c r="O81" s="307"/>
      <c r="P81" s="307"/>
      <c r="Q81" s="307"/>
      <c r="R81" s="307"/>
      <c r="S81" s="307"/>
      <c r="T81" s="311"/>
      <c r="U81" s="309"/>
      <c r="V81" s="309"/>
      <c r="W81" s="307"/>
      <c r="X81" s="309"/>
      <c r="Y81" s="307"/>
      <c r="Z81" s="307"/>
      <c r="AA81" s="307"/>
      <c r="AB81" s="307"/>
      <c r="AC81" s="307"/>
      <c r="AD81" s="307"/>
      <c r="AE81" s="307"/>
      <c r="AF81" s="307"/>
    </row>
    <row r="82" ht="20.25" customHeight="1">
      <c r="A82" s="311"/>
      <c r="B82" s="307"/>
      <c r="C82" s="307"/>
      <c r="D82" s="307"/>
      <c r="E82" s="307"/>
      <c r="F82" s="307"/>
      <c r="G82" s="307"/>
      <c r="H82" s="308"/>
      <c r="I82" s="307"/>
      <c r="J82" s="307"/>
      <c r="K82" s="307"/>
      <c r="L82" s="309"/>
      <c r="M82" s="307"/>
      <c r="N82" s="310"/>
      <c r="O82" s="307"/>
      <c r="P82" s="307"/>
      <c r="Q82" s="307"/>
      <c r="R82" s="307"/>
      <c r="S82" s="307"/>
      <c r="T82" s="311"/>
      <c r="U82" s="309"/>
      <c r="V82" s="309"/>
      <c r="W82" s="307"/>
      <c r="X82" s="309"/>
      <c r="Y82" s="307"/>
      <c r="Z82" s="307"/>
      <c r="AA82" s="307"/>
      <c r="AB82" s="307"/>
      <c r="AC82" s="307"/>
      <c r="AD82" s="307"/>
      <c r="AE82" s="307"/>
      <c r="AF82" s="307"/>
    </row>
    <row r="83" ht="20.25" customHeight="1">
      <c r="A83" s="311"/>
      <c r="B83" s="307"/>
      <c r="C83" s="307"/>
      <c r="D83" s="307"/>
      <c r="E83" s="307"/>
      <c r="F83" s="307"/>
      <c r="G83" s="307"/>
      <c r="H83" s="308"/>
      <c r="I83" s="307"/>
      <c r="J83" s="307"/>
      <c r="K83" s="307"/>
      <c r="L83" s="309"/>
      <c r="M83" s="307"/>
      <c r="N83" s="310"/>
      <c r="O83" s="307"/>
      <c r="P83" s="307"/>
      <c r="Q83" s="307"/>
      <c r="R83" s="307"/>
      <c r="S83" s="307"/>
      <c r="T83" s="311"/>
      <c r="U83" s="309"/>
      <c r="V83" s="309"/>
      <c r="W83" s="307"/>
      <c r="X83" s="309"/>
      <c r="Y83" s="307"/>
      <c r="Z83" s="307"/>
      <c r="AA83" s="307"/>
      <c r="AB83" s="307"/>
      <c r="AC83" s="307"/>
      <c r="AD83" s="307"/>
      <c r="AE83" s="307"/>
      <c r="AF83" s="307"/>
    </row>
    <row r="84" ht="20.25" customHeight="1">
      <c r="A84" s="311"/>
      <c r="B84" s="307"/>
      <c r="C84" s="307"/>
      <c r="D84" s="307"/>
      <c r="E84" s="307"/>
      <c r="F84" s="307"/>
      <c r="G84" s="307"/>
      <c r="H84" s="308"/>
      <c r="I84" s="307"/>
      <c r="J84" s="307"/>
      <c r="K84" s="307"/>
      <c r="L84" s="309"/>
      <c r="M84" s="307"/>
      <c r="N84" s="310"/>
      <c r="O84" s="307"/>
      <c r="P84" s="307"/>
      <c r="Q84" s="307"/>
      <c r="R84" s="307"/>
      <c r="S84" s="307"/>
      <c r="T84" s="311"/>
      <c r="U84" s="309"/>
      <c r="V84" s="309"/>
      <c r="W84" s="307"/>
      <c r="X84" s="309"/>
      <c r="Y84" s="307"/>
      <c r="Z84" s="307"/>
      <c r="AA84" s="307"/>
      <c r="AB84" s="307"/>
      <c r="AC84" s="307"/>
      <c r="AD84" s="307"/>
      <c r="AE84" s="307"/>
      <c r="AF84" s="307"/>
    </row>
    <row r="85" ht="20.25" customHeight="1">
      <c r="A85" s="311"/>
      <c r="B85" s="307"/>
      <c r="C85" s="307"/>
      <c r="D85" s="307"/>
      <c r="E85" s="307"/>
      <c r="F85" s="307"/>
      <c r="G85" s="307"/>
      <c r="H85" s="308"/>
      <c r="I85" s="307"/>
      <c r="J85" s="307"/>
      <c r="K85" s="307"/>
      <c r="L85" s="309"/>
      <c r="M85" s="307"/>
      <c r="N85" s="310"/>
      <c r="O85" s="307"/>
      <c r="P85" s="307"/>
      <c r="Q85" s="307"/>
      <c r="R85" s="307"/>
      <c r="S85" s="307"/>
      <c r="T85" s="311"/>
      <c r="U85" s="309"/>
      <c r="V85" s="309"/>
      <c r="W85" s="307"/>
      <c r="X85" s="309"/>
      <c r="Y85" s="307"/>
      <c r="Z85" s="307"/>
      <c r="AA85" s="307"/>
      <c r="AB85" s="307"/>
      <c r="AC85" s="307"/>
      <c r="AD85" s="307"/>
      <c r="AE85" s="307"/>
      <c r="AF85" s="307"/>
    </row>
    <row r="86" ht="20.25" customHeight="1">
      <c r="A86" s="311"/>
      <c r="B86" s="307"/>
      <c r="C86" s="307"/>
      <c r="D86" s="307"/>
      <c r="E86" s="307"/>
      <c r="F86" s="307"/>
      <c r="G86" s="307"/>
      <c r="H86" s="308"/>
      <c r="I86" s="307"/>
      <c r="J86" s="307"/>
      <c r="K86" s="307"/>
      <c r="L86" s="309"/>
      <c r="M86" s="307"/>
      <c r="N86" s="310"/>
      <c r="O86" s="307"/>
      <c r="P86" s="307"/>
      <c r="Q86" s="307"/>
      <c r="R86" s="307"/>
      <c r="S86" s="307"/>
      <c r="T86" s="311"/>
      <c r="U86" s="309"/>
      <c r="V86" s="309"/>
      <c r="W86" s="307"/>
      <c r="X86" s="309"/>
      <c r="Y86" s="307"/>
      <c r="Z86" s="307"/>
      <c r="AA86" s="307"/>
      <c r="AB86" s="307"/>
      <c r="AC86" s="307"/>
      <c r="AD86" s="307"/>
      <c r="AE86" s="307"/>
      <c r="AF86" s="307"/>
    </row>
    <row r="87" ht="20.25" customHeight="1">
      <c r="A87" s="311"/>
      <c r="B87" s="307"/>
      <c r="C87" s="307"/>
      <c r="D87" s="307"/>
      <c r="E87" s="307"/>
      <c r="F87" s="307"/>
      <c r="G87" s="307"/>
      <c r="H87" s="308"/>
      <c r="I87" s="307"/>
      <c r="J87" s="307"/>
      <c r="K87" s="307"/>
      <c r="L87" s="309"/>
      <c r="M87" s="307"/>
      <c r="N87" s="310"/>
      <c r="O87" s="307"/>
      <c r="P87" s="307"/>
      <c r="Q87" s="307"/>
      <c r="R87" s="307"/>
      <c r="S87" s="307"/>
      <c r="T87" s="311"/>
      <c r="U87" s="309"/>
      <c r="V87" s="309"/>
      <c r="W87" s="307"/>
      <c r="X87" s="309"/>
      <c r="Y87" s="307"/>
      <c r="Z87" s="307"/>
      <c r="AA87" s="307"/>
      <c r="AB87" s="307"/>
      <c r="AC87" s="307"/>
      <c r="AD87" s="307"/>
      <c r="AE87" s="307"/>
      <c r="AF87" s="307"/>
    </row>
    <row r="88" ht="20.25" customHeight="1">
      <c r="A88" s="311"/>
      <c r="B88" s="307"/>
      <c r="C88" s="307"/>
      <c r="D88" s="307"/>
      <c r="E88" s="307"/>
      <c r="F88" s="307"/>
      <c r="G88" s="307"/>
      <c r="H88" s="308"/>
      <c r="I88" s="307"/>
      <c r="J88" s="307"/>
      <c r="K88" s="307"/>
      <c r="L88" s="309"/>
      <c r="M88" s="307"/>
      <c r="N88" s="310"/>
      <c r="O88" s="307"/>
      <c r="P88" s="307"/>
      <c r="Q88" s="307"/>
      <c r="R88" s="307"/>
      <c r="S88" s="307"/>
      <c r="T88" s="311"/>
      <c r="U88" s="309"/>
      <c r="V88" s="309"/>
      <c r="W88" s="307"/>
      <c r="X88" s="309"/>
      <c r="Y88" s="307"/>
      <c r="Z88" s="307"/>
      <c r="AA88" s="307"/>
      <c r="AB88" s="307"/>
      <c r="AC88" s="307"/>
      <c r="AD88" s="307"/>
      <c r="AE88" s="307"/>
      <c r="AF88" s="307"/>
    </row>
    <row r="89" ht="20.25" customHeight="1">
      <c r="A89" s="311"/>
      <c r="B89" s="307"/>
      <c r="C89" s="307"/>
      <c r="D89" s="307"/>
      <c r="E89" s="307"/>
      <c r="F89" s="307"/>
      <c r="G89" s="307"/>
      <c r="H89" s="308"/>
      <c r="I89" s="307"/>
      <c r="J89" s="307"/>
      <c r="K89" s="307"/>
      <c r="L89" s="309"/>
      <c r="M89" s="307"/>
      <c r="N89" s="310"/>
      <c r="O89" s="307"/>
      <c r="P89" s="307"/>
      <c r="Q89" s="307"/>
      <c r="R89" s="307"/>
      <c r="S89" s="307"/>
      <c r="T89" s="311"/>
      <c r="U89" s="309"/>
      <c r="V89" s="309"/>
      <c r="W89" s="307"/>
      <c r="X89" s="309"/>
      <c r="Y89" s="307"/>
      <c r="Z89" s="307"/>
      <c r="AA89" s="307"/>
      <c r="AB89" s="307"/>
      <c r="AC89" s="307"/>
      <c r="AD89" s="307"/>
      <c r="AE89" s="307"/>
      <c r="AF89" s="307"/>
    </row>
    <row r="90" ht="20.25" customHeight="1">
      <c r="A90" s="311"/>
      <c r="B90" s="307"/>
      <c r="C90" s="307"/>
      <c r="D90" s="307"/>
      <c r="E90" s="307"/>
      <c r="F90" s="307"/>
      <c r="G90" s="307"/>
      <c r="H90" s="308"/>
      <c r="I90" s="307"/>
      <c r="J90" s="307"/>
      <c r="K90" s="307"/>
      <c r="L90" s="309"/>
      <c r="M90" s="307"/>
      <c r="N90" s="310"/>
      <c r="O90" s="307"/>
      <c r="P90" s="307"/>
      <c r="Q90" s="307"/>
      <c r="R90" s="307"/>
      <c r="S90" s="307"/>
      <c r="T90" s="311"/>
      <c r="U90" s="309"/>
      <c r="V90" s="309"/>
      <c r="W90" s="307"/>
      <c r="X90" s="309"/>
      <c r="Y90" s="307"/>
      <c r="Z90" s="307"/>
      <c r="AA90" s="307"/>
      <c r="AB90" s="307"/>
      <c r="AC90" s="307"/>
      <c r="AD90" s="307"/>
      <c r="AE90" s="307"/>
      <c r="AF90" s="307"/>
    </row>
    <row r="91" ht="20.25" customHeight="1">
      <c r="A91" s="311"/>
      <c r="B91" s="307"/>
      <c r="C91" s="307"/>
      <c r="D91" s="307"/>
      <c r="E91" s="307"/>
      <c r="F91" s="307"/>
      <c r="G91" s="307"/>
      <c r="H91" s="308"/>
      <c r="I91" s="307"/>
      <c r="J91" s="307"/>
      <c r="K91" s="307"/>
      <c r="L91" s="309"/>
      <c r="M91" s="307"/>
      <c r="N91" s="310"/>
      <c r="O91" s="307"/>
      <c r="P91" s="307"/>
      <c r="Q91" s="307"/>
      <c r="R91" s="307"/>
      <c r="S91" s="307"/>
      <c r="T91" s="311"/>
      <c r="U91" s="309"/>
      <c r="V91" s="309"/>
      <c r="W91" s="307"/>
      <c r="X91" s="309"/>
      <c r="Y91" s="307"/>
      <c r="Z91" s="307"/>
      <c r="AA91" s="307"/>
      <c r="AB91" s="307"/>
      <c r="AC91" s="307"/>
      <c r="AD91" s="307"/>
      <c r="AE91" s="307"/>
      <c r="AF91" s="307"/>
    </row>
    <row r="92" ht="20.25" customHeight="1">
      <c r="A92" s="311"/>
      <c r="B92" s="307"/>
      <c r="C92" s="307"/>
      <c r="D92" s="307"/>
      <c r="E92" s="307"/>
      <c r="F92" s="307"/>
      <c r="G92" s="307"/>
      <c r="H92" s="308"/>
      <c r="I92" s="307"/>
      <c r="J92" s="307"/>
      <c r="K92" s="307"/>
      <c r="L92" s="309"/>
      <c r="M92" s="307"/>
      <c r="N92" s="310"/>
      <c r="O92" s="307"/>
      <c r="P92" s="307"/>
      <c r="Q92" s="307"/>
      <c r="R92" s="307"/>
      <c r="S92" s="307"/>
      <c r="T92" s="311"/>
      <c r="U92" s="309"/>
      <c r="V92" s="309"/>
      <c r="W92" s="307"/>
      <c r="X92" s="309"/>
      <c r="Y92" s="307"/>
      <c r="Z92" s="307"/>
      <c r="AA92" s="307"/>
      <c r="AB92" s="307"/>
      <c r="AC92" s="307"/>
      <c r="AD92" s="307"/>
      <c r="AE92" s="307"/>
      <c r="AF92" s="307"/>
    </row>
    <row r="93" ht="20.25" customHeight="1">
      <c r="A93" s="311"/>
      <c r="B93" s="307"/>
      <c r="C93" s="307"/>
      <c r="D93" s="307"/>
      <c r="E93" s="307"/>
      <c r="F93" s="307"/>
      <c r="G93" s="307"/>
      <c r="H93" s="308"/>
      <c r="I93" s="307"/>
      <c r="J93" s="307"/>
      <c r="K93" s="307"/>
      <c r="L93" s="309"/>
      <c r="M93" s="307"/>
      <c r="N93" s="310"/>
      <c r="O93" s="307"/>
      <c r="P93" s="307"/>
      <c r="Q93" s="307"/>
      <c r="R93" s="307"/>
      <c r="S93" s="307"/>
      <c r="T93" s="311"/>
      <c r="U93" s="309"/>
      <c r="V93" s="309"/>
      <c r="W93" s="307"/>
      <c r="X93" s="309"/>
      <c r="Y93" s="307"/>
      <c r="Z93" s="307"/>
      <c r="AA93" s="307"/>
      <c r="AB93" s="307"/>
      <c r="AC93" s="307"/>
      <c r="AD93" s="307"/>
      <c r="AE93" s="307"/>
      <c r="AF93" s="307"/>
    </row>
    <row r="94" ht="20.25" customHeight="1">
      <c r="A94" s="311"/>
      <c r="B94" s="307"/>
      <c r="C94" s="307"/>
      <c r="D94" s="307"/>
      <c r="E94" s="307"/>
      <c r="F94" s="307"/>
      <c r="G94" s="307"/>
      <c r="H94" s="308"/>
      <c r="I94" s="307"/>
      <c r="J94" s="307"/>
      <c r="K94" s="307"/>
      <c r="L94" s="309"/>
      <c r="M94" s="307"/>
      <c r="N94" s="310"/>
      <c r="O94" s="307"/>
      <c r="P94" s="307"/>
      <c r="Q94" s="307"/>
      <c r="R94" s="307"/>
      <c r="S94" s="307"/>
      <c r="T94" s="311"/>
      <c r="U94" s="309"/>
      <c r="V94" s="309"/>
      <c r="W94" s="307"/>
      <c r="X94" s="309"/>
      <c r="Y94" s="307"/>
      <c r="Z94" s="307"/>
      <c r="AA94" s="307"/>
      <c r="AB94" s="307"/>
      <c r="AC94" s="307"/>
      <c r="AD94" s="307"/>
      <c r="AE94" s="307"/>
      <c r="AF94" s="307"/>
    </row>
    <row r="95" ht="20.25" customHeight="1">
      <c r="A95" s="311"/>
      <c r="B95" s="307"/>
      <c r="C95" s="307"/>
      <c r="D95" s="307"/>
      <c r="E95" s="307"/>
      <c r="F95" s="307"/>
      <c r="G95" s="307"/>
      <c r="H95" s="308"/>
      <c r="I95" s="307"/>
      <c r="J95" s="307"/>
      <c r="K95" s="307"/>
      <c r="L95" s="309"/>
      <c r="M95" s="307"/>
      <c r="N95" s="310"/>
      <c r="O95" s="307"/>
      <c r="P95" s="307"/>
      <c r="Q95" s="307"/>
      <c r="R95" s="307"/>
      <c r="S95" s="307"/>
      <c r="T95" s="311"/>
      <c r="U95" s="309"/>
      <c r="V95" s="309"/>
      <c r="W95" s="307"/>
      <c r="X95" s="309"/>
      <c r="Y95" s="307"/>
      <c r="Z95" s="307"/>
      <c r="AA95" s="307"/>
      <c r="AB95" s="307"/>
      <c r="AC95" s="307"/>
      <c r="AD95" s="307"/>
      <c r="AE95" s="307"/>
      <c r="AF95" s="307"/>
    </row>
    <row r="96" ht="20.25" customHeight="1">
      <c r="A96" s="311"/>
      <c r="B96" s="307"/>
      <c r="C96" s="307"/>
      <c r="D96" s="307"/>
      <c r="E96" s="307"/>
      <c r="F96" s="307"/>
      <c r="G96" s="307"/>
      <c r="H96" s="308"/>
      <c r="I96" s="307"/>
      <c r="J96" s="307"/>
      <c r="K96" s="307"/>
      <c r="L96" s="309"/>
      <c r="M96" s="307"/>
      <c r="N96" s="310"/>
      <c r="O96" s="307"/>
      <c r="P96" s="307"/>
      <c r="Q96" s="307"/>
      <c r="R96" s="307"/>
      <c r="S96" s="307"/>
      <c r="T96" s="311"/>
      <c r="U96" s="309"/>
      <c r="V96" s="309"/>
      <c r="W96" s="307"/>
      <c r="X96" s="309"/>
      <c r="Y96" s="307"/>
      <c r="Z96" s="307"/>
      <c r="AA96" s="307"/>
      <c r="AB96" s="307"/>
      <c r="AC96" s="307"/>
      <c r="AD96" s="307"/>
      <c r="AE96" s="307"/>
      <c r="AF96" s="307"/>
    </row>
    <row r="97" ht="20.25" customHeight="1">
      <c r="A97" s="311"/>
      <c r="B97" s="307"/>
      <c r="C97" s="307"/>
      <c r="D97" s="307"/>
      <c r="E97" s="307"/>
      <c r="F97" s="307"/>
      <c r="G97" s="307"/>
      <c r="H97" s="308"/>
      <c r="I97" s="307"/>
      <c r="J97" s="307"/>
      <c r="K97" s="307"/>
      <c r="L97" s="309"/>
      <c r="M97" s="307"/>
      <c r="N97" s="310"/>
      <c r="O97" s="307"/>
      <c r="P97" s="307"/>
      <c r="Q97" s="307"/>
      <c r="R97" s="307"/>
      <c r="S97" s="307"/>
      <c r="T97" s="311"/>
      <c r="U97" s="309"/>
      <c r="V97" s="309"/>
      <c r="W97" s="307"/>
      <c r="X97" s="309"/>
      <c r="Y97" s="307"/>
      <c r="Z97" s="307"/>
      <c r="AA97" s="307"/>
      <c r="AB97" s="307"/>
      <c r="AC97" s="307"/>
      <c r="AD97" s="307"/>
      <c r="AE97" s="307"/>
      <c r="AF97" s="307"/>
    </row>
    <row r="98" ht="20.25" customHeight="1">
      <c r="A98" s="311"/>
      <c r="B98" s="307"/>
      <c r="C98" s="307"/>
      <c r="D98" s="307"/>
      <c r="E98" s="307"/>
      <c r="F98" s="307"/>
      <c r="G98" s="307"/>
      <c r="H98" s="308"/>
      <c r="I98" s="307"/>
      <c r="J98" s="307"/>
      <c r="K98" s="307"/>
      <c r="L98" s="309"/>
      <c r="M98" s="307"/>
      <c r="N98" s="310"/>
      <c r="O98" s="307"/>
      <c r="P98" s="307"/>
      <c r="Q98" s="307"/>
      <c r="R98" s="307"/>
      <c r="S98" s="307"/>
      <c r="T98" s="311"/>
      <c r="U98" s="309"/>
      <c r="V98" s="309"/>
      <c r="W98" s="307"/>
      <c r="X98" s="309"/>
      <c r="Y98" s="307"/>
      <c r="Z98" s="307"/>
      <c r="AA98" s="307"/>
      <c r="AB98" s="307"/>
      <c r="AC98" s="307"/>
      <c r="AD98" s="307"/>
      <c r="AE98" s="307"/>
      <c r="AF98" s="307"/>
    </row>
    <row r="99" ht="20.25" customHeight="1">
      <c r="A99" s="311"/>
      <c r="B99" s="307"/>
      <c r="C99" s="307"/>
      <c r="D99" s="307"/>
      <c r="E99" s="307"/>
      <c r="F99" s="307"/>
      <c r="G99" s="307"/>
      <c r="H99" s="308"/>
      <c r="I99" s="307"/>
      <c r="J99" s="307"/>
      <c r="K99" s="307"/>
      <c r="L99" s="309"/>
      <c r="M99" s="307"/>
      <c r="N99" s="310"/>
      <c r="O99" s="307"/>
      <c r="P99" s="307"/>
      <c r="Q99" s="307"/>
      <c r="R99" s="307"/>
      <c r="S99" s="307"/>
      <c r="T99" s="311"/>
      <c r="U99" s="309"/>
      <c r="V99" s="309"/>
      <c r="W99" s="307"/>
      <c r="X99" s="309"/>
      <c r="Y99" s="307"/>
      <c r="Z99" s="307"/>
      <c r="AA99" s="307"/>
      <c r="AB99" s="307"/>
      <c r="AC99" s="307"/>
      <c r="AD99" s="307"/>
      <c r="AE99" s="307"/>
      <c r="AF99" s="307"/>
    </row>
    <row r="100" ht="20.25" customHeight="1">
      <c r="A100" s="311"/>
      <c r="B100" s="307"/>
      <c r="C100" s="307"/>
      <c r="D100" s="307"/>
      <c r="E100" s="307"/>
      <c r="F100" s="307"/>
      <c r="G100" s="307"/>
      <c r="H100" s="308"/>
      <c r="I100" s="307"/>
      <c r="J100" s="307"/>
      <c r="K100" s="307"/>
      <c r="L100" s="309"/>
      <c r="M100" s="307"/>
      <c r="N100" s="310"/>
      <c r="O100" s="307"/>
      <c r="P100" s="307"/>
      <c r="Q100" s="307"/>
      <c r="R100" s="307"/>
      <c r="S100" s="307"/>
      <c r="T100" s="311"/>
      <c r="U100" s="309"/>
      <c r="V100" s="309"/>
      <c r="W100" s="307"/>
      <c r="X100" s="309"/>
      <c r="Y100" s="307"/>
      <c r="Z100" s="307"/>
      <c r="AA100" s="307"/>
      <c r="AB100" s="307"/>
      <c r="AC100" s="307"/>
      <c r="AD100" s="307"/>
      <c r="AE100" s="307"/>
      <c r="AF100" s="307"/>
    </row>
    <row r="101" ht="20.25" customHeight="1">
      <c r="A101" s="311"/>
      <c r="B101" s="307"/>
      <c r="C101" s="307"/>
      <c r="D101" s="307"/>
      <c r="E101" s="307"/>
      <c r="F101" s="307"/>
      <c r="G101" s="307"/>
      <c r="H101" s="308"/>
      <c r="I101" s="307"/>
      <c r="J101" s="307"/>
      <c r="K101" s="307"/>
      <c r="L101" s="309"/>
      <c r="M101" s="307"/>
      <c r="N101" s="310"/>
      <c r="O101" s="307"/>
      <c r="P101" s="307"/>
      <c r="Q101" s="307"/>
      <c r="R101" s="307"/>
      <c r="S101" s="307"/>
      <c r="T101" s="311"/>
      <c r="U101" s="309"/>
      <c r="V101" s="309"/>
      <c r="W101" s="307"/>
      <c r="X101" s="309"/>
      <c r="Y101" s="307"/>
      <c r="Z101" s="307"/>
      <c r="AA101" s="307"/>
      <c r="AB101" s="307"/>
      <c r="AC101" s="307"/>
      <c r="AD101" s="307"/>
      <c r="AE101" s="307"/>
      <c r="AF101" s="307"/>
    </row>
    <row r="102" ht="20.25" customHeight="1">
      <c r="A102" s="311"/>
      <c r="B102" s="307"/>
      <c r="C102" s="307"/>
      <c r="D102" s="307"/>
      <c r="E102" s="307"/>
      <c r="F102" s="307"/>
      <c r="G102" s="307"/>
      <c r="H102" s="308"/>
      <c r="I102" s="307"/>
      <c r="J102" s="307"/>
      <c r="K102" s="307"/>
      <c r="L102" s="309"/>
      <c r="M102" s="307"/>
      <c r="N102" s="310"/>
      <c r="O102" s="307"/>
      <c r="P102" s="307"/>
      <c r="Q102" s="307"/>
      <c r="R102" s="307"/>
      <c r="S102" s="307"/>
      <c r="T102" s="311"/>
      <c r="U102" s="309"/>
      <c r="V102" s="309"/>
      <c r="W102" s="307"/>
      <c r="X102" s="309"/>
      <c r="Y102" s="307"/>
      <c r="Z102" s="307"/>
      <c r="AA102" s="307"/>
      <c r="AB102" s="307"/>
      <c r="AC102" s="307"/>
      <c r="AD102" s="307"/>
      <c r="AE102" s="307"/>
      <c r="AF102" s="307"/>
    </row>
    <row r="103" ht="20.25" customHeight="1">
      <c r="A103" s="311"/>
      <c r="B103" s="307"/>
      <c r="C103" s="307"/>
      <c r="D103" s="307"/>
      <c r="E103" s="307"/>
      <c r="F103" s="307"/>
      <c r="G103" s="307"/>
      <c r="H103" s="308"/>
      <c r="I103" s="307"/>
      <c r="J103" s="307"/>
      <c r="K103" s="307"/>
      <c r="L103" s="309"/>
      <c r="M103" s="307"/>
      <c r="N103" s="310"/>
      <c r="O103" s="307"/>
      <c r="P103" s="307"/>
      <c r="Q103" s="307"/>
      <c r="R103" s="307"/>
      <c r="S103" s="307"/>
      <c r="T103" s="311"/>
      <c r="U103" s="309"/>
      <c r="V103" s="309"/>
      <c r="W103" s="307"/>
      <c r="X103" s="309"/>
      <c r="Y103" s="307"/>
      <c r="Z103" s="307"/>
      <c r="AA103" s="307"/>
      <c r="AB103" s="307"/>
      <c r="AC103" s="307"/>
      <c r="AD103" s="307"/>
      <c r="AE103" s="307"/>
      <c r="AF103" s="307"/>
    </row>
    <row r="104" ht="20.25" customHeight="1">
      <c r="A104" s="311"/>
      <c r="B104" s="307"/>
      <c r="C104" s="307"/>
      <c r="D104" s="307"/>
      <c r="E104" s="307"/>
      <c r="F104" s="307"/>
      <c r="G104" s="307"/>
      <c r="H104" s="308"/>
      <c r="I104" s="307"/>
      <c r="J104" s="307"/>
      <c r="K104" s="307"/>
      <c r="L104" s="309"/>
      <c r="M104" s="307"/>
      <c r="N104" s="310"/>
      <c r="O104" s="307"/>
      <c r="P104" s="307"/>
      <c r="Q104" s="307"/>
      <c r="R104" s="307"/>
      <c r="S104" s="307"/>
      <c r="T104" s="311"/>
      <c r="U104" s="309"/>
      <c r="V104" s="309"/>
      <c r="W104" s="307"/>
      <c r="X104" s="309"/>
      <c r="Y104" s="307"/>
      <c r="Z104" s="307"/>
      <c r="AA104" s="307"/>
      <c r="AB104" s="307"/>
      <c r="AC104" s="307"/>
      <c r="AD104" s="307"/>
      <c r="AE104" s="307"/>
      <c r="AF104" s="307"/>
    </row>
    <row r="105" ht="20.25" customHeight="1">
      <c r="A105" s="311"/>
      <c r="B105" s="307"/>
      <c r="C105" s="307"/>
      <c r="D105" s="307"/>
      <c r="E105" s="307"/>
      <c r="F105" s="307"/>
      <c r="G105" s="307"/>
      <c r="H105" s="308"/>
      <c r="I105" s="307"/>
      <c r="J105" s="307"/>
      <c r="K105" s="307"/>
      <c r="L105" s="309"/>
      <c r="M105" s="307"/>
      <c r="N105" s="310"/>
      <c r="O105" s="307"/>
      <c r="P105" s="307"/>
      <c r="Q105" s="307"/>
      <c r="R105" s="307"/>
      <c r="S105" s="307"/>
      <c r="T105" s="311"/>
      <c r="U105" s="309"/>
      <c r="V105" s="309"/>
      <c r="W105" s="307"/>
      <c r="X105" s="309"/>
      <c r="Y105" s="307"/>
      <c r="Z105" s="307"/>
      <c r="AA105" s="307"/>
      <c r="AB105" s="307"/>
      <c r="AC105" s="307"/>
      <c r="AD105" s="307"/>
      <c r="AE105" s="307"/>
      <c r="AF105" s="307"/>
    </row>
    <row r="106" ht="20.25" customHeight="1">
      <c r="A106" s="311"/>
      <c r="B106" s="307"/>
      <c r="C106" s="307"/>
      <c r="D106" s="307"/>
      <c r="E106" s="307"/>
      <c r="F106" s="307"/>
      <c r="G106" s="307"/>
      <c r="H106" s="308"/>
      <c r="I106" s="307"/>
      <c r="J106" s="307"/>
      <c r="K106" s="307"/>
      <c r="L106" s="309"/>
      <c r="M106" s="307"/>
      <c r="N106" s="310"/>
      <c r="O106" s="307"/>
      <c r="P106" s="307"/>
      <c r="Q106" s="307"/>
      <c r="R106" s="307"/>
      <c r="S106" s="307"/>
      <c r="T106" s="311"/>
      <c r="U106" s="309"/>
      <c r="V106" s="309"/>
      <c r="W106" s="307"/>
      <c r="X106" s="309"/>
      <c r="Y106" s="307"/>
      <c r="Z106" s="307"/>
      <c r="AA106" s="307"/>
      <c r="AB106" s="307"/>
      <c r="AC106" s="307"/>
      <c r="AD106" s="307"/>
      <c r="AE106" s="307"/>
      <c r="AF106" s="307"/>
    </row>
    <row r="107" ht="20.25" customHeight="1">
      <c r="A107" s="311"/>
      <c r="B107" s="307"/>
      <c r="C107" s="307"/>
      <c r="D107" s="307"/>
      <c r="E107" s="307"/>
      <c r="F107" s="307"/>
      <c r="G107" s="307"/>
      <c r="H107" s="308"/>
      <c r="I107" s="307"/>
      <c r="J107" s="307"/>
      <c r="K107" s="307"/>
      <c r="L107" s="309"/>
      <c r="M107" s="307"/>
      <c r="N107" s="310"/>
      <c r="O107" s="307"/>
      <c r="P107" s="307"/>
      <c r="Q107" s="307"/>
      <c r="R107" s="307"/>
      <c r="S107" s="307"/>
      <c r="T107" s="311"/>
      <c r="U107" s="309"/>
      <c r="V107" s="309"/>
      <c r="W107" s="307"/>
      <c r="X107" s="309"/>
      <c r="Y107" s="307"/>
      <c r="Z107" s="307"/>
      <c r="AA107" s="307"/>
      <c r="AB107" s="307"/>
      <c r="AC107" s="307"/>
      <c r="AD107" s="307"/>
      <c r="AE107" s="307"/>
      <c r="AF107" s="307"/>
    </row>
    <row r="108" ht="20.25" customHeight="1">
      <c r="A108" s="311"/>
      <c r="B108" s="307"/>
      <c r="C108" s="307"/>
      <c r="D108" s="307"/>
      <c r="E108" s="307"/>
      <c r="F108" s="307"/>
      <c r="G108" s="307"/>
      <c r="H108" s="308"/>
      <c r="I108" s="307"/>
      <c r="J108" s="307"/>
      <c r="K108" s="307"/>
      <c r="L108" s="309"/>
      <c r="M108" s="307"/>
      <c r="N108" s="310"/>
      <c r="O108" s="307"/>
      <c r="P108" s="307"/>
      <c r="Q108" s="307"/>
      <c r="R108" s="307"/>
      <c r="S108" s="307"/>
      <c r="T108" s="311"/>
      <c r="U108" s="309"/>
      <c r="V108" s="309"/>
      <c r="W108" s="307"/>
      <c r="X108" s="309"/>
      <c r="Y108" s="307"/>
      <c r="Z108" s="307"/>
      <c r="AA108" s="307"/>
      <c r="AB108" s="307"/>
      <c r="AC108" s="307"/>
      <c r="AD108" s="307"/>
      <c r="AE108" s="307"/>
      <c r="AF108" s="307"/>
    </row>
    <row r="109" ht="20.25" customHeight="1">
      <c r="A109" s="311"/>
      <c r="B109" s="307"/>
      <c r="C109" s="307"/>
      <c r="D109" s="307"/>
      <c r="E109" s="307"/>
      <c r="F109" s="307"/>
      <c r="G109" s="307"/>
      <c r="H109" s="308"/>
      <c r="I109" s="307"/>
      <c r="J109" s="307"/>
      <c r="K109" s="307"/>
      <c r="L109" s="309"/>
      <c r="M109" s="307"/>
      <c r="N109" s="310"/>
      <c r="O109" s="307"/>
      <c r="P109" s="307"/>
      <c r="Q109" s="307"/>
      <c r="R109" s="307"/>
      <c r="S109" s="307"/>
      <c r="T109" s="311"/>
      <c r="U109" s="309"/>
      <c r="V109" s="309"/>
      <c r="W109" s="307"/>
      <c r="X109" s="309"/>
      <c r="Y109" s="307"/>
      <c r="Z109" s="307"/>
      <c r="AA109" s="307"/>
      <c r="AB109" s="307"/>
      <c r="AC109" s="307"/>
      <c r="AD109" s="307"/>
      <c r="AE109" s="307"/>
      <c r="AF109" s="307"/>
    </row>
    <row r="110" ht="20.25" customHeight="1">
      <c r="A110" s="311"/>
      <c r="B110" s="307"/>
      <c r="C110" s="307"/>
      <c r="D110" s="307"/>
      <c r="E110" s="307"/>
      <c r="F110" s="307"/>
      <c r="G110" s="307"/>
      <c r="H110" s="308"/>
      <c r="I110" s="307"/>
      <c r="J110" s="307"/>
      <c r="K110" s="307"/>
      <c r="L110" s="309"/>
      <c r="M110" s="307"/>
      <c r="N110" s="310"/>
      <c r="O110" s="307"/>
      <c r="P110" s="307"/>
      <c r="Q110" s="307"/>
      <c r="R110" s="307"/>
      <c r="S110" s="307"/>
      <c r="T110" s="311"/>
      <c r="U110" s="309"/>
      <c r="V110" s="309"/>
      <c r="W110" s="307"/>
      <c r="X110" s="309"/>
      <c r="Y110" s="307"/>
      <c r="Z110" s="307"/>
      <c r="AA110" s="307"/>
      <c r="AB110" s="307"/>
      <c r="AC110" s="307"/>
      <c r="AD110" s="307"/>
      <c r="AE110" s="307"/>
      <c r="AF110" s="307"/>
    </row>
    <row r="111" ht="20.25" customHeight="1">
      <c r="A111" s="311"/>
      <c r="B111" s="307"/>
      <c r="C111" s="307"/>
      <c r="D111" s="307"/>
      <c r="E111" s="307"/>
      <c r="F111" s="307"/>
      <c r="G111" s="307"/>
      <c r="H111" s="308"/>
      <c r="I111" s="307"/>
      <c r="J111" s="307"/>
      <c r="K111" s="307"/>
      <c r="L111" s="309"/>
      <c r="M111" s="307"/>
      <c r="N111" s="310"/>
      <c r="O111" s="307"/>
      <c r="P111" s="307"/>
      <c r="Q111" s="307"/>
      <c r="R111" s="307"/>
      <c r="S111" s="307"/>
      <c r="T111" s="311"/>
      <c r="U111" s="309"/>
      <c r="V111" s="309"/>
      <c r="W111" s="307"/>
      <c r="X111" s="309"/>
      <c r="Y111" s="307"/>
      <c r="Z111" s="307"/>
      <c r="AA111" s="307"/>
      <c r="AB111" s="307"/>
      <c r="AC111" s="307"/>
      <c r="AD111" s="307"/>
      <c r="AE111" s="307"/>
      <c r="AF111" s="307"/>
    </row>
    <row r="112" ht="20.25" customHeight="1">
      <c r="A112" s="311"/>
      <c r="B112" s="307"/>
      <c r="C112" s="307"/>
      <c r="D112" s="307"/>
      <c r="E112" s="307"/>
      <c r="F112" s="307"/>
      <c r="G112" s="307"/>
      <c r="H112" s="308"/>
      <c r="I112" s="307"/>
      <c r="J112" s="307"/>
      <c r="K112" s="307"/>
      <c r="L112" s="309"/>
      <c r="M112" s="307"/>
      <c r="N112" s="310"/>
      <c r="O112" s="307"/>
      <c r="P112" s="307"/>
      <c r="Q112" s="307"/>
      <c r="R112" s="307"/>
      <c r="S112" s="307"/>
      <c r="T112" s="311"/>
      <c r="U112" s="309"/>
      <c r="V112" s="309"/>
      <c r="W112" s="307"/>
      <c r="X112" s="309"/>
      <c r="Y112" s="307"/>
      <c r="Z112" s="307"/>
      <c r="AA112" s="307"/>
      <c r="AB112" s="307"/>
      <c r="AC112" s="307"/>
      <c r="AD112" s="307"/>
      <c r="AE112" s="307"/>
      <c r="AF112" s="307"/>
    </row>
    <row r="113" ht="20.25" customHeight="1">
      <c r="A113" s="311"/>
      <c r="B113" s="307"/>
      <c r="C113" s="307"/>
      <c r="D113" s="307"/>
      <c r="E113" s="307"/>
      <c r="F113" s="307"/>
      <c r="G113" s="307"/>
      <c r="H113" s="308"/>
      <c r="I113" s="307"/>
      <c r="J113" s="307"/>
      <c r="K113" s="307"/>
      <c r="L113" s="309"/>
      <c r="M113" s="307"/>
      <c r="N113" s="310"/>
      <c r="O113" s="307"/>
      <c r="P113" s="307"/>
      <c r="Q113" s="307"/>
      <c r="R113" s="307"/>
      <c r="S113" s="307"/>
      <c r="T113" s="311"/>
      <c r="U113" s="309"/>
      <c r="V113" s="309"/>
      <c r="W113" s="307"/>
      <c r="X113" s="309"/>
      <c r="Y113" s="307"/>
      <c r="Z113" s="307"/>
      <c r="AA113" s="307"/>
      <c r="AB113" s="307"/>
      <c r="AC113" s="307"/>
      <c r="AD113" s="307"/>
      <c r="AE113" s="307"/>
      <c r="AF113" s="307"/>
    </row>
    <row r="114" ht="20.25" customHeight="1">
      <c r="A114" s="311"/>
      <c r="B114" s="307"/>
      <c r="C114" s="307"/>
      <c r="D114" s="307"/>
      <c r="E114" s="307"/>
      <c r="F114" s="307"/>
      <c r="G114" s="307"/>
      <c r="H114" s="308"/>
      <c r="I114" s="307"/>
      <c r="J114" s="307"/>
      <c r="K114" s="307"/>
      <c r="L114" s="309"/>
      <c r="M114" s="307"/>
      <c r="N114" s="310"/>
      <c r="O114" s="307"/>
      <c r="P114" s="307"/>
      <c r="Q114" s="307"/>
      <c r="R114" s="307"/>
      <c r="S114" s="307"/>
      <c r="T114" s="311"/>
      <c r="U114" s="309"/>
      <c r="V114" s="309"/>
      <c r="W114" s="307"/>
      <c r="X114" s="309"/>
      <c r="Y114" s="307"/>
      <c r="Z114" s="307"/>
      <c r="AA114" s="307"/>
      <c r="AB114" s="307"/>
      <c r="AC114" s="307"/>
      <c r="AD114" s="307"/>
      <c r="AE114" s="307"/>
      <c r="AF114" s="307"/>
    </row>
    <row r="115" ht="20.25" customHeight="1">
      <c r="A115" s="311"/>
      <c r="B115" s="307"/>
      <c r="C115" s="307"/>
      <c r="D115" s="307"/>
      <c r="E115" s="307"/>
      <c r="F115" s="307"/>
      <c r="G115" s="307"/>
      <c r="H115" s="308"/>
      <c r="I115" s="307"/>
      <c r="J115" s="307"/>
      <c r="K115" s="307"/>
      <c r="L115" s="309"/>
      <c r="M115" s="307"/>
      <c r="N115" s="310"/>
      <c r="O115" s="307"/>
      <c r="P115" s="307"/>
      <c r="Q115" s="307"/>
      <c r="R115" s="307"/>
      <c r="S115" s="307"/>
      <c r="T115" s="311"/>
      <c r="U115" s="309"/>
      <c r="V115" s="309"/>
      <c r="W115" s="307"/>
      <c r="X115" s="309"/>
      <c r="Y115" s="307"/>
      <c r="Z115" s="307"/>
      <c r="AA115" s="307"/>
      <c r="AB115" s="307"/>
      <c r="AC115" s="307"/>
      <c r="AD115" s="307"/>
      <c r="AE115" s="307"/>
      <c r="AF115" s="307"/>
    </row>
    <row r="116" ht="20.25" customHeight="1">
      <c r="A116" s="311"/>
      <c r="B116" s="307"/>
      <c r="C116" s="307"/>
      <c r="D116" s="307"/>
      <c r="E116" s="307"/>
      <c r="F116" s="307"/>
      <c r="G116" s="307"/>
      <c r="H116" s="308"/>
      <c r="I116" s="307"/>
      <c r="J116" s="307"/>
      <c r="K116" s="307"/>
      <c r="L116" s="309"/>
      <c r="M116" s="307"/>
      <c r="N116" s="310"/>
      <c r="O116" s="307"/>
      <c r="P116" s="307"/>
      <c r="Q116" s="307"/>
      <c r="R116" s="307"/>
      <c r="S116" s="307"/>
      <c r="T116" s="311"/>
      <c r="U116" s="309"/>
      <c r="V116" s="309"/>
      <c r="W116" s="307"/>
      <c r="X116" s="309"/>
      <c r="Y116" s="307"/>
      <c r="Z116" s="307"/>
      <c r="AA116" s="307"/>
      <c r="AB116" s="307"/>
      <c r="AC116" s="307"/>
      <c r="AD116" s="307"/>
      <c r="AE116" s="307"/>
      <c r="AF116" s="307"/>
    </row>
    <row r="117" ht="20.25" customHeight="1">
      <c r="A117" s="311"/>
      <c r="B117" s="307"/>
      <c r="C117" s="307"/>
      <c r="D117" s="307"/>
      <c r="E117" s="307"/>
      <c r="F117" s="307"/>
      <c r="G117" s="307"/>
      <c r="H117" s="308"/>
      <c r="I117" s="307"/>
      <c r="J117" s="307"/>
      <c r="K117" s="307"/>
      <c r="L117" s="309"/>
      <c r="M117" s="307"/>
      <c r="N117" s="310"/>
      <c r="O117" s="307"/>
      <c r="P117" s="307"/>
      <c r="Q117" s="307"/>
      <c r="R117" s="307"/>
      <c r="S117" s="307"/>
      <c r="T117" s="311"/>
      <c r="U117" s="309"/>
      <c r="V117" s="309"/>
      <c r="W117" s="307"/>
      <c r="X117" s="309"/>
      <c r="Y117" s="307"/>
      <c r="Z117" s="307"/>
      <c r="AA117" s="307"/>
      <c r="AB117" s="307"/>
      <c r="AC117" s="307"/>
      <c r="AD117" s="307"/>
      <c r="AE117" s="307"/>
      <c r="AF117" s="307"/>
    </row>
    <row r="118" ht="20.25" customHeight="1">
      <c r="A118" s="311"/>
      <c r="B118" s="307"/>
      <c r="C118" s="307"/>
      <c r="D118" s="307"/>
      <c r="E118" s="307"/>
      <c r="F118" s="307"/>
      <c r="G118" s="307"/>
      <c r="H118" s="308"/>
      <c r="I118" s="307"/>
      <c r="J118" s="307"/>
      <c r="K118" s="307"/>
      <c r="L118" s="309"/>
      <c r="M118" s="307"/>
      <c r="N118" s="310"/>
      <c r="O118" s="307"/>
      <c r="P118" s="307"/>
      <c r="Q118" s="307"/>
      <c r="R118" s="307"/>
      <c r="S118" s="307"/>
      <c r="T118" s="311"/>
      <c r="U118" s="309"/>
      <c r="V118" s="309"/>
      <c r="W118" s="307"/>
      <c r="X118" s="309"/>
      <c r="Y118" s="307"/>
      <c r="Z118" s="307"/>
      <c r="AA118" s="307"/>
      <c r="AB118" s="307"/>
      <c r="AC118" s="307"/>
      <c r="AD118" s="307"/>
      <c r="AE118" s="307"/>
      <c r="AF118" s="307"/>
    </row>
    <row r="119" ht="20.25" customHeight="1">
      <c r="A119" s="311"/>
      <c r="B119" s="307"/>
      <c r="C119" s="307"/>
      <c r="D119" s="307"/>
      <c r="E119" s="307"/>
      <c r="F119" s="307"/>
      <c r="G119" s="307"/>
      <c r="H119" s="308"/>
      <c r="I119" s="307"/>
      <c r="J119" s="307"/>
      <c r="K119" s="307"/>
      <c r="L119" s="309"/>
      <c r="M119" s="307"/>
      <c r="N119" s="310"/>
      <c r="O119" s="307"/>
      <c r="P119" s="307"/>
      <c r="Q119" s="307"/>
      <c r="R119" s="307"/>
      <c r="S119" s="307"/>
      <c r="T119" s="311"/>
      <c r="U119" s="309"/>
      <c r="V119" s="309"/>
      <c r="W119" s="307"/>
      <c r="X119" s="309"/>
      <c r="Y119" s="307"/>
      <c r="Z119" s="307"/>
      <c r="AA119" s="307"/>
      <c r="AB119" s="307"/>
      <c r="AC119" s="307"/>
      <c r="AD119" s="307"/>
      <c r="AE119" s="307"/>
      <c r="AF119" s="307"/>
    </row>
    <row r="120" ht="20.25" customHeight="1">
      <c r="A120" s="311"/>
      <c r="B120" s="307"/>
      <c r="C120" s="307"/>
      <c r="D120" s="307"/>
      <c r="E120" s="307"/>
      <c r="F120" s="307"/>
      <c r="G120" s="307"/>
      <c r="H120" s="308"/>
      <c r="I120" s="307"/>
      <c r="J120" s="307"/>
      <c r="K120" s="307"/>
      <c r="L120" s="309"/>
      <c r="M120" s="307"/>
      <c r="N120" s="310"/>
      <c r="O120" s="307"/>
      <c r="P120" s="307"/>
      <c r="Q120" s="307"/>
      <c r="R120" s="307"/>
      <c r="S120" s="307"/>
      <c r="T120" s="311"/>
      <c r="U120" s="309"/>
      <c r="V120" s="309"/>
      <c r="W120" s="307"/>
      <c r="X120" s="309"/>
      <c r="Y120" s="307"/>
      <c r="Z120" s="307"/>
      <c r="AA120" s="307"/>
      <c r="AB120" s="307"/>
      <c r="AC120" s="307"/>
      <c r="AD120" s="307"/>
      <c r="AE120" s="307"/>
      <c r="AF120" s="307"/>
    </row>
    <row r="121" ht="20.25" customHeight="1">
      <c r="A121" s="311"/>
      <c r="B121" s="307"/>
      <c r="C121" s="307"/>
      <c r="D121" s="307"/>
      <c r="E121" s="307"/>
      <c r="F121" s="307"/>
      <c r="G121" s="307"/>
      <c r="H121" s="308"/>
      <c r="I121" s="307"/>
      <c r="J121" s="307"/>
      <c r="K121" s="307"/>
      <c r="L121" s="309"/>
      <c r="M121" s="307"/>
      <c r="N121" s="310"/>
      <c r="O121" s="307"/>
      <c r="P121" s="307"/>
      <c r="Q121" s="307"/>
      <c r="R121" s="307"/>
      <c r="S121" s="307"/>
      <c r="T121" s="311"/>
      <c r="U121" s="309"/>
      <c r="V121" s="309"/>
      <c r="W121" s="307"/>
      <c r="X121" s="309"/>
      <c r="Y121" s="307"/>
      <c r="Z121" s="307"/>
      <c r="AA121" s="307"/>
      <c r="AB121" s="307"/>
      <c r="AC121" s="307"/>
      <c r="AD121" s="307"/>
      <c r="AE121" s="307"/>
      <c r="AF121" s="307"/>
    </row>
    <row r="122" ht="20.25" customHeight="1">
      <c r="A122" s="311"/>
      <c r="B122" s="307"/>
      <c r="C122" s="307"/>
      <c r="D122" s="307"/>
      <c r="E122" s="307"/>
      <c r="F122" s="307"/>
      <c r="G122" s="307"/>
      <c r="H122" s="308"/>
      <c r="I122" s="307"/>
      <c r="J122" s="307"/>
      <c r="K122" s="307"/>
      <c r="L122" s="309"/>
      <c r="M122" s="307"/>
      <c r="N122" s="310"/>
      <c r="O122" s="307"/>
      <c r="P122" s="307"/>
      <c r="Q122" s="307"/>
      <c r="R122" s="307"/>
      <c r="S122" s="307"/>
      <c r="T122" s="311"/>
      <c r="U122" s="309"/>
      <c r="V122" s="309"/>
      <c r="W122" s="307"/>
      <c r="X122" s="309"/>
      <c r="Y122" s="307"/>
      <c r="Z122" s="307"/>
      <c r="AA122" s="307"/>
      <c r="AB122" s="307"/>
      <c r="AC122" s="307"/>
      <c r="AD122" s="307"/>
      <c r="AE122" s="307"/>
      <c r="AF122" s="307"/>
    </row>
    <row r="123" ht="20.25" customHeight="1">
      <c r="A123" s="311"/>
      <c r="B123" s="307"/>
      <c r="C123" s="307"/>
      <c r="D123" s="307"/>
      <c r="E123" s="307"/>
      <c r="F123" s="307"/>
      <c r="G123" s="307"/>
      <c r="H123" s="308"/>
      <c r="I123" s="307"/>
      <c r="J123" s="307"/>
      <c r="K123" s="307"/>
      <c r="L123" s="309"/>
      <c r="M123" s="307"/>
      <c r="N123" s="310"/>
      <c r="O123" s="307"/>
      <c r="P123" s="307"/>
      <c r="Q123" s="307"/>
      <c r="R123" s="307"/>
      <c r="S123" s="307"/>
      <c r="T123" s="311"/>
      <c r="U123" s="309"/>
      <c r="V123" s="309"/>
      <c r="W123" s="307"/>
      <c r="X123" s="309"/>
      <c r="Y123" s="307"/>
      <c r="Z123" s="307"/>
      <c r="AA123" s="307"/>
      <c r="AB123" s="307"/>
      <c r="AC123" s="307"/>
      <c r="AD123" s="307"/>
      <c r="AE123" s="307"/>
      <c r="AF123" s="307"/>
    </row>
    <row r="124" ht="20.25" customHeight="1">
      <c r="A124" s="311"/>
      <c r="B124" s="307"/>
      <c r="C124" s="307"/>
      <c r="D124" s="307"/>
      <c r="E124" s="307"/>
      <c r="F124" s="307"/>
      <c r="G124" s="307"/>
      <c r="H124" s="308"/>
      <c r="I124" s="307"/>
      <c r="J124" s="307"/>
      <c r="K124" s="307"/>
      <c r="L124" s="309"/>
      <c r="M124" s="307"/>
      <c r="N124" s="310"/>
      <c r="O124" s="307"/>
      <c r="P124" s="307"/>
      <c r="Q124" s="307"/>
      <c r="R124" s="307"/>
      <c r="S124" s="307"/>
      <c r="T124" s="311"/>
      <c r="U124" s="309"/>
      <c r="V124" s="309"/>
      <c r="W124" s="307"/>
      <c r="X124" s="309"/>
      <c r="Y124" s="307"/>
      <c r="Z124" s="307"/>
      <c r="AA124" s="307"/>
      <c r="AB124" s="307"/>
      <c r="AC124" s="307"/>
      <c r="AD124" s="307"/>
      <c r="AE124" s="307"/>
      <c r="AF124" s="307"/>
    </row>
    <row r="125" ht="20.25" customHeight="1">
      <c r="A125" s="311"/>
      <c r="B125" s="307"/>
      <c r="C125" s="307"/>
      <c r="D125" s="307"/>
      <c r="E125" s="307"/>
      <c r="F125" s="307"/>
      <c r="G125" s="307"/>
      <c r="H125" s="308"/>
      <c r="I125" s="307"/>
      <c r="J125" s="307"/>
      <c r="K125" s="307"/>
      <c r="L125" s="309"/>
      <c r="M125" s="307"/>
      <c r="N125" s="310"/>
      <c r="O125" s="307"/>
      <c r="P125" s="307"/>
      <c r="Q125" s="307"/>
      <c r="R125" s="307"/>
      <c r="S125" s="307"/>
      <c r="T125" s="311"/>
      <c r="U125" s="309"/>
      <c r="V125" s="309"/>
      <c r="W125" s="307"/>
      <c r="X125" s="309"/>
      <c r="Y125" s="307"/>
      <c r="Z125" s="307"/>
      <c r="AA125" s="307"/>
      <c r="AB125" s="307"/>
      <c r="AC125" s="307"/>
      <c r="AD125" s="307"/>
      <c r="AE125" s="307"/>
      <c r="AF125" s="307"/>
    </row>
    <row r="126" ht="20.25" customHeight="1">
      <c r="A126" s="311"/>
      <c r="B126" s="307"/>
      <c r="C126" s="307"/>
      <c r="D126" s="307"/>
      <c r="E126" s="307"/>
      <c r="F126" s="307"/>
      <c r="G126" s="307"/>
      <c r="H126" s="308"/>
      <c r="I126" s="307"/>
      <c r="J126" s="307"/>
      <c r="K126" s="307"/>
      <c r="L126" s="309"/>
      <c r="M126" s="307"/>
      <c r="N126" s="310"/>
      <c r="O126" s="307"/>
      <c r="P126" s="307"/>
      <c r="Q126" s="307"/>
      <c r="R126" s="307"/>
      <c r="S126" s="307"/>
      <c r="T126" s="311"/>
      <c r="U126" s="309"/>
      <c r="V126" s="309"/>
      <c r="W126" s="307"/>
      <c r="X126" s="309"/>
      <c r="Y126" s="307"/>
      <c r="Z126" s="307"/>
      <c r="AA126" s="307"/>
      <c r="AB126" s="307"/>
      <c r="AC126" s="307"/>
      <c r="AD126" s="307"/>
      <c r="AE126" s="307"/>
      <c r="AF126" s="307"/>
    </row>
    <row r="127" ht="20.25" customHeight="1">
      <c r="A127" s="311"/>
      <c r="B127" s="307"/>
      <c r="C127" s="307"/>
      <c r="D127" s="307"/>
      <c r="E127" s="307"/>
      <c r="F127" s="307"/>
      <c r="G127" s="307"/>
      <c r="H127" s="308"/>
      <c r="I127" s="307"/>
      <c r="J127" s="307"/>
      <c r="K127" s="307"/>
      <c r="L127" s="309"/>
      <c r="M127" s="307"/>
      <c r="N127" s="310"/>
      <c r="O127" s="307"/>
      <c r="P127" s="307"/>
      <c r="Q127" s="307"/>
      <c r="R127" s="307"/>
      <c r="S127" s="307"/>
      <c r="T127" s="311"/>
      <c r="U127" s="309"/>
      <c r="V127" s="309"/>
      <c r="W127" s="307"/>
      <c r="X127" s="309"/>
      <c r="Y127" s="307"/>
      <c r="Z127" s="307"/>
      <c r="AA127" s="307"/>
      <c r="AB127" s="307"/>
      <c r="AC127" s="307"/>
      <c r="AD127" s="307"/>
      <c r="AE127" s="307"/>
      <c r="AF127" s="307"/>
    </row>
    <row r="128" ht="20.25" customHeight="1">
      <c r="A128" s="311"/>
      <c r="B128" s="307"/>
      <c r="C128" s="307"/>
      <c r="D128" s="307"/>
      <c r="E128" s="307"/>
      <c r="F128" s="307"/>
      <c r="G128" s="307"/>
      <c r="H128" s="308"/>
      <c r="I128" s="307"/>
      <c r="J128" s="307"/>
      <c r="K128" s="307"/>
      <c r="L128" s="309"/>
      <c r="M128" s="307"/>
      <c r="N128" s="310"/>
      <c r="O128" s="307"/>
      <c r="P128" s="307"/>
      <c r="Q128" s="307"/>
      <c r="R128" s="307"/>
      <c r="S128" s="307"/>
      <c r="T128" s="311"/>
      <c r="U128" s="309"/>
      <c r="V128" s="309"/>
      <c r="W128" s="307"/>
      <c r="X128" s="309"/>
      <c r="Y128" s="307"/>
      <c r="Z128" s="307"/>
      <c r="AA128" s="307"/>
      <c r="AB128" s="307"/>
      <c r="AC128" s="307"/>
      <c r="AD128" s="307"/>
      <c r="AE128" s="307"/>
      <c r="AF128" s="307"/>
    </row>
    <row r="129" ht="20.25" customHeight="1">
      <c r="A129" s="311"/>
      <c r="B129" s="307"/>
      <c r="C129" s="307"/>
      <c r="D129" s="307"/>
      <c r="E129" s="307"/>
      <c r="F129" s="307"/>
      <c r="G129" s="307"/>
      <c r="H129" s="308"/>
      <c r="I129" s="307"/>
      <c r="J129" s="307"/>
      <c r="K129" s="307"/>
      <c r="L129" s="309"/>
      <c r="M129" s="307"/>
      <c r="N129" s="310"/>
      <c r="O129" s="307"/>
      <c r="P129" s="307"/>
      <c r="Q129" s="307"/>
      <c r="R129" s="307"/>
      <c r="S129" s="307"/>
      <c r="T129" s="311"/>
      <c r="U129" s="309"/>
      <c r="V129" s="309"/>
      <c r="W129" s="307"/>
      <c r="X129" s="309"/>
      <c r="Y129" s="307"/>
      <c r="Z129" s="307"/>
      <c r="AA129" s="307"/>
      <c r="AB129" s="307"/>
      <c r="AC129" s="307"/>
      <c r="AD129" s="307"/>
      <c r="AE129" s="307"/>
      <c r="AF129" s="307"/>
    </row>
    <row r="130" ht="20.25" customHeight="1">
      <c r="A130" s="311"/>
      <c r="B130" s="307"/>
      <c r="C130" s="307"/>
      <c r="D130" s="307"/>
      <c r="E130" s="307"/>
      <c r="F130" s="307"/>
      <c r="G130" s="307"/>
      <c r="H130" s="308"/>
      <c r="I130" s="307"/>
      <c r="J130" s="307"/>
      <c r="K130" s="307"/>
      <c r="L130" s="309"/>
      <c r="M130" s="307"/>
      <c r="N130" s="310"/>
      <c r="O130" s="307"/>
      <c r="P130" s="307"/>
      <c r="Q130" s="307"/>
      <c r="R130" s="307"/>
      <c r="S130" s="307"/>
      <c r="T130" s="311"/>
      <c r="U130" s="309"/>
      <c r="V130" s="309"/>
      <c r="W130" s="307"/>
      <c r="X130" s="309"/>
      <c r="Y130" s="307"/>
      <c r="Z130" s="307"/>
      <c r="AA130" s="307"/>
      <c r="AB130" s="307"/>
      <c r="AC130" s="307"/>
      <c r="AD130" s="307"/>
      <c r="AE130" s="307"/>
      <c r="AF130" s="307"/>
    </row>
    <row r="131" ht="20.25" customHeight="1">
      <c r="A131" s="311"/>
      <c r="B131" s="307"/>
      <c r="C131" s="307"/>
      <c r="D131" s="307"/>
      <c r="E131" s="307"/>
      <c r="F131" s="307"/>
      <c r="G131" s="307"/>
      <c r="H131" s="308"/>
      <c r="I131" s="307"/>
      <c r="J131" s="307"/>
      <c r="K131" s="307"/>
      <c r="L131" s="309"/>
      <c r="M131" s="307"/>
      <c r="N131" s="310"/>
      <c r="O131" s="307"/>
      <c r="P131" s="307"/>
      <c r="Q131" s="307"/>
      <c r="R131" s="307"/>
      <c r="S131" s="307"/>
      <c r="T131" s="311"/>
      <c r="U131" s="309"/>
      <c r="V131" s="309"/>
      <c r="W131" s="307"/>
      <c r="X131" s="309"/>
      <c r="Y131" s="307"/>
      <c r="Z131" s="307"/>
      <c r="AA131" s="307"/>
      <c r="AB131" s="307"/>
      <c r="AC131" s="307"/>
      <c r="AD131" s="307"/>
      <c r="AE131" s="307"/>
      <c r="AF131" s="307"/>
    </row>
    <row r="132" ht="20.25" customHeight="1">
      <c r="A132" s="311"/>
      <c r="B132" s="307"/>
      <c r="C132" s="307"/>
      <c r="D132" s="307"/>
      <c r="E132" s="307"/>
      <c r="F132" s="307"/>
      <c r="G132" s="307"/>
      <c r="H132" s="308"/>
      <c r="I132" s="307"/>
      <c r="J132" s="307"/>
      <c r="K132" s="307"/>
      <c r="L132" s="309"/>
      <c r="M132" s="307"/>
      <c r="N132" s="310"/>
      <c r="O132" s="307"/>
      <c r="P132" s="307"/>
      <c r="Q132" s="307"/>
      <c r="R132" s="307"/>
      <c r="S132" s="307"/>
      <c r="T132" s="311"/>
      <c r="U132" s="309"/>
      <c r="V132" s="309"/>
      <c r="W132" s="307"/>
      <c r="X132" s="309"/>
      <c r="Y132" s="307"/>
      <c r="Z132" s="307"/>
      <c r="AA132" s="307"/>
      <c r="AB132" s="307"/>
      <c r="AC132" s="307"/>
      <c r="AD132" s="307"/>
      <c r="AE132" s="307"/>
      <c r="AF132" s="307"/>
    </row>
    <row r="133" ht="20.25" customHeight="1">
      <c r="A133" s="311"/>
      <c r="B133" s="307"/>
      <c r="C133" s="307"/>
      <c r="D133" s="307"/>
      <c r="E133" s="307"/>
      <c r="F133" s="307"/>
      <c r="G133" s="307"/>
      <c r="H133" s="308"/>
      <c r="I133" s="307"/>
      <c r="J133" s="307"/>
      <c r="K133" s="307"/>
      <c r="L133" s="309"/>
      <c r="M133" s="307"/>
      <c r="N133" s="310"/>
      <c r="O133" s="307"/>
      <c r="P133" s="307"/>
      <c r="Q133" s="307"/>
      <c r="R133" s="307"/>
      <c r="S133" s="307"/>
      <c r="T133" s="311"/>
      <c r="U133" s="309"/>
      <c r="V133" s="309"/>
      <c r="W133" s="307"/>
      <c r="X133" s="309"/>
      <c r="Y133" s="307"/>
      <c r="Z133" s="307"/>
      <c r="AA133" s="307"/>
      <c r="AB133" s="307"/>
      <c r="AC133" s="307"/>
      <c r="AD133" s="307"/>
      <c r="AE133" s="307"/>
      <c r="AF133" s="307"/>
    </row>
    <row r="134" ht="20.25" customHeight="1">
      <c r="A134" s="311"/>
      <c r="B134" s="307"/>
      <c r="C134" s="307"/>
      <c r="D134" s="307"/>
      <c r="E134" s="307"/>
      <c r="F134" s="307"/>
      <c r="G134" s="307"/>
      <c r="H134" s="308"/>
      <c r="I134" s="307"/>
      <c r="J134" s="307"/>
      <c r="K134" s="307"/>
      <c r="L134" s="309"/>
      <c r="M134" s="307"/>
      <c r="N134" s="310"/>
      <c r="O134" s="307"/>
      <c r="P134" s="307"/>
      <c r="Q134" s="307"/>
      <c r="R134" s="307"/>
      <c r="S134" s="307"/>
      <c r="T134" s="311"/>
      <c r="U134" s="309"/>
      <c r="V134" s="309"/>
      <c r="W134" s="307"/>
      <c r="X134" s="309"/>
      <c r="Y134" s="307"/>
      <c r="Z134" s="307"/>
      <c r="AA134" s="307"/>
      <c r="AB134" s="307"/>
      <c r="AC134" s="307"/>
      <c r="AD134" s="307"/>
      <c r="AE134" s="307"/>
      <c r="AF134" s="307"/>
    </row>
    <row r="135" ht="20.25" customHeight="1">
      <c r="A135" s="311"/>
      <c r="B135" s="307"/>
      <c r="C135" s="307"/>
      <c r="D135" s="307"/>
      <c r="E135" s="307"/>
      <c r="F135" s="307"/>
      <c r="G135" s="307"/>
      <c r="H135" s="308"/>
      <c r="I135" s="307"/>
      <c r="J135" s="307"/>
      <c r="K135" s="307"/>
      <c r="L135" s="309"/>
      <c r="M135" s="307"/>
      <c r="N135" s="310"/>
      <c r="O135" s="307"/>
      <c r="P135" s="307"/>
      <c r="Q135" s="307"/>
      <c r="R135" s="307"/>
      <c r="S135" s="307"/>
      <c r="T135" s="311"/>
      <c r="U135" s="309"/>
      <c r="V135" s="309"/>
      <c r="W135" s="307"/>
      <c r="X135" s="309"/>
      <c r="Y135" s="307"/>
      <c r="Z135" s="307"/>
      <c r="AA135" s="307"/>
      <c r="AB135" s="307"/>
      <c r="AC135" s="307"/>
      <c r="AD135" s="307"/>
      <c r="AE135" s="307"/>
      <c r="AF135" s="307"/>
    </row>
    <row r="136" ht="20.25" customHeight="1">
      <c r="A136" s="311"/>
      <c r="B136" s="307"/>
      <c r="C136" s="307"/>
      <c r="D136" s="307"/>
      <c r="E136" s="307"/>
      <c r="F136" s="307"/>
      <c r="G136" s="307"/>
      <c r="H136" s="308"/>
      <c r="I136" s="307"/>
      <c r="J136" s="307"/>
      <c r="K136" s="307"/>
      <c r="L136" s="309"/>
      <c r="M136" s="307"/>
      <c r="N136" s="310"/>
      <c r="O136" s="307"/>
      <c r="P136" s="307"/>
      <c r="Q136" s="307"/>
      <c r="R136" s="307"/>
      <c r="S136" s="307"/>
      <c r="T136" s="311"/>
      <c r="U136" s="309"/>
      <c r="V136" s="309"/>
      <c r="W136" s="307"/>
      <c r="X136" s="309"/>
      <c r="Y136" s="307"/>
      <c r="Z136" s="307"/>
      <c r="AA136" s="307"/>
      <c r="AB136" s="307"/>
      <c r="AC136" s="307"/>
      <c r="AD136" s="307"/>
      <c r="AE136" s="307"/>
      <c r="AF136" s="307"/>
    </row>
    <row r="137" ht="20.25" customHeight="1">
      <c r="A137" s="311"/>
      <c r="B137" s="307"/>
      <c r="C137" s="307"/>
      <c r="D137" s="307"/>
      <c r="E137" s="307"/>
      <c r="F137" s="307"/>
      <c r="G137" s="307"/>
      <c r="H137" s="308"/>
      <c r="I137" s="307"/>
      <c r="J137" s="307"/>
      <c r="K137" s="307"/>
      <c r="L137" s="309"/>
      <c r="M137" s="307"/>
      <c r="N137" s="310"/>
      <c r="O137" s="307"/>
      <c r="P137" s="307"/>
      <c r="Q137" s="307"/>
      <c r="R137" s="307"/>
      <c r="S137" s="307"/>
      <c r="T137" s="311"/>
      <c r="U137" s="309"/>
      <c r="V137" s="309"/>
      <c r="W137" s="307"/>
      <c r="X137" s="309"/>
      <c r="Y137" s="307"/>
      <c r="Z137" s="307"/>
      <c r="AA137" s="307"/>
      <c r="AB137" s="307"/>
      <c r="AC137" s="307"/>
      <c r="AD137" s="307"/>
      <c r="AE137" s="307"/>
      <c r="AF137" s="307"/>
    </row>
    <row r="138" ht="20.25" customHeight="1">
      <c r="A138" s="311"/>
      <c r="B138" s="307"/>
      <c r="C138" s="307"/>
      <c r="D138" s="307"/>
      <c r="E138" s="307"/>
      <c r="F138" s="307"/>
      <c r="G138" s="307"/>
      <c r="H138" s="308"/>
      <c r="I138" s="307"/>
      <c r="J138" s="307"/>
      <c r="K138" s="307"/>
      <c r="L138" s="309"/>
      <c r="M138" s="307"/>
      <c r="N138" s="310"/>
      <c r="O138" s="307"/>
      <c r="P138" s="307"/>
      <c r="Q138" s="307"/>
      <c r="R138" s="307"/>
      <c r="S138" s="307"/>
      <c r="T138" s="311"/>
      <c r="U138" s="309"/>
      <c r="V138" s="309"/>
      <c r="W138" s="307"/>
      <c r="X138" s="309"/>
      <c r="Y138" s="307"/>
      <c r="Z138" s="307"/>
      <c r="AA138" s="307"/>
      <c r="AB138" s="307"/>
      <c r="AC138" s="307"/>
      <c r="AD138" s="307"/>
      <c r="AE138" s="307"/>
      <c r="AF138" s="307"/>
    </row>
    <row r="139" ht="20.25" customHeight="1">
      <c r="A139" s="311"/>
      <c r="B139" s="307"/>
      <c r="C139" s="307"/>
      <c r="D139" s="307"/>
      <c r="E139" s="307"/>
      <c r="F139" s="307"/>
      <c r="G139" s="307"/>
      <c r="H139" s="308"/>
      <c r="I139" s="307"/>
      <c r="J139" s="307"/>
      <c r="K139" s="307"/>
      <c r="L139" s="309"/>
      <c r="M139" s="307"/>
      <c r="N139" s="310"/>
      <c r="O139" s="307"/>
      <c r="P139" s="307"/>
      <c r="Q139" s="307"/>
      <c r="R139" s="307"/>
      <c r="S139" s="307"/>
      <c r="T139" s="311"/>
      <c r="U139" s="309"/>
      <c r="V139" s="309"/>
      <c r="W139" s="307"/>
      <c r="X139" s="309"/>
      <c r="Y139" s="307"/>
      <c r="Z139" s="307"/>
      <c r="AA139" s="307"/>
      <c r="AB139" s="307"/>
      <c r="AC139" s="307"/>
      <c r="AD139" s="307"/>
      <c r="AE139" s="307"/>
      <c r="AF139" s="307"/>
    </row>
    <row r="140" ht="20.25" customHeight="1">
      <c r="A140" s="311"/>
      <c r="B140" s="307"/>
      <c r="C140" s="307"/>
      <c r="D140" s="307"/>
      <c r="E140" s="307"/>
      <c r="F140" s="307"/>
      <c r="G140" s="307"/>
      <c r="H140" s="308"/>
      <c r="I140" s="307"/>
      <c r="J140" s="307"/>
      <c r="K140" s="307"/>
      <c r="L140" s="309"/>
      <c r="M140" s="307"/>
      <c r="N140" s="310"/>
      <c r="O140" s="307"/>
      <c r="P140" s="307"/>
      <c r="Q140" s="307"/>
      <c r="R140" s="307"/>
      <c r="S140" s="307"/>
      <c r="T140" s="311"/>
      <c r="U140" s="309"/>
      <c r="V140" s="309"/>
      <c r="W140" s="307"/>
      <c r="X140" s="309"/>
      <c r="Y140" s="307"/>
      <c r="Z140" s="307"/>
      <c r="AA140" s="307"/>
      <c r="AB140" s="307"/>
      <c r="AC140" s="307"/>
      <c r="AD140" s="307"/>
      <c r="AE140" s="307"/>
      <c r="AF140" s="307"/>
    </row>
    <row r="141" ht="20.25" customHeight="1">
      <c r="A141" s="311"/>
      <c r="B141" s="307"/>
      <c r="C141" s="307"/>
      <c r="D141" s="307"/>
      <c r="E141" s="307"/>
      <c r="F141" s="307"/>
      <c r="G141" s="307"/>
      <c r="H141" s="308"/>
      <c r="I141" s="307"/>
      <c r="J141" s="307"/>
      <c r="K141" s="307"/>
      <c r="L141" s="309"/>
      <c r="M141" s="307"/>
      <c r="N141" s="310"/>
      <c r="O141" s="307"/>
      <c r="P141" s="307"/>
      <c r="Q141" s="307"/>
      <c r="R141" s="307"/>
      <c r="S141" s="307"/>
      <c r="T141" s="311"/>
      <c r="U141" s="309"/>
      <c r="V141" s="309"/>
      <c r="W141" s="307"/>
      <c r="X141" s="309"/>
      <c r="Y141" s="307"/>
      <c r="Z141" s="307"/>
      <c r="AA141" s="307"/>
      <c r="AB141" s="307"/>
      <c r="AC141" s="307"/>
      <c r="AD141" s="307"/>
      <c r="AE141" s="307"/>
      <c r="AF141" s="307"/>
    </row>
    <row r="142" ht="20.25" customHeight="1">
      <c r="A142" s="311"/>
      <c r="B142" s="307"/>
      <c r="C142" s="307"/>
      <c r="D142" s="307"/>
      <c r="E142" s="307"/>
      <c r="F142" s="307"/>
      <c r="G142" s="307"/>
      <c r="H142" s="308"/>
      <c r="I142" s="307"/>
      <c r="J142" s="307"/>
      <c r="K142" s="307"/>
      <c r="L142" s="309"/>
      <c r="M142" s="307"/>
      <c r="N142" s="310"/>
      <c r="O142" s="307"/>
      <c r="P142" s="307"/>
      <c r="Q142" s="307"/>
      <c r="R142" s="307"/>
      <c r="S142" s="307"/>
      <c r="T142" s="311"/>
      <c r="U142" s="309"/>
      <c r="V142" s="309"/>
      <c r="W142" s="307"/>
      <c r="X142" s="309"/>
      <c r="Y142" s="307"/>
      <c r="Z142" s="307"/>
      <c r="AA142" s="307"/>
      <c r="AB142" s="307"/>
      <c r="AC142" s="307"/>
      <c r="AD142" s="307"/>
      <c r="AE142" s="307"/>
      <c r="AF142" s="307"/>
    </row>
    <row r="143" ht="20.25" customHeight="1">
      <c r="A143" s="311"/>
      <c r="B143" s="307"/>
      <c r="C143" s="307"/>
      <c r="D143" s="307"/>
      <c r="E143" s="307"/>
      <c r="F143" s="307"/>
      <c r="G143" s="307"/>
      <c r="H143" s="308"/>
      <c r="I143" s="307"/>
      <c r="J143" s="307"/>
      <c r="K143" s="307"/>
      <c r="L143" s="309"/>
      <c r="M143" s="307"/>
      <c r="N143" s="310"/>
      <c r="O143" s="307"/>
      <c r="P143" s="307"/>
      <c r="Q143" s="307"/>
      <c r="R143" s="307"/>
      <c r="S143" s="307"/>
      <c r="T143" s="311"/>
      <c r="U143" s="309"/>
      <c r="V143" s="309"/>
      <c r="W143" s="307"/>
      <c r="X143" s="309"/>
      <c r="Y143" s="307"/>
      <c r="Z143" s="307"/>
      <c r="AA143" s="307"/>
      <c r="AB143" s="307"/>
      <c r="AC143" s="307"/>
      <c r="AD143" s="307"/>
      <c r="AE143" s="307"/>
      <c r="AF143" s="307"/>
    </row>
    <row r="144" ht="20.25" customHeight="1">
      <c r="A144" s="311"/>
      <c r="B144" s="307"/>
      <c r="C144" s="307"/>
      <c r="D144" s="307"/>
      <c r="E144" s="307"/>
      <c r="F144" s="307"/>
      <c r="G144" s="307"/>
      <c r="H144" s="308"/>
      <c r="I144" s="307"/>
      <c r="J144" s="307"/>
      <c r="K144" s="307"/>
      <c r="L144" s="309"/>
      <c r="M144" s="307"/>
      <c r="N144" s="310"/>
      <c r="O144" s="307"/>
      <c r="P144" s="307"/>
      <c r="Q144" s="307"/>
      <c r="R144" s="307"/>
      <c r="S144" s="307"/>
      <c r="T144" s="311"/>
      <c r="U144" s="309"/>
      <c r="V144" s="309"/>
      <c r="W144" s="307"/>
      <c r="X144" s="309"/>
      <c r="Y144" s="307"/>
      <c r="Z144" s="307"/>
      <c r="AA144" s="307"/>
      <c r="AB144" s="307"/>
      <c r="AC144" s="307"/>
      <c r="AD144" s="307"/>
      <c r="AE144" s="307"/>
      <c r="AF144" s="307"/>
    </row>
    <row r="145" ht="20.25" customHeight="1">
      <c r="A145" s="311"/>
      <c r="B145" s="307"/>
      <c r="C145" s="307"/>
      <c r="D145" s="307"/>
      <c r="E145" s="307"/>
      <c r="F145" s="307"/>
      <c r="G145" s="307"/>
      <c r="H145" s="308"/>
      <c r="I145" s="307"/>
      <c r="J145" s="307"/>
      <c r="K145" s="307"/>
      <c r="L145" s="309"/>
      <c r="M145" s="307"/>
      <c r="N145" s="310"/>
      <c r="O145" s="307"/>
      <c r="P145" s="307"/>
      <c r="Q145" s="307"/>
      <c r="R145" s="307"/>
      <c r="S145" s="307"/>
      <c r="T145" s="311"/>
      <c r="U145" s="309"/>
      <c r="V145" s="309"/>
      <c r="W145" s="307"/>
      <c r="X145" s="309"/>
      <c r="Y145" s="307"/>
      <c r="Z145" s="307"/>
      <c r="AA145" s="307"/>
      <c r="AB145" s="307"/>
      <c r="AC145" s="307"/>
      <c r="AD145" s="307"/>
      <c r="AE145" s="307"/>
      <c r="AF145" s="307"/>
    </row>
    <row r="146" ht="20.25" customHeight="1">
      <c r="A146" s="311"/>
      <c r="B146" s="307"/>
      <c r="C146" s="307"/>
      <c r="D146" s="307"/>
      <c r="E146" s="307"/>
      <c r="F146" s="307"/>
      <c r="G146" s="307"/>
      <c r="H146" s="308"/>
      <c r="I146" s="307"/>
      <c r="J146" s="307"/>
      <c r="K146" s="307"/>
      <c r="L146" s="309"/>
      <c r="M146" s="307"/>
      <c r="N146" s="310"/>
      <c r="O146" s="307"/>
      <c r="P146" s="307"/>
      <c r="Q146" s="307"/>
      <c r="R146" s="307"/>
      <c r="S146" s="307"/>
      <c r="T146" s="311"/>
      <c r="U146" s="309"/>
      <c r="V146" s="309"/>
      <c r="W146" s="307"/>
      <c r="X146" s="309"/>
      <c r="Y146" s="307"/>
      <c r="Z146" s="307"/>
      <c r="AA146" s="307"/>
      <c r="AB146" s="307"/>
      <c r="AC146" s="307"/>
      <c r="AD146" s="307"/>
      <c r="AE146" s="307"/>
      <c r="AF146" s="307"/>
    </row>
    <row r="147" ht="20.25" customHeight="1">
      <c r="A147" s="311"/>
      <c r="B147" s="307"/>
      <c r="C147" s="307"/>
      <c r="D147" s="307"/>
      <c r="E147" s="307"/>
      <c r="F147" s="307"/>
      <c r="G147" s="307"/>
      <c r="H147" s="308"/>
      <c r="I147" s="307"/>
      <c r="J147" s="307"/>
      <c r="K147" s="307"/>
      <c r="L147" s="309"/>
      <c r="M147" s="307"/>
      <c r="N147" s="310"/>
      <c r="O147" s="307"/>
      <c r="P147" s="307"/>
      <c r="Q147" s="307"/>
      <c r="R147" s="307"/>
      <c r="S147" s="307"/>
      <c r="T147" s="311"/>
      <c r="U147" s="309"/>
      <c r="V147" s="309"/>
      <c r="W147" s="307"/>
      <c r="X147" s="309"/>
      <c r="Y147" s="307"/>
      <c r="Z147" s="307"/>
      <c r="AA147" s="307"/>
      <c r="AB147" s="307"/>
      <c r="AC147" s="307"/>
      <c r="AD147" s="307"/>
      <c r="AE147" s="307"/>
      <c r="AF147" s="307"/>
    </row>
    <row r="148" ht="20.25" customHeight="1">
      <c r="A148" s="311"/>
      <c r="B148" s="307"/>
      <c r="C148" s="307"/>
      <c r="D148" s="307"/>
      <c r="E148" s="307"/>
      <c r="F148" s="307"/>
      <c r="G148" s="307"/>
      <c r="H148" s="308"/>
      <c r="I148" s="307"/>
      <c r="J148" s="307"/>
      <c r="K148" s="307"/>
      <c r="L148" s="309"/>
      <c r="M148" s="307"/>
      <c r="N148" s="310"/>
      <c r="O148" s="307"/>
      <c r="P148" s="307"/>
      <c r="Q148" s="307"/>
      <c r="R148" s="307"/>
      <c r="S148" s="307"/>
      <c r="T148" s="311"/>
      <c r="U148" s="309"/>
      <c r="V148" s="309"/>
      <c r="W148" s="307"/>
      <c r="X148" s="309"/>
      <c r="Y148" s="307"/>
      <c r="Z148" s="307"/>
      <c r="AA148" s="307"/>
      <c r="AB148" s="307"/>
      <c r="AC148" s="307"/>
      <c r="AD148" s="307"/>
      <c r="AE148" s="307"/>
      <c r="AF148" s="307"/>
    </row>
    <row r="149" ht="20.25" customHeight="1">
      <c r="A149" s="311"/>
      <c r="B149" s="307"/>
      <c r="C149" s="307"/>
      <c r="D149" s="307"/>
      <c r="E149" s="307"/>
      <c r="F149" s="307"/>
      <c r="G149" s="307"/>
      <c r="H149" s="308"/>
      <c r="I149" s="307"/>
      <c r="J149" s="307"/>
      <c r="K149" s="307"/>
      <c r="L149" s="309"/>
      <c r="M149" s="307"/>
      <c r="N149" s="310"/>
      <c r="O149" s="307"/>
      <c r="P149" s="307"/>
      <c r="Q149" s="307"/>
      <c r="R149" s="307"/>
      <c r="S149" s="307"/>
      <c r="T149" s="311"/>
      <c r="U149" s="309"/>
      <c r="V149" s="309"/>
      <c r="W149" s="307"/>
      <c r="X149" s="309"/>
      <c r="Y149" s="307"/>
      <c r="Z149" s="307"/>
      <c r="AA149" s="307"/>
      <c r="AB149" s="307"/>
      <c r="AC149" s="307"/>
      <c r="AD149" s="307"/>
      <c r="AE149" s="307"/>
      <c r="AF149" s="307"/>
    </row>
    <row r="150" ht="20.25" customHeight="1">
      <c r="A150" s="311"/>
      <c r="B150" s="307"/>
      <c r="C150" s="307"/>
      <c r="D150" s="307"/>
      <c r="E150" s="307"/>
      <c r="F150" s="307"/>
      <c r="G150" s="307"/>
      <c r="H150" s="308"/>
      <c r="I150" s="307"/>
      <c r="J150" s="307"/>
      <c r="K150" s="307"/>
      <c r="L150" s="309"/>
      <c r="M150" s="307"/>
      <c r="N150" s="310"/>
      <c r="O150" s="307"/>
      <c r="P150" s="307"/>
      <c r="Q150" s="307"/>
      <c r="R150" s="307"/>
      <c r="S150" s="307"/>
      <c r="T150" s="311"/>
      <c r="U150" s="309"/>
      <c r="V150" s="309"/>
      <c r="W150" s="307"/>
      <c r="X150" s="309"/>
      <c r="Y150" s="307"/>
      <c r="Z150" s="307"/>
      <c r="AA150" s="307"/>
      <c r="AB150" s="307"/>
      <c r="AC150" s="307"/>
      <c r="AD150" s="307"/>
      <c r="AE150" s="307"/>
      <c r="AF150" s="307"/>
    </row>
    <row r="151" ht="20.25" customHeight="1">
      <c r="A151" s="311"/>
      <c r="B151" s="307"/>
      <c r="C151" s="307"/>
      <c r="D151" s="307"/>
      <c r="E151" s="307"/>
      <c r="F151" s="307"/>
      <c r="G151" s="307"/>
      <c r="H151" s="308"/>
      <c r="I151" s="307"/>
      <c r="J151" s="307"/>
      <c r="K151" s="307"/>
      <c r="L151" s="309"/>
      <c r="M151" s="307"/>
      <c r="N151" s="310"/>
      <c r="O151" s="307"/>
      <c r="P151" s="307"/>
      <c r="Q151" s="307"/>
      <c r="R151" s="307"/>
      <c r="S151" s="307"/>
      <c r="T151" s="311"/>
      <c r="U151" s="309"/>
      <c r="V151" s="309"/>
      <c r="W151" s="307"/>
      <c r="X151" s="309"/>
      <c r="Y151" s="307"/>
      <c r="Z151" s="307"/>
      <c r="AA151" s="307"/>
      <c r="AB151" s="307"/>
      <c r="AC151" s="307"/>
      <c r="AD151" s="307"/>
      <c r="AE151" s="307"/>
      <c r="AF151" s="307"/>
    </row>
    <row r="152" ht="20.25" customHeight="1">
      <c r="A152" s="311"/>
      <c r="B152" s="307"/>
      <c r="C152" s="307"/>
      <c r="D152" s="307"/>
      <c r="E152" s="307"/>
      <c r="F152" s="307"/>
      <c r="G152" s="307"/>
      <c r="H152" s="308"/>
      <c r="I152" s="307"/>
      <c r="J152" s="307"/>
      <c r="K152" s="307"/>
      <c r="L152" s="309"/>
      <c r="M152" s="307"/>
      <c r="N152" s="310"/>
      <c r="O152" s="307"/>
      <c r="P152" s="307"/>
      <c r="Q152" s="307"/>
      <c r="R152" s="307"/>
      <c r="S152" s="307"/>
      <c r="T152" s="311"/>
      <c r="U152" s="309"/>
      <c r="V152" s="309"/>
      <c r="W152" s="307"/>
      <c r="X152" s="309"/>
      <c r="Y152" s="307"/>
      <c r="Z152" s="307"/>
      <c r="AA152" s="307"/>
      <c r="AB152" s="307"/>
      <c r="AC152" s="307"/>
      <c r="AD152" s="307"/>
      <c r="AE152" s="307"/>
      <c r="AF152" s="307"/>
    </row>
    <row r="153" ht="20.25" customHeight="1">
      <c r="A153" s="311"/>
      <c r="B153" s="307"/>
      <c r="C153" s="307"/>
      <c r="D153" s="307"/>
      <c r="E153" s="307"/>
      <c r="F153" s="307"/>
      <c r="G153" s="307"/>
      <c r="H153" s="308"/>
      <c r="I153" s="307"/>
      <c r="J153" s="307"/>
      <c r="K153" s="307"/>
      <c r="L153" s="309"/>
      <c r="M153" s="307"/>
      <c r="N153" s="310"/>
      <c r="O153" s="307"/>
      <c r="P153" s="307"/>
      <c r="Q153" s="307"/>
      <c r="R153" s="307"/>
      <c r="S153" s="307"/>
      <c r="T153" s="311"/>
      <c r="U153" s="309"/>
      <c r="V153" s="309"/>
      <c r="W153" s="307"/>
      <c r="X153" s="309"/>
      <c r="Y153" s="307"/>
      <c r="Z153" s="307"/>
      <c r="AA153" s="307"/>
      <c r="AB153" s="307"/>
      <c r="AC153" s="307"/>
      <c r="AD153" s="307"/>
      <c r="AE153" s="307"/>
      <c r="AF153" s="307"/>
    </row>
    <row r="154" ht="20.25" customHeight="1">
      <c r="A154" s="311"/>
      <c r="B154" s="307"/>
      <c r="C154" s="307"/>
      <c r="D154" s="307"/>
      <c r="E154" s="307"/>
      <c r="F154" s="307"/>
      <c r="G154" s="307"/>
      <c r="H154" s="308"/>
      <c r="I154" s="307"/>
      <c r="J154" s="307"/>
      <c r="K154" s="307"/>
      <c r="L154" s="309"/>
      <c r="M154" s="307"/>
      <c r="N154" s="310"/>
      <c r="O154" s="307"/>
      <c r="P154" s="307"/>
      <c r="Q154" s="307"/>
      <c r="R154" s="307"/>
      <c r="S154" s="307"/>
      <c r="T154" s="311"/>
      <c r="U154" s="309"/>
      <c r="V154" s="309"/>
      <c r="W154" s="307"/>
      <c r="X154" s="309"/>
      <c r="Y154" s="307"/>
      <c r="Z154" s="307"/>
      <c r="AA154" s="307"/>
      <c r="AB154" s="307"/>
      <c r="AC154" s="307"/>
      <c r="AD154" s="307"/>
      <c r="AE154" s="307"/>
      <c r="AF154" s="307"/>
    </row>
    <row r="155" ht="20.25" customHeight="1">
      <c r="A155" s="311"/>
      <c r="B155" s="307"/>
      <c r="C155" s="307"/>
      <c r="D155" s="307"/>
      <c r="E155" s="307"/>
      <c r="F155" s="307"/>
      <c r="G155" s="307"/>
      <c r="H155" s="308"/>
      <c r="I155" s="307"/>
      <c r="J155" s="307"/>
      <c r="K155" s="307"/>
      <c r="L155" s="309"/>
      <c r="M155" s="307"/>
      <c r="N155" s="310"/>
      <c r="O155" s="307"/>
      <c r="P155" s="307"/>
      <c r="Q155" s="307"/>
      <c r="R155" s="307"/>
      <c r="S155" s="307"/>
      <c r="T155" s="311"/>
      <c r="U155" s="309"/>
      <c r="V155" s="309"/>
      <c r="W155" s="307"/>
      <c r="X155" s="309"/>
      <c r="Y155" s="307"/>
      <c r="Z155" s="307"/>
      <c r="AA155" s="307"/>
      <c r="AB155" s="307"/>
      <c r="AC155" s="307"/>
      <c r="AD155" s="307"/>
      <c r="AE155" s="307"/>
      <c r="AF155" s="307"/>
    </row>
    <row r="156" ht="20.25" customHeight="1">
      <c r="A156" s="311"/>
      <c r="B156" s="307"/>
      <c r="C156" s="307"/>
      <c r="D156" s="307"/>
      <c r="E156" s="307"/>
      <c r="F156" s="307"/>
      <c r="G156" s="307"/>
      <c r="H156" s="308"/>
      <c r="I156" s="307"/>
      <c r="J156" s="307"/>
      <c r="K156" s="307"/>
      <c r="L156" s="309"/>
      <c r="M156" s="307"/>
      <c r="N156" s="310"/>
      <c r="O156" s="307"/>
      <c r="P156" s="307"/>
      <c r="Q156" s="307"/>
      <c r="R156" s="307"/>
      <c r="S156" s="307"/>
      <c r="T156" s="311"/>
      <c r="U156" s="309"/>
      <c r="V156" s="309"/>
      <c r="W156" s="307"/>
      <c r="X156" s="309"/>
      <c r="Y156" s="307"/>
      <c r="Z156" s="307"/>
      <c r="AA156" s="307"/>
      <c r="AB156" s="307"/>
      <c r="AC156" s="307"/>
      <c r="AD156" s="307"/>
      <c r="AE156" s="307"/>
      <c r="AF156" s="307"/>
    </row>
    <row r="157" ht="20.25" customHeight="1">
      <c r="A157" s="311"/>
      <c r="B157" s="307"/>
      <c r="C157" s="307"/>
      <c r="D157" s="307"/>
      <c r="E157" s="307"/>
      <c r="F157" s="307"/>
      <c r="G157" s="307"/>
      <c r="H157" s="308"/>
      <c r="I157" s="307"/>
      <c r="J157" s="307"/>
      <c r="K157" s="307"/>
      <c r="L157" s="309"/>
      <c r="M157" s="307"/>
      <c r="N157" s="310"/>
      <c r="O157" s="307"/>
      <c r="P157" s="307"/>
      <c r="Q157" s="307"/>
      <c r="R157" s="307"/>
      <c r="S157" s="307"/>
      <c r="T157" s="311"/>
      <c r="U157" s="309"/>
      <c r="V157" s="309"/>
      <c r="W157" s="307"/>
      <c r="X157" s="309"/>
      <c r="Y157" s="307"/>
      <c r="Z157" s="307"/>
      <c r="AA157" s="307"/>
      <c r="AB157" s="307"/>
      <c r="AC157" s="307"/>
      <c r="AD157" s="307"/>
      <c r="AE157" s="307"/>
      <c r="AF157" s="307"/>
    </row>
    <row r="158" ht="20.25" customHeight="1">
      <c r="A158" s="311"/>
      <c r="B158" s="307"/>
      <c r="C158" s="307"/>
      <c r="D158" s="307"/>
      <c r="E158" s="307"/>
      <c r="F158" s="307"/>
      <c r="G158" s="307"/>
      <c r="H158" s="308"/>
      <c r="I158" s="307"/>
      <c r="J158" s="307"/>
      <c r="K158" s="307"/>
      <c r="L158" s="309"/>
      <c r="M158" s="307"/>
      <c r="N158" s="310"/>
      <c r="O158" s="307"/>
      <c r="P158" s="307"/>
      <c r="Q158" s="307"/>
      <c r="R158" s="307"/>
      <c r="S158" s="307"/>
      <c r="T158" s="311"/>
      <c r="U158" s="309"/>
      <c r="V158" s="309"/>
      <c r="W158" s="307"/>
      <c r="X158" s="309"/>
      <c r="Y158" s="307"/>
      <c r="Z158" s="307"/>
      <c r="AA158" s="307"/>
      <c r="AB158" s="307"/>
      <c r="AC158" s="307"/>
      <c r="AD158" s="307"/>
      <c r="AE158" s="307"/>
      <c r="AF158" s="307"/>
    </row>
    <row r="159" ht="20.25" customHeight="1">
      <c r="A159" s="311"/>
      <c r="B159" s="307"/>
      <c r="C159" s="307"/>
      <c r="D159" s="307"/>
      <c r="E159" s="307"/>
      <c r="F159" s="307"/>
      <c r="G159" s="307"/>
      <c r="H159" s="308"/>
      <c r="I159" s="307"/>
      <c r="J159" s="307"/>
      <c r="K159" s="307"/>
      <c r="L159" s="309"/>
      <c r="M159" s="307"/>
      <c r="N159" s="310"/>
      <c r="O159" s="307"/>
      <c r="P159" s="307"/>
      <c r="Q159" s="307"/>
      <c r="R159" s="307"/>
      <c r="S159" s="307"/>
      <c r="T159" s="311"/>
      <c r="U159" s="309"/>
      <c r="V159" s="309"/>
      <c r="W159" s="307"/>
      <c r="X159" s="309"/>
      <c r="Y159" s="307"/>
      <c r="Z159" s="307"/>
      <c r="AA159" s="307"/>
      <c r="AB159" s="307"/>
      <c r="AC159" s="307"/>
      <c r="AD159" s="307"/>
      <c r="AE159" s="307"/>
      <c r="AF159" s="307"/>
    </row>
    <row r="160" ht="20.25" customHeight="1">
      <c r="A160" s="311"/>
      <c r="B160" s="307"/>
      <c r="C160" s="307"/>
      <c r="D160" s="307"/>
      <c r="E160" s="307"/>
      <c r="F160" s="307"/>
      <c r="G160" s="307"/>
      <c r="H160" s="308"/>
      <c r="I160" s="307"/>
      <c r="J160" s="307"/>
      <c r="K160" s="307"/>
      <c r="L160" s="309"/>
      <c r="M160" s="307"/>
      <c r="N160" s="310"/>
      <c r="O160" s="307"/>
      <c r="P160" s="307"/>
      <c r="Q160" s="307"/>
      <c r="R160" s="307"/>
      <c r="S160" s="307"/>
      <c r="T160" s="311"/>
      <c r="U160" s="309"/>
      <c r="V160" s="309"/>
      <c r="W160" s="307"/>
      <c r="X160" s="309"/>
      <c r="Y160" s="307"/>
      <c r="Z160" s="307"/>
      <c r="AA160" s="307"/>
      <c r="AB160" s="307"/>
      <c r="AC160" s="307"/>
      <c r="AD160" s="307"/>
      <c r="AE160" s="307"/>
      <c r="AF160" s="307"/>
    </row>
    <row r="161" ht="20.25" customHeight="1">
      <c r="A161" s="311"/>
      <c r="B161" s="307"/>
      <c r="C161" s="307"/>
      <c r="D161" s="307"/>
      <c r="E161" s="307"/>
      <c r="F161" s="307"/>
      <c r="G161" s="307"/>
      <c r="H161" s="308"/>
      <c r="I161" s="307"/>
      <c r="J161" s="307"/>
      <c r="K161" s="307"/>
      <c r="L161" s="309"/>
      <c r="M161" s="307"/>
      <c r="N161" s="310"/>
      <c r="O161" s="307"/>
      <c r="P161" s="307"/>
      <c r="Q161" s="307"/>
      <c r="R161" s="307"/>
      <c r="S161" s="307"/>
      <c r="T161" s="311"/>
      <c r="U161" s="309"/>
      <c r="V161" s="309"/>
      <c r="W161" s="307"/>
      <c r="X161" s="309"/>
      <c r="Y161" s="307"/>
      <c r="Z161" s="307"/>
      <c r="AA161" s="307"/>
      <c r="AB161" s="307"/>
      <c r="AC161" s="307"/>
      <c r="AD161" s="307"/>
      <c r="AE161" s="307"/>
      <c r="AF161" s="307"/>
    </row>
    <row r="162" ht="20.25" customHeight="1">
      <c r="A162" s="311"/>
      <c r="B162" s="307"/>
      <c r="C162" s="307"/>
      <c r="D162" s="307"/>
      <c r="E162" s="307"/>
      <c r="F162" s="307"/>
      <c r="G162" s="307"/>
      <c r="H162" s="308"/>
      <c r="I162" s="307"/>
      <c r="J162" s="307"/>
      <c r="K162" s="307"/>
      <c r="L162" s="309"/>
      <c r="M162" s="307"/>
      <c r="N162" s="310"/>
      <c r="O162" s="307"/>
      <c r="P162" s="307"/>
      <c r="Q162" s="307"/>
      <c r="R162" s="307"/>
      <c r="S162" s="307"/>
      <c r="T162" s="311"/>
      <c r="U162" s="309"/>
      <c r="V162" s="309"/>
      <c r="W162" s="307"/>
      <c r="X162" s="309"/>
      <c r="Y162" s="307"/>
      <c r="Z162" s="307"/>
      <c r="AA162" s="307"/>
      <c r="AB162" s="307"/>
      <c r="AC162" s="307"/>
      <c r="AD162" s="307"/>
      <c r="AE162" s="307"/>
      <c r="AF162" s="307"/>
    </row>
    <row r="163" ht="20.25" customHeight="1">
      <c r="A163" s="311"/>
      <c r="B163" s="307"/>
      <c r="C163" s="307"/>
      <c r="D163" s="307"/>
      <c r="E163" s="307"/>
      <c r="F163" s="307"/>
      <c r="G163" s="307"/>
      <c r="H163" s="308"/>
      <c r="I163" s="307"/>
      <c r="J163" s="307"/>
      <c r="K163" s="307"/>
      <c r="L163" s="309"/>
      <c r="M163" s="307"/>
      <c r="N163" s="310"/>
      <c r="O163" s="307"/>
      <c r="P163" s="307"/>
      <c r="Q163" s="307"/>
      <c r="R163" s="307"/>
      <c r="S163" s="307"/>
      <c r="T163" s="311"/>
      <c r="U163" s="309"/>
      <c r="V163" s="309"/>
      <c r="W163" s="307"/>
      <c r="X163" s="309"/>
      <c r="Y163" s="307"/>
      <c r="Z163" s="307"/>
      <c r="AA163" s="307"/>
      <c r="AB163" s="307"/>
      <c r="AC163" s="307"/>
      <c r="AD163" s="307"/>
      <c r="AE163" s="307"/>
      <c r="AF163" s="307"/>
    </row>
    <row r="164" ht="20.25" customHeight="1">
      <c r="A164" s="311"/>
      <c r="B164" s="307"/>
      <c r="C164" s="307"/>
      <c r="D164" s="307"/>
      <c r="E164" s="307"/>
      <c r="F164" s="307"/>
      <c r="G164" s="307"/>
      <c r="H164" s="308"/>
      <c r="I164" s="307"/>
      <c r="J164" s="307"/>
      <c r="K164" s="307"/>
      <c r="L164" s="309"/>
      <c r="M164" s="307"/>
      <c r="N164" s="310"/>
      <c r="O164" s="307"/>
      <c r="P164" s="307"/>
      <c r="Q164" s="307"/>
      <c r="R164" s="307"/>
      <c r="S164" s="307"/>
      <c r="T164" s="311"/>
      <c r="U164" s="309"/>
      <c r="V164" s="309"/>
      <c r="W164" s="307"/>
      <c r="X164" s="309"/>
      <c r="Y164" s="307"/>
      <c r="Z164" s="307"/>
      <c r="AA164" s="307"/>
      <c r="AB164" s="307"/>
      <c r="AC164" s="307"/>
      <c r="AD164" s="307"/>
      <c r="AE164" s="307"/>
      <c r="AF164" s="307"/>
    </row>
    <row r="165" ht="20.25" customHeight="1">
      <c r="A165" s="311"/>
      <c r="B165" s="307"/>
      <c r="C165" s="307"/>
      <c r="D165" s="307"/>
      <c r="E165" s="307"/>
      <c r="F165" s="307"/>
      <c r="G165" s="307"/>
      <c r="H165" s="308"/>
      <c r="I165" s="307"/>
      <c r="J165" s="307"/>
      <c r="K165" s="307"/>
      <c r="L165" s="309"/>
      <c r="M165" s="307"/>
      <c r="N165" s="310"/>
      <c r="O165" s="307"/>
      <c r="P165" s="307"/>
      <c r="Q165" s="307"/>
      <c r="R165" s="307"/>
      <c r="S165" s="307"/>
      <c r="T165" s="311"/>
      <c r="U165" s="309"/>
      <c r="V165" s="309"/>
      <c r="W165" s="307"/>
      <c r="X165" s="309"/>
      <c r="Y165" s="307"/>
      <c r="Z165" s="307"/>
      <c r="AA165" s="307"/>
      <c r="AB165" s="307"/>
      <c r="AC165" s="307"/>
      <c r="AD165" s="307"/>
      <c r="AE165" s="307"/>
      <c r="AF165" s="307"/>
    </row>
    <row r="166" ht="20.25" customHeight="1">
      <c r="A166" s="311"/>
      <c r="B166" s="307"/>
      <c r="C166" s="307"/>
      <c r="D166" s="307"/>
      <c r="E166" s="307"/>
      <c r="F166" s="307"/>
      <c r="G166" s="307"/>
      <c r="H166" s="308"/>
      <c r="I166" s="307"/>
      <c r="J166" s="307"/>
      <c r="K166" s="307"/>
      <c r="L166" s="309"/>
      <c r="M166" s="307"/>
      <c r="N166" s="310"/>
      <c r="O166" s="307"/>
      <c r="P166" s="307"/>
      <c r="Q166" s="307"/>
      <c r="R166" s="307"/>
      <c r="S166" s="307"/>
      <c r="T166" s="311"/>
      <c r="U166" s="309"/>
      <c r="V166" s="309"/>
      <c r="W166" s="307"/>
      <c r="X166" s="309"/>
      <c r="Y166" s="307"/>
      <c r="Z166" s="307"/>
      <c r="AA166" s="307"/>
      <c r="AB166" s="307"/>
      <c r="AC166" s="307"/>
      <c r="AD166" s="307"/>
      <c r="AE166" s="307"/>
      <c r="AF166" s="307"/>
    </row>
    <row r="167" ht="20.25" customHeight="1">
      <c r="A167" s="311"/>
      <c r="B167" s="307"/>
      <c r="C167" s="307"/>
      <c r="D167" s="307"/>
      <c r="E167" s="307"/>
      <c r="F167" s="307"/>
      <c r="G167" s="307"/>
      <c r="H167" s="308"/>
      <c r="I167" s="307"/>
      <c r="J167" s="307"/>
      <c r="K167" s="307"/>
      <c r="L167" s="309"/>
      <c r="M167" s="307"/>
      <c r="N167" s="310"/>
      <c r="O167" s="307"/>
      <c r="P167" s="307"/>
      <c r="Q167" s="307"/>
      <c r="R167" s="307"/>
      <c r="S167" s="307"/>
      <c r="T167" s="311"/>
      <c r="U167" s="309"/>
      <c r="V167" s="309"/>
      <c r="W167" s="307"/>
      <c r="X167" s="309"/>
      <c r="Y167" s="307"/>
      <c r="Z167" s="307"/>
      <c r="AA167" s="307"/>
      <c r="AB167" s="307"/>
      <c r="AC167" s="307"/>
      <c r="AD167" s="307"/>
      <c r="AE167" s="307"/>
      <c r="AF167" s="307"/>
    </row>
    <row r="168" ht="20.25" customHeight="1">
      <c r="A168" s="311"/>
      <c r="B168" s="307"/>
      <c r="C168" s="307"/>
      <c r="D168" s="307"/>
      <c r="E168" s="307"/>
      <c r="F168" s="307"/>
      <c r="G168" s="307"/>
      <c r="H168" s="308"/>
      <c r="I168" s="307"/>
      <c r="J168" s="307"/>
      <c r="K168" s="307"/>
      <c r="L168" s="309"/>
      <c r="M168" s="307"/>
      <c r="N168" s="310"/>
      <c r="O168" s="307"/>
      <c r="P168" s="307"/>
      <c r="Q168" s="307"/>
      <c r="R168" s="307"/>
      <c r="S168" s="307"/>
      <c r="T168" s="311"/>
      <c r="U168" s="309"/>
      <c r="V168" s="309"/>
      <c r="W168" s="307"/>
      <c r="X168" s="309"/>
      <c r="Y168" s="307"/>
      <c r="Z168" s="307"/>
      <c r="AA168" s="307"/>
      <c r="AB168" s="307"/>
      <c r="AC168" s="307"/>
      <c r="AD168" s="307"/>
      <c r="AE168" s="307"/>
      <c r="AF168" s="307"/>
    </row>
    <row r="169" ht="20.25" customHeight="1">
      <c r="A169" s="311"/>
      <c r="B169" s="307"/>
      <c r="C169" s="307"/>
      <c r="D169" s="307"/>
      <c r="E169" s="307"/>
      <c r="F169" s="307"/>
      <c r="G169" s="307"/>
      <c r="H169" s="308"/>
      <c r="I169" s="307"/>
      <c r="J169" s="307"/>
      <c r="K169" s="307"/>
      <c r="L169" s="309"/>
      <c r="M169" s="307"/>
      <c r="N169" s="310"/>
      <c r="O169" s="307"/>
      <c r="P169" s="307"/>
      <c r="Q169" s="307"/>
      <c r="R169" s="307"/>
      <c r="S169" s="307"/>
      <c r="T169" s="311"/>
      <c r="U169" s="309"/>
      <c r="V169" s="309"/>
      <c r="W169" s="307"/>
      <c r="X169" s="309"/>
      <c r="Y169" s="307"/>
      <c r="Z169" s="307"/>
      <c r="AA169" s="307"/>
      <c r="AB169" s="307"/>
      <c r="AC169" s="307"/>
      <c r="AD169" s="307"/>
      <c r="AE169" s="307"/>
      <c r="AF169" s="307"/>
    </row>
    <row r="170" ht="20.25" customHeight="1">
      <c r="A170" s="311"/>
      <c r="B170" s="307"/>
      <c r="C170" s="307"/>
      <c r="D170" s="307"/>
      <c r="E170" s="307"/>
      <c r="F170" s="307"/>
      <c r="G170" s="307"/>
      <c r="H170" s="308"/>
      <c r="I170" s="307"/>
      <c r="J170" s="307"/>
      <c r="K170" s="307"/>
      <c r="L170" s="309"/>
      <c r="M170" s="307"/>
      <c r="N170" s="310"/>
      <c r="O170" s="307"/>
      <c r="P170" s="307"/>
      <c r="Q170" s="307"/>
      <c r="R170" s="307"/>
      <c r="S170" s="307"/>
      <c r="T170" s="311"/>
      <c r="U170" s="309"/>
      <c r="V170" s="309"/>
      <c r="W170" s="307"/>
      <c r="X170" s="309"/>
      <c r="Y170" s="307"/>
      <c r="Z170" s="307"/>
      <c r="AA170" s="307"/>
      <c r="AB170" s="307"/>
      <c r="AC170" s="307"/>
      <c r="AD170" s="307"/>
      <c r="AE170" s="307"/>
      <c r="AF170" s="307"/>
    </row>
    <row r="171" ht="20.25" customHeight="1">
      <c r="A171" s="311"/>
      <c r="B171" s="307"/>
      <c r="C171" s="307"/>
      <c r="D171" s="307"/>
      <c r="E171" s="307"/>
      <c r="F171" s="307"/>
      <c r="G171" s="307"/>
      <c r="H171" s="308"/>
      <c r="I171" s="307"/>
      <c r="J171" s="307"/>
      <c r="K171" s="307"/>
      <c r="L171" s="309"/>
      <c r="M171" s="307"/>
      <c r="N171" s="310"/>
      <c r="O171" s="307"/>
      <c r="P171" s="307"/>
      <c r="Q171" s="307"/>
      <c r="R171" s="307"/>
      <c r="S171" s="307"/>
      <c r="T171" s="311"/>
      <c r="U171" s="309"/>
      <c r="V171" s="309"/>
      <c r="W171" s="307"/>
      <c r="X171" s="309"/>
      <c r="Y171" s="307"/>
      <c r="Z171" s="307"/>
      <c r="AA171" s="307"/>
      <c r="AB171" s="307"/>
      <c r="AC171" s="307"/>
      <c r="AD171" s="307"/>
      <c r="AE171" s="307"/>
      <c r="AF171" s="307"/>
    </row>
    <row r="172" ht="20.25" customHeight="1">
      <c r="A172" s="311"/>
      <c r="B172" s="307"/>
      <c r="C172" s="307"/>
      <c r="D172" s="307"/>
      <c r="E172" s="307"/>
      <c r="F172" s="307"/>
      <c r="G172" s="307"/>
      <c r="H172" s="308"/>
      <c r="I172" s="307"/>
      <c r="J172" s="307"/>
      <c r="K172" s="307"/>
      <c r="L172" s="309"/>
      <c r="M172" s="307"/>
      <c r="N172" s="310"/>
      <c r="O172" s="307"/>
      <c r="P172" s="307"/>
      <c r="Q172" s="307"/>
      <c r="R172" s="307"/>
      <c r="S172" s="307"/>
      <c r="T172" s="311"/>
      <c r="U172" s="309"/>
      <c r="V172" s="309"/>
      <c r="W172" s="307"/>
      <c r="X172" s="309"/>
      <c r="Y172" s="307"/>
      <c r="Z172" s="307"/>
      <c r="AA172" s="307"/>
      <c r="AB172" s="307"/>
      <c r="AC172" s="307"/>
      <c r="AD172" s="307"/>
      <c r="AE172" s="307"/>
      <c r="AF172" s="307"/>
    </row>
    <row r="173" ht="20.25" customHeight="1">
      <c r="A173" s="311"/>
      <c r="B173" s="307"/>
      <c r="C173" s="307"/>
      <c r="D173" s="307"/>
      <c r="E173" s="307"/>
      <c r="F173" s="307"/>
      <c r="G173" s="307"/>
      <c r="H173" s="308"/>
      <c r="I173" s="307"/>
      <c r="J173" s="307"/>
      <c r="K173" s="307"/>
      <c r="L173" s="309"/>
      <c r="M173" s="307"/>
      <c r="N173" s="310"/>
      <c r="O173" s="307"/>
      <c r="P173" s="307"/>
      <c r="Q173" s="307"/>
      <c r="R173" s="307"/>
      <c r="S173" s="307"/>
      <c r="T173" s="311"/>
      <c r="U173" s="309"/>
      <c r="V173" s="309"/>
      <c r="W173" s="307"/>
      <c r="X173" s="309"/>
      <c r="Y173" s="307"/>
      <c r="Z173" s="307"/>
      <c r="AA173" s="307"/>
      <c r="AB173" s="307"/>
      <c r="AC173" s="307"/>
      <c r="AD173" s="307"/>
      <c r="AE173" s="307"/>
      <c r="AF173" s="307"/>
    </row>
    <row r="174" ht="20.25" customHeight="1">
      <c r="A174" s="311"/>
      <c r="B174" s="307"/>
      <c r="C174" s="307"/>
      <c r="D174" s="307"/>
      <c r="E174" s="307"/>
      <c r="F174" s="307"/>
      <c r="G174" s="307"/>
      <c r="H174" s="308"/>
      <c r="I174" s="307"/>
      <c r="J174" s="307"/>
      <c r="K174" s="307"/>
      <c r="L174" s="309"/>
      <c r="M174" s="307"/>
      <c r="N174" s="310"/>
      <c r="O174" s="307"/>
      <c r="P174" s="307"/>
      <c r="Q174" s="307"/>
      <c r="R174" s="307"/>
      <c r="S174" s="307"/>
      <c r="T174" s="311"/>
      <c r="U174" s="309"/>
      <c r="V174" s="309"/>
      <c r="W174" s="307"/>
      <c r="X174" s="309"/>
      <c r="Y174" s="307"/>
      <c r="Z174" s="307"/>
      <c r="AA174" s="307"/>
      <c r="AB174" s="307"/>
      <c r="AC174" s="307"/>
      <c r="AD174" s="307"/>
      <c r="AE174" s="307"/>
      <c r="AF174" s="307"/>
    </row>
    <row r="175" ht="20.25" customHeight="1">
      <c r="A175" s="311"/>
      <c r="B175" s="307"/>
      <c r="C175" s="307"/>
      <c r="D175" s="307"/>
      <c r="E175" s="307"/>
      <c r="F175" s="307"/>
      <c r="G175" s="307"/>
      <c r="H175" s="308"/>
      <c r="I175" s="307"/>
      <c r="J175" s="307"/>
      <c r="K175" s="307"/>
      <c r="L175" s="309"/>
      <c r="M175" s="307"/>
      <c r="N175" s="310"/>
      <c r="O175" s="307"/>
      <c r="P175" s="307"/>
      <c r="Q175" s="307"/>
      <c r="R175" s="307"/>
      <c r="S175" s="307"/>
      <c r="T175" s="311"/>
      <c r="U175" s="309"/>
      <c r="V175" s="309"/>
      <c r="W175" s="307"/>
      <c r="X175" s="309"/>
      <c r="Y175" s="307"/>
      <c r="Z175" s="307"/>
      <c r="AA175" s="307"/>
      <c r="AB175" s="307"/>
      <c r="AC175" s="307"/>
      <c r="AD175" s="307"/>
      <c r="AE175" s="307"/>
      <c r="AF175" s="307"/>
    </row>
    <row r="176" ht="20.25" customHeight="1">
      <c r="A176" s="311"/>
      <c r="B176" s="307"/>
      <c r="C176" s="307"/>
      <c r="D176" s="307"/>
      <c r="E176" s="307"/>
      <c r="F176" s="307"/>
      <c r="G176" s="307"/>
      <c r="H176" s="308"/>
      <c r="I176" s="307"/>
      <c r="J176" s="307"/>
      <c r="K176" s="307"/>
      <c r="L176" s="309"/>
      <c r="M176" s="307"/>
      <c r="N176" s="310"/>
      <c r="O176" s="307"/>
      <c r="P176" s="307"/>
      <c r="Q176" s="307"/>
      <c r="R176" s="307"/>
      <c r="S176" s="307"/>
      <c r="T176" s="311"/>
      <c r="U176" s="309"/>
      <c r="V176" s="309"/>
      <c r="W176" s="307"/>
      <c r="X176" s="309"/>
      <c r="Y176" s="307"/>
      <c r="Z176" s="307"/>
      <c r="AA176" s="307"/>
      <c r="AB176" s="307"/>
      <c r="AC176" s="307"/>
      <c r="AD176" s="307"/>
      <c r="AE176" s="307"/>
      <c r="AF176" s="307"/>
    </row>
    <row r="177" ht="20.25" customHeight="1">
      <c r="A177" s="311"/>
      <c r="B177" s="307"/>
      <c r="C177" s="307"/>
      <c r="D177" s="307"/>
      <c r="E177" s="307"/>
      <c r="F177" s="307"/>
      <c r="G177" s="307"/>
      <c r="H177" s="308"/>
      <c r="I177" s="307"/>
      <c r="J177" s="307"/>
      <c r="K177" s="307"/>
      <c r="L177" s="309"/>
      <c r="M177" s="307"/>
      <c r="N177" s="310"/>
      <c r="O177" s="307"/>
      <c r="P177" s="307"/>
      <c r="Q177" s="307"/>
      <c r="R177" s="307"/>
      <c r="S177" s="307"/>
      <c r="T177" s="311"/>
      <c r="U177" s="309"/>
      <c r="V177" s="309"/>
      <c r="W177" s="307"/>
      <c r="X177" s="309"/>
      <c r="Y177" s="307"/>
      <c r="Z177" s="307"/>
      <c r="AA177" s="307"/>
      <c r="AB177" s="307"/>
      <c r="AC177" s="307"/>
      <c r="AD177" s="307"/>
      <c r="AE177" s="307"/>
      <c r="AF177" s="307"/>
    </row>
    <row r="178" ht="20.25" customHeight="1">
      <c r="A178" s="311"/>
      <c r="B178" s="307"/>
      <c r="C178" s="307"/>
      <c r="D178" s="307"/>
      <c r="E178" s="307"/>
      <c r="F178" s="307"/>
      <c r="G178" s="307"/>
      <c r="H178" s="308"/>
      <c r="I178" s="307"/>
      <c r="J178" s="307"/>
      <c r="K178" s="307"/>
      <c r="L178" s="309"/>
      <c r="M178" s="307"/>
      <c r="N178" s="310"/>
      <c r="O178" s="307"/>
      <c r="P178" s="307"/>
      <c r="Q178" s="307"/>
      <c r="R178" s="307"/>
      <c r="S178" s="307"/>
      <c r="T178" s="311"/>
      <c r="U178" s="309"/>
      <c r="V178" s="309"/>
      <c r="W178" s="307"/>
      <c r="X178" s="309"/>
      <c r="Y178" s="307"/>
      <c r="Z178" s="307"/>
      <c r="AA178" s="307"/>
      <c r="AB178" s="307"/>
      <c r="AC178" s="307"/>
      <c r="AD178" s="307"/>
      <c r="AE178" s="307"/>
      <c r="AF178" s="307"/>
    </row>
    <row r="179" ht="20.25" customHeight="1">
      <c r="A179" s="311"/>
      <c r="B179" s="307"/>
      <c r="C179" s="307"/>
      <c r="D179" s="307"/>
      <c r="E179" s="307"/>
      <c r="F179" s="307"/>
      <c r="G179" s="307"/>
      <c r="H179" s="308"/>
      <c r="I179" s="307"/>
      <c r="J179" s="307"/>
      <c r="K179" s="307"/>
      <c r="L179" s="309"/>
      <c r="M179" s="307"/>
      <c r="N179" s="310"/>
      <c r="O179" s="307"/>
      <c r="P179" s="307"/>
      <c r="Q179" s="307"/>
      <c r="R179" s="307"/>
      <c r="S179" s="307"/>
      <c r="T179" s="311"/>
      <c r="U179" s="309"/>
      <c r="V179" s="309"/>
      <c r="W179" s="307"/>
      <c r="X179" s="309"/>
      <c r="Y179" s="307"/>
      <c r="Z179" s="307"/>
      <c r="AA179" s="307"/>
      <c r="AB179" s="307"/>
      <c r="AC179" s="307"/>
      <c r="AD179" s="307"/>
      <c r="AE179" s="307"/>
      <c r="AF179" s="307"/>
    </row>
    <row r="180" ht="20.25" customHeight="1">
      <c r="A180" s="311"/>
      <c r="B180" s="307"/>
      <c r="C180" s="307"/>
      <c r="D180" s="307"/>
      <c r="E180" s="307"/>
      <c r="F180" s="307"/>
      <c r="G180" s="307"/>
      <c r="H180" s="308"/>
      <c r="I180" s="307"/>
      <c r="J180" s="307"/>
      <c r="K180" s="307"/>
      <c r="L180" s="309"/>
      <c r="M180" s="307"/>
      <c r="N180" s="310"/>
      <c r="O180" s="307"/>
      <c r="P180" s="307"/>
      <c r="Q180" s="307"/>
      <c r="R180" s="307"/>
      <c r="S180" s="307"/>
      <c r="T180" s="311"/>
      <c r="U180" s="309"/>
      <c r="V180" s="309"/>
      <c r="W180" s="307"/>
      <c r="X180" s="309"/>
      <c r="Y180" s="307"/>
      <c r="Z180" s="307"/>
      <c r="AA180" s="307"/>
      <c r="AB180" s="307"/>
      <c r="AC180" s="307"/>
      <c r="AD180" s="307"/>
      <c r="AE180" s="307"/>
      <c r="AF180" s="307"/>
    </row>
    <row r="181" ht="20.25" customHeight="1">
      <c r="A181" s="311"/>
      <c r="B181" s="307"/>
      <c r="C181" s="307"/>
      <c r="D181" s="307"/>
      <c r="E181" s="307"/>
      <c r="F181" s="307"/>
      <c r="G181" s="307"/>
      <c r="H181" s="308"/>
      <c r="I181" s="307"/>
      <c r="J181" s="307"/>
      <c r="K181" s="307"/>
      <c r="L181" s="309"/>
      <c r="M181" s="307"/>
      <c r="N181" s="310"/>
      <c r="O181" s="307"/>
      <c r="P181" s="307"/>
      <c r="Q181" s="307"/>
      <c r="R181" s="307"/>
      <c r="S181" s="307"/>
      <c r="T181" s="311"/>
      <c r="U181" s="309"/>
      <c r="V181" s="309"/>
      <c r="W181" s="307"/>
      <c r="X181" s="309"/>
      <c r="Y181" s="307"/>
      <c r="Z181" s="307"/>
      <c r="AA181" s="307"/>
      <c r="AB181" s="307"/>
      <c r="AC181" s="307"/>
      <c r="AD181" s="307"/>
      <c r="AE181" s="307"/>
      <c r="AF181" s="307"/>
    </row>
    <row r="182" ht="20.25" customHeight="1">
      <c r="A182" s="311"/>
      <c r="B182" s="307"/>
      <c r="C182" s="307"/>
      <c r="D182" s="307"/>
      <c r="E182" s="307"/>
      <c r="F182" s="307"/>
      <c r="G182" s="307"/>
      <c r="H182" s="308"/>
      <c r="I182" s="307"/>
      <c r="J182" s="307"/>
      <c r="K182" s="307"/>
      <c r="L182" s="309"/>
      <c r="M182" s="307"/>
      <c r="N182" s="310"/>
      <c r="O182" s="307"/>
      <c r="P182" s="307"/>
      <c r="Q182" s="307"/>
      <c r="R182" s="307"/>
      <c r="S182" s="307"/>
      <c r="T182" s="311"/>
      <c r="U182" s="309"/>
      <c r="V182" s="309"/>
      <c r="W182" s="307"/>
      <c r="X182" s="309"/>
      <c r="Y182" s="307"/>
      <c r="Z182" s="307"/>
      <c r="AA182" s="307"/>
      <c r="AB182" s="307"/>
      <c r="AC182" s="307"/>
      <c r="AD182" s="307"/>
      <c r="AE182" s="307"/>
      <c r="AF182" s="307"/>
    </row>
    <row r="183" ht="20.25" customHeight="1">
      <c r="A183" s="311"/>
      <c r="B183" s="307"/>
      <c r="C183" s="307"/>
      <c r="D183" s="307"/>
      <c r="E183" s="307"/>
      <c r="F183" s="307"/>
      <c r="G183" s="307"/>
      <c r="H183" s="308"/>
      <c r="I183" s="307"/>
      <c r="J183" s="307"/>
      <c r="K183" s="307"/>
      <c r="L183" s="309"/>
      <c r="M183" s="307"/>
      <c r="N183" s="310"/>
      <c r="O183" s="307"/>
      <c r="P183" s="307"/>
      <c r="Q183" s="307"/>
      <c r="R183" s="307"/>
      <c r="S183" s="307"/>
      <c r="T183" s="311"/>
      <c r="U183" s="309"/>
      <c r="V183" s="309"/>
      <c r="W183" s="307"/>
      <c r="X183" s="309"/>
      <c r="Y183" s="307"/>
      <c r="Z183" s="307"/>
      <c r="AA183" s="307"/>
      <c r="AB183" s="307"/>
      <c r="AC183" s="307"/>
      <c r="AD183" s="307"/>
      <c r="AE183" s="307"/>
      <c r="AF183" s="307"/>
    </row>
    <row r="184" ht="20.25" customHeight="1">
      <c r="A184" s="311"/>
      <c r="B184" s="307"/>
      <c r="C184" s="307"/>
      <c r="D184" s="307"/>
      <c r="E184" s="307"/>
      <c r="F184" s="307"/>
      <c r="G184" s="307"/>
      <c r="H184" s="308"/>
      <c r="I184" s="307"/>
      <c r="J184" s="307"/>
      <c r="K184" s="307"/>
      <c r="L184" s="309"/>
      <c r="M184" s="307"/>
      <c r="N184" s="310"/>
      <c r="O184" s="307"/>
      <c r="P184" s="307"/>
      <c r="Q184" s="307"/>
      <c r="R184" s="307"/>
      <c r="S184" s="307"/>
      <c r="T184" s="311"/>
      <c r="U184" s="309"/>
      <c r="V184" s="309"/>
      <c r="W184" s="307"/>
      <c r="X184" s="309"/>
      <c r="Y184" s="307"/>
      <c r="Z184" s="307"/>
      <c r="AA184" s="307"/>
      <c r="AB184" s="307"/>
      <c r="AC184" s="307"/>
      <c r="AD184" s="307"/>
      <c r="AE184" s="307"/>
      <c r="AF184" s="307"/>
    </row>
    <row r="185" ht="20.25" customHeight="1">
      <c r="A185" s="311"/>
      <c r="B185" s="307"/>
      <c r="C185" s="307"/>
      <c r="D185" s="307"/>
      <c r="E185" s="307"/>
      <c r="F185" s="307"/>
      <c r="G185" s="307"/>
      <c r="H185" s="308"/>
      <c r="I185" s="307"/>
      <c r="J185" s="307"/>
      <c r="K185" s="307"/>
      <c r="L185" s="309"/>
      <c r="M185" s="307"/>
      <c r="N185" s="310"/>
      <c r="O185" s="307"/>
      <c r="P185" s="307"/>
      <c r="Q185" s="307"/>
      <c r="R185" s="307"/>
      <c r="S185" s="307"/>
      <c r="T185" s="311"/>
      <c r="U185" s="309"/>
      <c r="V185" s="309"/>
      <c r="W185" s="307"/>
      <c r="X185" s="309"/>
      <c r="Y185" s="307"/>
      <c r="Z185" s="307"/>
      <c r="AA185" s="307"/>
      <c r="AB185" s="307"/>
      <c r="AC185" s="307"/>
      <c r="AD185" s="307"/>
      <c r="AE185" s="307"/>
      <c r="AF185" s="307"/>
    </row>
    <row r="186" ht="20.25" customHeight="1">
      <c r="A186" s="311"/>
      <c r="B186" s="307"/>
      <c r="C186" s="307"/>
      <c r="D186" s="307"/>
      <c r="E186" s="307"/>
      <c r="F186" s="307"/>
      <c r="G186" s="307"/>
      <c r="H186" s="308"/>
      <c r="I186" s="307"/>
      <c r="J186" s="307"/>
      <c r="K186" s="307"/>
      <c r="L186" s="309"/>
      <c r="M186" s="307"/>
      <c r="N186" s="310"/>
      <c r="O186" s="307"/>
      <c r="P186" s="307"/>
      <c r="Q186" s="307"/>
      <c r="R186" s="307"/>
      <c r="S186" s="307"/>
      <c r="T186" s="311"/>
      <c r="U186" s="309"/>
      <c r="V186" s="309"/>
      <c r="W186" s="307"/>
      <c r="X186" s="309"/>
      <c r="Y186" s="307"/>
      <c r="Z186" s="307"/>
      <c r="AA186" s="307"/>
      <c r="AB186" s="307"/>
      <c r="AC186" s="307"/>
      <c r="AD186" s="307"/>
      <c r="AE186" s="307"/>
      <c r="AF186" s="307"/>
    </row>
    <row r="187" ht="20.25" customHeight="1">
      <c r="A187" s="311"/>
      <c r="B187" s="307"/>
      <c r="C187" s="307"/>
      <c r="D187" s="307"/>
      <c r="E187" s="307"/>
      <c r="F187" s="307"/>
      <c r="G187" s="307"/>
      <c r="H187" s="308"/>
      <c r="I187" s="307"/>
      <c r="J187" s="307"/>
      <c r="K187" s="307"/>
      <c r="L187" s="309"/>
      <c r="M187" s="307"/>
      <c r="N187" s="310"/>
      <c r="O187" s="307"/>
      <c r="P187" s="307"/>
      <c r="Q187" s="307"/>
      <c r="R187" s="307"/>
      <c r="S187" s="307"/>
      <c r="T187" s="311"/>
      <c r="U187" s="309"/>
      <c r="V187" s="309"/>
      <c r="W187" s="307"/>
      <c r="X187" s="309"/>
      <c r="Y187" s="307"/>
      <c r="Z187" s="307"/>
      <c r="AA187" s="307"/>
      <c r="AB187" s="307"/>
      <c r="AC187" s="307"/>
      <c r="AD187" s="307"/>
      <c r="AE187" s="307"/>
      <c r="AF187" s="307"/>
    </row>
    <row r="188" ht="20.25" customHeight="1">
      <c r="A188" s="311"/>
      <c r="B188" s="307"/>
      <c r="C188" s="307"/>
      <c r="D188" s="307"/>
      <c r="E188" s="307"/>
      <c r="F188" s="307"/>
      <c r="G188" s="307"/>
      <c r="H188" s="308"/>
      <c r="I188" s="307"/>
      <c r="J188" s="307"/>
      <c r="K188" s="307"/>
      <c r="L188" s="309"/>
      <c r="M188" s="307"/>
      <c r="N188" s="310"/>
      <c r="O188" s="307"/>
      <c r="P188" s="307"/>
      <c r="Q188" s="307"/>
      <c r="R188" s="307"/>
      <c r="S188" s="307"/>
      <c r="T188" s="311"/>
      <c r="U188" s="309"/>
      <c r="V188" s="309"/>
      <c r="W188" s="307"/>
      <c r="X188" s="309"/>
      <c r="Y188" s="307"/>
      <c r="Z188" s="307"/>
      <c r="AA188" s="307"/>
      <c r="AB188" s="307"/>
      <c r="AC188" s="307"/>
      <c r="AD188" s="307"/>
      <c r="AE188" s="307"/>
      <c r="AF188" s="307"/>
    </row>
    <row r="189" ht="20.25" customHeight="1">
      <c r="A189" s="311"/>
      <c r="B189" s="307"/>
      <c r="C189" s="307"/>
      <c r="D189" s="307"/>
      <c r="E189" s="307"/>
      <c r="F189" s="307"/>
      <c r="G189" s="307"/>
      <c r="H189" s="308"/>
      <c r="I189" s="307"/>
      <c r="J189" s="307"/>
      <c r="K189" s="307"/>
      <c r="L189" s="309"/>
      <c r="M189" s="307"/>
      <c r="N189" s="310"/>
      <c r="O189" s="307"/>
      <c r="P189" s="307"/>
      <c r="Q189" s="307"/>
      <c r="R189" s="307"/>
      <c r="S189" s="307"/>
      <c r="T189" s="311"/>
      <c r="U189" s="309"/>
      <c r="V189" s="309"/>
      <c r="W189" s="307"/>
      <c r="X189" s="309"/>
      <c r="Y189" s="307"/>
      <c r="Z189" s="307"/>
      <c r="AA189" s="307"/>
      <c r="AB189" s="307"/>
      <c r="AC189" s="307"/>
      <c r="AD189" s="307"/>
      <c r="AE189" s="307"/>
      <c r="AF189" s="307"/>
    </row>
    <row r="190" ht="20.25" customHeight="1">
      <c r="A190" s="311"/>
      <c r="B190" s="307"/>
      <c r="C190" s="307"/>
      <c r="D190" s="307"/>
      <c r="E190" s="307"/>
      <c r="F190" s="307"/>
      <c r="G190" s="307"/>
      <c r="H190" s="308"/>
      <c r="I190" s="307"/>
      <c r="J190" s="307"/>
      <c r="K190" s="307"/>
      <c r="L190" s="309"/>
      <c r="M190" s="307"/>
      <c r="N190" s="310"/>
      <c r="O190" s="307"/>
      <c r="P190" s="307"/>
      <c r="Q190" s="307"/>
      <c r="R190" s="307"/>
      <c r="S190" s="307"/>
      <c r="T190" s="311"/>
      <c r="U190" s="309"/>
      <c r="V190" s="309"/>
      <c r="W190" s="307"/>
      <c r="X190" s="309"/>
      <c r="Y190" s="307"/>
      <c r="Z190" s="307"/>
      <c r="AA190" s="307"/>
      <c r="AB190" s="307"/>
      <c r="AC190" s="307"/>
      <c r="AD190" s="307"/>
      <c r="AE190" s="307"/>
      <c r="AF190" s="307"/>
    </row>
    <row r="191" ht="20.25" customHeight="1">
      <c r="A191" s="311"/>
      <c r="B191" s="307"/>
      <c r="C191" s="307"/>
      <c r="D191" s="307"/>
      <c r="E191" s="307"/>
      <c r="F191" s="307"/>
      <c r="G191" s="307"/>
      <c r="H191" s="308"/>
      <c r="I191" s="307"/>
      <c r="J191" s="307"/>
      <c r="K191" s="307"/>
      <c r="L191" s="309"/>
      <c r="M191" s="307"/>
      <c r="N191" s="310"/>
      <c r="O191" s="307"/>
      <c r="P191" s="307"/>
      <c r="Q191" s="307"/>
      <c r="R191" s="307"/>
      <c r="S191" s="307"/>
      <c r="T191" s="311"/>
      <c r="U191" s="309"/>
      <c r="V191" s="309"/>
      <c r="W191" s="307"/>
      <c r="X191" s="309"/>
      <c r="Y191" s="307"/>
      <c r="Z191" s="307"/>
      <c r="AA191" s="307"/>
      <c r="AB191" s="307"/>
      <c r="AC191" s="307"/>
      <c r="AD191" s="307"/>
      <c r="AE191" s="307"/>
      <c r="AF191" s="307"/>
    </row>
    <row r="192" ht="20.25" customHeight="1">
      <c r="A192" s="311"/>
      <c r="B192" s="307"/>
      <c r="C192" s="307"/>
      <c r="D192" s="307"/>
      <c r="E192" s="307"/>
      <c r="F192" s="307"/>
      <c r="G192" s="307"/>
      <c r="H192" s="308"/>
      <c r="I192" s="307"/>
      <c r="J192" s="307"/>
      <c r="K192" s="307"/>
      <c r="L192" s="309"/>
      <c r="M192" s="307"/>
      <c r="N192" s="310"/>
      <c r="O192" s="307"/>
      <c r="P192" s="307"/>
      <c r="Q192" s="307"/>
      <c r="R192" s="307"/>
      <c r="S192" s="307"/>
      <c r="T192" s="311"/>
      <c r="U192" s="309"/>
      <c r="V192" s="309"/>
      <c r="W192" s="307"/>
      <c r="X192" s="309"/>
      <c r="Y192" s="307"/>
      <c r="Z192" s="307"/>
      <c r="AA192" s="307"/>
      <c r="AB192" s="307"/>
      <c r="AC192" s="307"/>
      <c r="AD192" s="307"/>
      <c r="AE192" s="307"/>
      <c r="AF192" s="307"/>
    </row>
    <row r="193" ht="20.25" customHeight="1">
      <c r="A193" s="311"/>
      <c r="B193" s="307"/>
      <c r="C193" s="307"/>
      <c r="D193" s="307"/>
      <c r="E193" s="307"/>
      <c r="F193" s="307"/>
      <c r="G193" s="307"/>
      <c r="H193" s="308"/>
      <c r="I193" s="307"/>
      <c r="J193" s="307"/>
      <c r="K193" s="307"/>
      <c r="L193" s="309"/>
      <c r="M193" s="307"/>
      <c r="N193" s="310"/>
      <c r="O193" s="307"/>
      <c r="P193" s="307"/>
      <c r="Q193" s="307"/>
      <c r="R193" s="307"/>
      <c r="S193" s="307"/>
      <c r="T193" s="311"/>
      <c r="U193" s="309"/>
      <c r="V193" s="309"/>
      <c r="W193" s="307"/>
      <c r="X193" s="309"/>
      <c r="Y193" s="307"/>
      <c r="Z193" s="307"/>
      <c r="AA193" s="307"/>
      <c r="AB193" s="307"/>
      <c r="AC193" s="307"/>
      <c r="AD193" s="307"/>
      <c r="AE193" s="307"/>
      <c r="AF193" s="307"/>
    </row>
    <row r="194" ht="20.25" customHeight="1">
      <c r="A194" s="311"/>
      <c r="B194" s="307"/>
      <c r="C194" s="307"/>
      <c r="D194" s="307"/>
      <c r="E194" s="307"/>
      <c r="F194" s="307"/>
      <c r="G194" s="307"/>
      <c r="H194" s="308"/>
      <c r="I194" s="307"/>
      <c r="J194" s="307"/>
      <c r="K194" s="307"/>
      <c r="L194" s="309"/>
      <c r="M194" s="307"/>
      <c r="N194" s="310"/>
      <c r="O194" s="307"/>
      <c r="P194" s="307"/>
      <c r="Q194" s="307"/>
      <c r="R194" s="307"/>
      <c r="S194" s="307"/>
      <c r="T194" s="311"/>
      <c r="U194" s="309"/>
      <c r="V194" s="309"/>
      <c r="W194" s="307"/>
      <c r="X194" s="309"/>
      <c r="Y194" s="307"/>
      <c r="Z194" s="307"/>
      <c r="AA194" s="307"/>
      <c r="AB194" s="307"/>
      <c r="AC194" s="307"/>
      <c r="AD194" s="307"/>
      <c r="AE194" s="307"/>
      <c r="AF194" s="307"/>
    </row>
    <row r="195" ht="20.25" customHeight="1">
      <c r="A195" s="311"/>
      <c r="B195" s="307"/>
      <c r="C195" s="307"/>
      <c r="D195" s="307"/>
      <c r="E195" s="307"/>
      <c r="F195" s="307"/>
      <c r="G195" s="307"/>
      <c r="H195" s="308"/>
      <c r="I195" s="307"/>
      <c r="J195" s="307"/>
      <c r="K195" s="307"/>
      <c r="L195" s="309"/>
      <c r="M195" s="307"/>
      <c r="N195" s="310"/>
      <c r="O195" s="307"/>
      <c r="P195" s="307"/>
      <c r="Q195" s="307"/>
      <c r="R195" s="307"/>
      <c r="S195" s="307"/>
      <c r="T195" s="311"/>
      <c r="U195" s="309"/>
      <c r="V195" s="309"/>
      <c r="W195" s="307"/>
      <c r="X195" s="309"/>
      <c r="Y195" s="307"/>
      <c r="Z195" s="307"/>
      <c r="AA195" s="307"/>
      <c r="AB195" s="307"/>
      <c r="AC195" s="307"/>
      <c r="AD195" s="307"/>
      <c r="AE195" s="307"/>
      <c r="AF195" s="307"/>
    </row>
    <row r="196" ht="20.25" customHeight="1">
      <c r="A196" s="311"/>
      <c r="B196" s="307"/>
      <c r="C196" s="307"/>
      <c r="D196" s="307"/>
      <c r="E196" s="307"/>
      <c r="F196" s="307"/>
      <c r="G196" s="307"/>
      <c r="H196" s="308"/>
      <c r="I196" s="307"/>
      <c r="J196" s="307"/>
      <c r="K196" s="307"/>
      <c r="L196" s="309"/>
      <c r="M196" s="307"/>
      <c r="N196" s="310"/>
      <c r="O196" s="307"/>
      <c r="P196" s="307"/>
      <c r="Q196" s="307"/>
      <c r="R196" s="307"/>
      <c r="S196" s="307"/>
      <c r="T196" s="311"/>
      <c r="U196" s="309"/>
      <c r="V196" s="309"/>
      <c r="W196" s="307"/>
      <c r="X196" s="309"/>
      <c r="Y196" s="307"/>
      <c r="Z196" s="307"/>
      <c r="AA196" s="307"/>
      <c r="AB196" s="307"/>
      <c r="AC196" s="307"/>
      <c r="AD196" s="307"/>
      <c r="AE196" s="307"/>
      <c r="AF196" s="307"/>
    </row>
    <row r="197" ht="20.25" customHeight="1">
      <c r="A197" s="311"/>
      <c r="B197" s="307"/>
      <c r="C197" s="307"/>
      <c r="D197" s="307"/>
      <c r="E197" s="307"/>
      <c r="F197" s="307"/>
      <c r="G197" s="307"/>
      <c r="H197" s="308"/>
      <c r="I197" s="307"/>
      <c r="J197" s="307"/>
      <c r="K197" s="307"/>
      <c r="L197" s="309"/>
      <c r="M197" s="307"/>
      <c r="N197" s="310"/>
      <c r="O197" s="307"/>
      <c r="P197" s="307"/>
      <c r="Q197" s="307"/>
      <c r="R197" s="307"/>
      <c r="S197" s="307"/>
      <c r="T197" s="311"/>
      <c r="U197" s="309"/>
      <c r="V197" s="309"/>
      <c r="W197" s="307"/>
      <c r="X197" s="309"/>
      <c r="Y197" s="307"/>
      <c r="Z197" s="307"/>
      <c r="AA197" s="307"/>
      <c r="AB197" s="307"/>
      <c r="AC197" s="307"/>
      <c r="AD197" s="307"/>
      <c r="AE197" s="307"/>
      <c r="AF197" s="307"/>
    </row>
    <row r="198" ht="20.25" customHeight="1">
      <c r="A198" s="311"/>
      <c r="B198" s="307"/>
      <c r="C198" s="307"/>
      <c r="D198" s="307"/>
      <c r="E198" s="307"/>
      <c r="F198" s="307"/>
      <c r="G198" s="307"/>
      <c r="H198" s="308"/>
      <c r="I198" s="307"/>
      <c r="J198" s="307"/>
      <c r="K198" s="307"/>
      <c r="L198" s="309"/>
      <c r="M198" s="307"/>
      <c r="N198" s="310"/>
      <c r="O198" s="307"/>
      <c r="P198" s="307"/>
      <c r="Q198" s="307"/>
      <c r="R198" s="307"/>
      <c r="S198" s="307"/>
      <c r="T198" s="311"/>
      <c r="U198" s="309"/>
      <c r="V198" s="309"/>
      <c r="W198" s="307"/>
      <c r="X198" s="309"/>
      <c r="Y198" s="307"/>
      <c r="Z198" s="307"/>
      <c r="AA198" s="307"/>
      <c r="AB198" s="307"/>
      <c r="AC198" s="307"/>
      <c r="AD198" s="307"/>
      <c r="AE198" s="307"/>
      <c r="AF198" s="307"/>
    </row>
    <row r="199" ht="20.25" customHeight="1">
      <c r="A199" s="311"/>
      <c r="B199" s="307"/>
      <c r="C199" s="307"/>
      <c r="D199" s="307"/>
      <c r="E199" s="307"/>
      <c r="F199" s="307"/>
      <c r="G199" s="307"/>
      <c r="H199" s="308"/>
      <c r="I199" s="307"/>
      <c r="J199" s="307"/>
      <c r="K199" s="307"/>
      <c r="L199" s="309"/>
      <c r="M199" s="307"/>
      <c r="N199" s="310"/>
      <c r="O199" s="307"/>
      <c r="P199" s="307"/>
      <c r="Q199" s="307"/>
      <c r="R199" s="307"/>
      <c r="S199" s="307"/>
      <c r="T199" s="311"/>
      <c r="U199" s="309"/>
      <c r="V199" s="309"/>
      <c r="W199" s="307"/>
      <c r="X199" s="309"/>
      <c r="Y199" s="307"/>
      <c r="Z199" s="307"/>
      <c r="AA199" s="307"/>
      <c r="AB199" s="307"/>
      <c r="AC199" s="307"/>
      <c r="AD199" s="307"/>
      <c r="AE199" s="307"/>
      <c r="AF199" s="307"/>
    </row>
    <row r="200" ht="20.25" customHeight="1">
      <c r="A200" s="311"/>
      <c r="B200" s="307"/>
      <c r="C200" s="307"/>
      <c r="D200" s="307"/>
      <c r="E200" s="307"/>
      <c r="F200" s="307"/>
      <c r="G200" s="307"/>
      <c r="H200" s="308"/>
      <c r="I200" s="307"/>
      <c r="J200" s="307"/>
      <c r="K200" s="307"/>
      <c r="L200" s="309"/>
      <c r="M200" s="307"/>
      <c r="N200" s="310"/>
      <c r="O200" s="307"/>
      <c r="P200" s="307"/>
      <c r="Q200" s="307"/>
      <c r="R200" s="307"/>
      <c r="S200" s="307"/>
      <c r="T200" s="311"/>
      <c r="U200" s="309"/>
      <c r="V200" s="309"/>
      <c r="W200" s="307"/>
      <c r="X200" s="309"/>
      <c r="Y200" s="307"/>
      <c r="Z200" s="307"/>
      <c r="AA200" s="307"/>
      <c r="AB200" s="307"/>
      <c r="AC200" s="307"/>
      <c r="AD200" s="307"/>
      <c r="AE200" s="307"/>
      <c r="AF200" s="307"/>
    </row>
    <row r="201" ht="20.25" customHeight="1">
      <c r="A201" s="311"/>
      <c r="B201" s="307"/>
      <c r="C201" s="307"/>
      <c r="D201" s="307"/>
      <c r="E201" s="307"/>
      <c r="F201" s="307"/>
      <c r="G201" s="307"/>
      <c r="H201" s="308"/>
      <c r="I201" s="307"/>
      <c r="J201" s="307"/>
      <c r="K201" s="307"/>
      <c r="L201" s="309"/>
      <c r="M201" s="307"/>
      <c r="N201" s="310"/>
      <c r="O201" s="307"/>
      <c r="P201" s="307"/>
      <c r="Q201" s="307"/>
      <c r="R201" s="307"/>
      <c r="S201" s="307"/>
      <c r="T201" s="311"/>
      <c r="U201" s="309"/>
      <c r="V201" s="309"/>
      <c r="W201" s="307"/>
      <c r="X201" s="309"/>
      <c r="Y201" s="307"/>
      <c r="Z201" s="307"/>
      <c r="AA201" s="307"/>
      <c r="AB201" s="307"/>
      <c r="AC201" s="307"/>
      <c r="AD201" s="307"/>
      <c r="AE201" s="307"/>
      <c r="AF201" s="307"/>
    </row>
    <row r="202" ht="20.25" customHeight="1">
      <c r="A202" s="311"/>
      <c r="B202" s="307"/>
      <c r="C202" s="307"/>
      <c r="D202" s="307"/>
      <c r="E202" s="307"/>
      <c r="F202" s="307"/>
      <c r="G202" s="307"/>
      <c r="H202" s="308"/>
      <c r="I202" s="307"/>
      <c r="J202" s="307"/>
      <c r="K202" s="307"/>
      <c r="L202" s="309"/>
      <c r="M202" s="307"/>
      <c r="N202" s="310"/>
      <c r="O202" s="307"/>
      <c r="P202" s="307"/>
      <c r="Q202" s="307"/>
      <c r="R202" s="307"/>
      <c r="S202" s="307"/>
      <c r="T202" s="311"/>
      <c r="U202" s="309"/>
      <c r="V202" s="309"/>
      <c r="W202" s="307"/>
      <c r="X202" s="309"/>
      <c r="Y202" s="307"/>
      <c r="Z202" s="307"/>
      <c r="AA202" s="307"/>
      <c r="AB202" s="307"/>
      <c r="AC202" s="307"/>
      <c r="AD202" s="307"/>
      <c r="AE202" s="307"/>
      <c r="AF202" s="307"/>
    </row>
    <row r="203" ht="20.25" customHeight="1">
      <c r="A203" s="311"/>
      <c r="B203" s="307"/>
      <c r="C203" s="307"/>
      <c r="D203" s="307"/>
      <c r="E203" s="307"/>
      <c r="F203" s="307"/>
      <c r="G203" s="307"/>
      <c r="H203" s="308"/>
      <c r="I203" s="307"/>
      <c r="J203" s="307"/>
      <c r="K203" s="307"/>
      <c r="L203" s="309"/>
      <c r="M203" s="307"/>
      <c r="N203" s="310"/>
      <c r="O203" s="307"/>
      <c r="P203" s="307"/>
      <c r="Q203" s="307"/>
      <c r="R203" s="307"/>
      <c r="S203" s="307"/>
      <c r="T203" s="311"/>
      <c r="U203" s="309"/>
      <c r="V203" s="309"/>
      <c r="W203" s="307"/>
      <c r="X203" s="309"/>
      <c r="Y203" s="307"/>
      <c r="Z203" s="307"/>
      <c r="AA203" s="307"/>
      <c r="AB203" s="307"/>
      <c r="AC203" s="307"/>
      <c r="AD203" s="307"/>
      <c r="AE203" s="307"/>
      <c r="AF203" s="307"/>
    </row>
    <row r="204" ht="20.25" customHeight="1">
      <c r="A204" s="311"/>
      <c r="B204" s="307"/>
      <c r="C204" s="307"/>
      <c r="D204" s="307"/>
      <c r="E204" s="307"/>
      <c r="F204" s="307"/>
      <c r="G204" s="307"/>
      <c r="H204" s="308"/>
      <c r="I204" s="307"/>
      <c r="J204" s="307"/>
      <c r="K204" s="307"/>
      <c r="L204" s="309"/>
      <c r="M204" s="307"/>
      <c r="N204" s="310"/>
      <c r="O204" s="307"/>
      <c r="P204" s="307"/>
      <c r="Q204" s="307"/>
      <c r="R204" s="307"/>
      <c r="S204" s="307"/>
      <c r="T204" s="311"/>
      <c r="U204" s="309"/>
      <c r="V204" s="309"/>
      <c r="W204" s="307"/>
      <c r="X204" s="309"/>
      <c r="Y204" s="307"/>
      <c r="Z204" s="307"/>
      <c r="AA204" s="307"/>
      <c r="AB204" s="307"/>
      <c r="AC204" s="307"/>
      <c r="AD204" s="307"/>
      <c r="AE204" s="307"/>
      <c r="AF204" s="307"/>
    </row>
    <row r="205" ht="20.25" customHeight="1">
      <c r="A205" s="311"/>
      <c r="B205" s="307"/>
      <c r="C205" s="307"/>
      <c r="D205" s="307"/>
      <c r="E205" s="307"/>
      <c r="F205" s="307"/>
      <c r="G205" s="307"/>
      <c r="H205" s="308"/>
      <c r="I205" s="307"/>
      <c r="J205" s="307"/>
      <c r="K205" s="307"/>
      <c r="L205" s="309"/>
      <c r="M205" s="307"/>
      <c r="N205" s="310"/>
      <c r="O205" s="307"/>
      <c r="P205" s="307"/>
      <c r="Q205" s="307"/>
      <c r="R205" s="307"/>
      <c r="S205" s="307"/>
      <c r="T205" s="311"/>
      <c r="U205" s="309"/>
      <c r="V205" s="309"/>
      <c r="W205" s="307"/>
      <c r="X205" s="309"/>
      <c r="Y205" s="307"/>
      <c r="Z205" s="307"/>
      <c r="AA205" s="307"/>
      <c r="AB205" s="307"/>
      <c r="AC205" s="307"/>
      <c r="AD205" s="307"/>
      <c r="AE205" s="307"/>
      <c r="AF205" s="307"/>
    </row>
    <row r="206" ht="20.25" customHeight="1">
      <c r="A206" s="311"/>
      <c r="B206" s="307"/>
      <c r="C206" s="307"/>
      <c r="D206" s="307"/>
      <c r="E206" s="307"/>
      <c r="F206" s="307"/>
      <c r="G206" s="307"/>
      <c r="H206" s="308"/>
      <c r="I206" s="307"/>
      <c r="J206" s="307"/>
      <c r="K206" s="307"/>
      <c r="L206" s="309"/>
      <c r="M206" s="307"/>
      <c r="N206" s="310"/>
      <c r="O206" s="307"/>
      <c r="P206" s="307"/>
      <c r="Q206" s="307"/>
      <c r="R206" s="307"/>
      <c r="S206" s="307"/>
      <c r="T206" s="311"/>
      <c r="U206" s="309"/>
      <c r="V206" s="309"/>
      <c r="W206" s="307"/>
      <c r="X206" s="309"/>
      <c r="Y206" s="307"/>
      <c r="Z206" s="307"/>
      <c r="AA206" s="307"/>
      <c r="AB206" s="307"/>
      <c r="AC206" s="307"/>
      <c r="AD206" s="307"/>
      <c r="AE206" s="307"/>
      <c r="AF206" s="307"/>
    </row>
    <row r="207" ht="20.25" customHeight="1">
      <c r="A207" s="311"/>
      <c r="B207" s="307"/>
      <c r="C207" s="307"/>
      <c r="D207" s="307"/>
      <c r="E207" s="307"/>
      <c r="F207" s="307"/>
      <c r="G207" s="307"/>
      <c r="H207" s="308"/>
      <c r="I207" s="307"/>
      <c r="J207" s="307"/>
      <c r="K207" s="307"/>
      <c r="L207" s="309"/>
      <c r="M207" s="307"/>
      <c r="N207" s="310"/>
      <c r="O207" s="307"/>
      <c r="P207" s="307"/>
      <c r="Q207" s="307"/>
      <c r="R207" s="307"/>
      <c r="S207" s="307"/>
      <c r="T207" s="311"/>
      <c r="U207" s="309"/>
      <c r="V207" s="309"/>
      <c r="W207" s="307"/>
      <c r="X207" s="309"/>
      <c r="Y207" s="307"/>
      <c r="Z207" s="307"/>
      <c r="AA207" s="307"/>
      <c r="AB207" s="307"/>
      <c r="AC207" s="307"/>
      <c r="AD207" s="307"/>
      <c r="AE207" s="307"/>
      <c r="AF207" s="307"/>
    </row>
    <row r="208" ht="20.25" customHeight="1">
      <c r="A208" s="311"/>
      <c r="B208" s="307"/>
      <c r="C208" s="307"/>
      <c r="D208" s="307"/>
      <c r="E208" s="307"/>
      <c r="F208" s="307"/>
      <c r="G208" s="307"/>
      <c r="H208" s="308"/>
      <c r="I208" s="307"/>
      <c r="J208" s="307"/>
      <c r="K208" s="307"/>
      <c r="L208" s="309"/>
      <c r="M208" s="307"/>
      <c r="N208" s="310"/>
      <c r="O208" s="307"/>
      <c r="P208" s="307"/>
      <c r="Q208" s="307"/>
      <c r="R208" s="307"/>
      <c r="S208" s="307"/>
      <c r="T208" s="311"/>
      <c r="U208" s="309"/>
      <c r="V208" s="309"/>
      <c r="W208" s="307"/>
      <c r="X208" s="309"/>
      <c r="Y208" s="307"/>
      <c r="Z208" s="307"/>
      <c r="AA208" s="307"/>
      <c r="AB208" s="307"/>
      <c r="AC208" s="307"/>
      <c r="AD208" s="307"/>
      <c r="AE208" s="307"/>
      <c r="AF208" s="307"/>
    </row>
    <row r="209" ht="20.25" customHeight="1">
      <c r="A209" s="311"/>
      <c r="B209" s="307"/>
      <c r="C209" s="307"/>
      <c r="D209" s="307"/>
      <c r="E209" s="307"/>
      <c r="F209" s="307"/>
      <c r="G209" s="307"/>
      <c r="H209" s="308"/>
      <c r="I209" s="307"/>
      <c r="J209" s="307"/>
      <c r="K209" s="307"/>
      <c r="L209" s="309"/>
      <c r="M209" s="307"/>
      <c r="N209" s="310"/>
      <c r="O209" s="307"/>
      <c r="P209" s="307"/>
      <c r="Q209" s="307"/>
      <c r="R209" s="307"/>
      <c r="S209" s="307"/>
      <c r="T209" s="311"/>
      <c r="U209" s="309"/>
      <c r="V209" s="309"/>
      <c r="W209" s="307"/>
      <c r="X209" s="309"/>
      <c r="Y209" s="307"/>
      <c r="Z209" s="307"/>
      <c r="AA209" s="307"/>
      <c r="AB209" s="307"/>
      <c r="AC209" s="307"/>
      <c r="AD209" s="307"/>
      <c r="AE209" s="307"/>
      <c r="AF209" s="307"/>
    </row>
    <row r="210" ht="20.25" customHeight="1">
      <c r="A210" s="311"/>
      <c r="B210" s="307"/>
      <c r="C210" s="307"/>
      <c r="D210" s="307"/>
      <c r="E210" s="307"/>
      <c r="F210" s="307"/>
      <c r="G210" s="307"/>
      <c r="H210" s="308"/>
      <c r="I210" s="307"/>
      <c r="J210" s="307"/>
      <c r="K210" s="307"/>
      <c r="L210" s="309"/>
      <c r="M210" s="307"/>
      <c r="N210" s="310"/>
      <c r="O210" s="307"/>
      <c r="P210" s="307"/>
      <c r="Q210" s="307"/>
      <c r="R210" s="307"/>
      <c r="S210" s="307"/>
      <c r="T210" s="311"/>
      <c r="U210" s="309"/>
      <c r="V210" s="309"/>
      <c r="W210" s="307"/>
      <c r="X210" s="309"/>
      <c r="Y210" s="307"/>
      <c r="Z210" s="307"/>
      <c r="AA210" s="307"/>
      <c r="AB210" s="307"/>
      <c r="AC210" s="307"/>
      <c r="AD210" s="307"/>
      <c r="AE210" s="307"/>
      <c r="AF210" s="307"/>
    </row>
    <row r="211" ht="20.25" customHeight="1">
      <c r="A211" s="311"/>
      <c r="B211" s="307"/>
      <c r="C211" s="307"/>
      <c r="D211" s="307"/>
      <c r="E211" s="307"/>
      <c r="F211" s="307"/>
      <c r="G211" s="307"/>
      <c r="H211" s="308"/>
      <c r="I211" s="307"/>
      <c r="J211" s="307"/>
      <c r="K211" s="307"/>
      <c r="L211" s="309"/>
      <c r="M211" s="307"/>
      <c r="N211" s="310"/>
      <c r="O211" s="307"/>
      <c r="P211" s="307"/>
      <c r="Q211" s="307"/>
      <c r="R211" s="307"/>
      <c r="S211" s="307"/>
      <c r="T211" s="311"/>
      <c r="U211" s="309"/>
      <c r="V211" s="309"/>
      <c r="W211" s="307"/>
      <c r="X211" s="309"/>
      <c r="Y211" s="307"/>
      <c r="Z211" s="307"/>
      <c r="AA211" s="307"/>
      <c r="AB211" s="307"/>
      <c r="AC211" s="307"/>
      <c r="AD211" s="307"/>
      <c r="AE211" s="307"/>
      <c r="AF211" s="307"/>
    </row>
    <row r="212" ht="20.25" customHeight="1">
      <c r="A212" s="311"/>
      <c r="B212" s="307"/>
      <c r="C212" s="307"/>
      <c r="D212" s="307"/>
      <c r="E212" s="307"/>
      <c r="F212" s="307"/>
      <c r="G212" s="307"/>
      <c r="H212" s="308"/>
      <c r="I212" s="307"/>
      <c r="J212" s="307"/>
      <c r="K212" s="307"/>
      <c r="L212" s="309"/>
      <c r="M212" s="307"/>
      <c r="N212" s="310"/>
      <c r="O212" s="307"/>
      <c r="P212" s="307"/>
      <c r="Q212" s="307"/>
      <c r="R212" s="307"/>
      <c r="S212" s="307"/>
      <c r="T212" s="311"/>
      <c r="U212" s="309"/>
      <c r="V212" s="309"/>
      <c r="W212" s="307"/>
      <c r="X212" s="309"/>
      <c r="Y212" s="307"/>
      <c r="Z212" s="307"/>
      <c r="AA212" s="307"/>
      <c r="AB212" s="307"/>
      <c r="AC212" s="307"/>
      <c r="AD212" s="307"/>
      <c r="AE212" s="307"/>
      <c r="AF212" s="307"/>
    </row>
    <row r="213" ht="20.25" customHeight="1">
      <c r="A213" s="311"/>
      <c r="B213" s="307"/>
      <c r="C213" s="307"/>
      <c r="D213" s="307"/>
      <c r="E213" s="307"/>
      <c r="F213" s="307"/>
      <c r="G213" s="307"/>
      <c r="H213" s="308"/>
      <c r="I213" s="307"/>
      <c r="J213" s="307"/>
      <c r="K213" s="307"/>
      <c r="L213" s="309"/>
      <c r="M213" s="307"/>
      <c r="N213" s="310"/>
      <c r="O213" s="307"/>
      <c r="P213" s="307"/>
      <c r="Q213" s="307"/>
      <c r="R213" s="307"/>
      <c r="S213" s="307"/>
      <c r="T213" s="311"/>
      <c r="U213" s="309"/>
      <c r="V213" s="309"/>
      <c r="W213" s="307"/>
      <c r="X213" s="309"/>
      <c r="Y213" s="307"/>
      <c r="Z213" s="307"/>
      <c r="AA213" s="307"/>
      <c r="AB213" s="307"/>
      <c r="AC213" s="307"/>
      <c r="AD213" s="307"/>
      <c r="AE213" s="307"/>
      <c r="AF213" s="307"/>
    </row>
    <row r="214" ht="20.25" customHeight="1">
      <c r="A214" s="311"/>
      <c r="B214" s="307"/>
      <c r="C214" s="307"/>
      <c r="D214" s="307"/>
      <c r="E214" s="307"/>
      <c r="F214" s="307"/>
      <c r="G214" s="307"/>
      <c r="H214" s="308"/>
      <c r="I214" s="307"/>
      <c r="J214" s="307"/>
      <c r="K214" s="307"/>
      <c r="L214" s="309"/>
      <c r="M214" s="307"/>
      <c r="N214" s="310"/>
      <c r="O214" s="307"/>
      <c r="P214" s="307"/>
      <c r="Q214" s="307"/>
      <c r="R214" s="307"/>
      <c r="S214" s="307"/>
      <c r="T214" s="311"/>
      <c r="U214" s="309"/>
      <c r="V214" s="309"/>
      <c r="W214" s="307"/>
      <c r="X214" s="309"/>
      <c r="Y214" s="307"/>
      <c r="Z214" s="307"/>
      <c r="AA214" s="307"/>
      <c r="AB214" s="307"/>
      <c r="AC214" s="307"/>
      <c r="AD214" s="307"/>
      <c r="AE214" s="307"/>
      <c r="AF214" s="307"/>
    </row>
    <row r="215" ht="20.25" customHeight="1">
      <c r="A215" s="311"/>
      <c r="B215" s="307"/>
      <c r="C215" s="307"/>
      <c r="D215" s="307"/>
      <c r="E215" s="307"/>
      <c r="F215" s="307"/>
      <c r="G215" s="307"/>
      <c r="H215" s="308"/>
      <c r="I215" s="307"/>
      <c r="J215" s="307"/>
      <c r="K215" s="307"/>
      <c r="L215" s="309"/>
      <c r="M215" s="307"/>
      <c r="N215" s="310"/>
      <c r="O215" s="307"/>
      <c r="P215" s="307"/>
      <c r="Q215" s="307"/>
      <c r="R215" s="307"/>
      <c r="S215" s="307"/>
      <c r="T215" s="311"/>
      <c r="U215" s="309"/>
      <c r="V215" s="309"/>
      <c r="W215" s="307"/>
      <c r="X215" s="309"/>
      <c r="Y215" s="307"/>
      <c r="Z215" s="307"/>
      <c r="AA215" s="307"/>
      <c r="AB215" s="307"/>
      <c r="AC215" s="307"/>
      <c r="AD215" s="307"/>
      <c r="AE215" s="307"/>
      <c r="AF215" s="307"/>
    </row>
    <row r="216" ht="20.25" customHeight="1">
      <c r="A216" s="311"/>
      <c r="B216" s="307"/>
      <c r="C216" s="307"/>
      <c r="D216" s="307"/>
      <c r="E216" s="307"/>
      <c r="F216" s="307"/>
      <c r="G216" s="307"/>
      <c r="H216" s="308"/>
      <c r="I216" s="307"/>
      <c r="J216" s="307"/>
      <c r="K216" s="307"/>
      <c r="L216" s="309"/>
      <c r="M216" s="307"/>
      <c r="N216" s="310"/>
      <c r="O216" s="307"/>
      <c r="P216" s="307"/>
      <c r="Q216" s="307"/>
      <c r="R216" s="307"/>
      <c r="S216" s="307"/>
      <c r="T216" s="311"/>
      <c r="U216" s="309"/>
      <c r="V216" s="309"/>
      <c r="W216" s="307"/>
      <c r="X216" s="309"/>
      <c r="Y216" s="307"/>
      <c r="Z216" s="307"/>
      <c r="AA216" s="307"/>
      <c r="AB216" s="307"/>
      <c r="AC216" s="307"/>
      <c r="AD216" s="307"/>
      <c r="AE216" s="307"/>
      <c r="AF216" s="307"/>
    </row>
    <row r="217" ht="20.25" customHeight="1">
      <c r="A217" s="311"/>
      <c r="B217" s="307"/>
      <c r="C217" s="307"/>
      <c r="D217" s="307"/>
      <c r="E217" s="307"/>
      <c r="F217" s="307"/>
      <c r="G217" s="307"/>
      <c r="H217" s="308"/>
      <c r="I217" s="307"/>
      <c r="J217" s="307"/>
      <c r="K217" s="307"/>
      <c r="L217" s="309"/>
      <c r="M217" s="307"/>
      <c r="N217" s="310"/>
      <c r="O217" s="307"/>
      <c r="P217" s="307"/>
      <c r="Q217" s="307"/>
      <c r="R217" s="307"/>
      <c r="S217" s="307"/>
      <c r="T217" s="311"/>
      <c r="U217" s="309"/>
      <c r="V217" s="309"/>
      <c r="W217" s="307"/>
      <c r="X217" s="309"/>
      <c r="Y217" s="307"/>
      <c r="Z217" s="307"/>
      <c r="AA217" s="307"/>
      <c r="AB217" s="307"/>
      <c r="AC217" s="307"/>
      <c r="AD217" s="307"/>
      <c r="AE217" s="307"/>
      <c r="AF217" s="307"/>
    </row>
    <row r="218" ht="20.25" customHeight="1">
      <c r="A218" s="311"/>
      <c r="B218" s="307"/>
      <c r="C218" s="307"/>
      <c r="D218" s="307"/>
      <c r="E218" s="307"/>
      <c r="F218" s="307"/>
      <c r="G218" s="307"/>
      <c r="H218" s="308"/>
      <c r="I218" s="307"/>
      <c r="J218" s="307"/>
      <c r="K218" s="307"/>
      <c r="L218" s="309"/>
      <c r="M218" s="307"/>
      <c r="N218" s="310"/>
      <c r="O218" s="307"/>
      <c r="P218" s="307"/>
      <c r="Q218" s="307"/>
      <c r="R218" s="307"/>
      <c r="S218" s="307"/>
      <c r="T218" s="311"/>
      <c r="U218" s="309"/>
      <c r="V218" s="309"/>
      <c r="W218" s="307"/>
      <c r="X218" s="309"/>
      <c r="Y218" s="307"/>
      <c r="Z218" s="307"/>
      <c r="AA218" s="307"/>
      <c r="AB218" s="307"/>
      <c r="AC218" s="307"/>
      <c r="AD218" s="307"/>
      <c r="AE218" s="307"/>
      <c r="AF218" s="307"/>
    </row>
    <row r="219" ht="20.25" customHeight="1">
      <c r="A219" s="311"/>
      <c r="B219" s="307"/>
      <c r="C219" s="307"/>
      <c r="D219" s="307"/>
      <c r="E219" s="307"/>
      <c r="F219" s="307"/>
      <c r="G219" s="307"/>
      <c r="H219" s="308"/>
      <c r="I219" s="307"/>
      <c r="J219" s="307"/>
      <c r="K219" s="307"/>
      <c r="L219" s="309"/>
      <c r="M219" s="307"/>
      <c r="N219" s="310"/>
      <c r="O219" s="307"/>
      <c r="P219" s="307"/>
      <c r="Q219" s="307"/>
      <c r="R219" s="307"/>
      <c r="S219" s="307"/>
      <c r="T219" s="311"/>
      <c r="U219" s="309"/>
      <c r="V219" s="309"/>
      <c r="W219" s="307"/>
      <c r="X219" s="309"/>
      <c r="Y219" s="307"/>
      <c r="Z219" s="307"/>
      <c r="AA219" s="307"/>
      <c r="AB219" s="307"/>
      <c r="AC219" s="307"/>
      <c r="AD219" s="307"/>
      <c r="AE219" s="307"/>
      <c r="AF219" s="307"/>
    </row>
    <row r="220" ht="20.25" customHeight="1">
      <c r="A220" s="311"/>
      <c r="B220" s="307"/>
      <c r="C220" s="307"/>
      <c r="D220" s="307"/>
      <c r="E220" s="307"/>
      <c r="F220" s="307"/>
      <c r="G220" s="307"/>
      <c r="H220" s="308"/>
      <c r="I220" s="307"/>
      <c r="J220" s="307"/>
      <c r="K220" s="307"/>
      <c r="L220" s="309"/>
      <c r="M220" s="307"/>
      <c r="N220" s="310"/>
      <c r="O220" s="307"/>
      <c r="P220" s="307"/>
      <c r="Q220" s="307"/>
      <c r="R220" s="307"/>
      <c r="S220" s="307"/>
      <c r="T220" s="311"/>
      <c r="U220" s="309"/>
      <c r="V220" s="309"/>
      <c r="W220" s="307"/>
      <c r="X220" s="309"/>
      <c r="Y220" s="307"/>
      <c r="Z220" s="307"/>
      <c r="AA220" s="307"/>
      <c r="AB220" s="307"/>
      <c r="AC220" s="307"/>
      <c r="AD220" s="307"/>
      <c r="AE220" s="307"/>
      <c r="AF220" s="307"/>
    </row>
    <row r="221" ht="20.25" customHeight="1">
      <c r="A221" s="311"/>
      <c r="B221" s="307"/>
      <c r="C221" s="307"/>
      <c r="D221" s="307"/>
      <c r="E221" s="307"/>
      <c r="F221" s="307"/>
      <c r="G221" s="307"/>
      <c r="H221" s="308"/>
      <c r="I221" s="307"/>
      <c r="J221" s="307"/>
      <c r="K221" s="307"/>
      <c r="L221" s="309"/>
      <c r="M221" s="307"/>
      <c r="N221" s="310"/>
      <c r="O221" s="307"/>
      <c r="P221" s="307"/>
      <c r="Q221" s="307"/>
      <c r="R221" s="307"/>
      <c r="S221" s="307"/>
      <c r="T221" s="311"/>
      <c r="U221" s="309"/>
      <c r="V221" s="309"/>
      <c r="W221" s="307"/>
      <c r="X221" s="309"/>
      <c r="Y221" s="307"/>
      <c r="Z221" s="307"/>
      <c r="AA221" s="307"/>
      <c r="AB221" s="307"/>
      <c r="AC221" s="307"/>
      <c r="AD221" s="307"/>
      <c r="AE221" s="307"/>
      <c r="AF221" s="307"/>
    </row>
    <row r="222" ht="20.25" customHeight="1">
      <c r="A222" s="311"/>
      <c r="B222" s="307"/>
      <c r="C222" s="307"/>
      <c r="D222" s="307"/>
      <c r="E222" s="307"/>
      <c r="F222" s="307"/>
      <c r="G222" s="307"/>
      <c r="H222" s="308"/>
      <c r="I222" s="307"/>
      <c r="J222" s="307"/>
      <c r="K222" s="307"/>
      <c r="L222" s="309"/>
      <c r="M222" s="307"/>
      <c r="N222" s="310"/>
      <c r="O222" s="307"/>
      <c r="P222" s="307"/>
      <c r="Q222" s="307"/>
      <c r="R222" s="307"/>
      <c r="S222" s="307"/>
      <c r="T222" s="311"/>
      <c r="U222" s="309"/>
      <c r="V222" s="309"/>
      <c r="W222" s="307"/>
      <c r="X222" s="309"/>
      <c r="Y222" s="307"/>
      <c r="Z222" s="307"/>
      <c r="AA222" s="307"/>
      <c r="AB222" s="307"/>
      <c r="AC222" s="307"/>
      <c r="AD222" s="307"/>
      <c r="AE222" s="307"/>
      <c r="AF222" s="307"/>
    </row>
    <row r="223" ht="20.25" customHeight="1">
      <c r="A223" s="311"/>
      <c r="B223" s="307"/>
      <c r="C223" s="307"/>
      <c r="D223" s="307"/>
      <c r="E223" s="307"/>
      <c r="F223" s="307"/>
      <c r="G223" s="307"/>
      <c r="H223" s="308"/>
      <c r="I223" s="307"/>
      <c r="J223" s="307"/>
      <c r="K223" s="307"/>
      <c r="L223" s="309"/>
      <c r="M223" s="307"/>
      <c r="N223" s="310"/>
      <c r="O223" s="307"/>
      <c r="P223" s="307"/>
      <c r="Q223" s="307"/>
      <c r="R223" s="307"/>
      <c r="S223" s="307"/>
      <c r="T223" s="311"/>
      <c r="U223" s="309"/>
      <c r="V223" s="309"/>
      <c r="W223" s="307"/>
      <c r="X223" s="309"/>
      <c r="Y223" s="307"/>
      <c r="Z223" s="307"/>
      <c r="AA223" s="307"/>
      <c r="AB223" s="307"/>
      <c r="AC223" s="307"/>
      <c r="AD223" s="307"/>
      <c r="AE223" s="307"/>
      <c r="AF223" s="307"/>
    </row>
    <row r="224" ht="20.25" customHeight="1">
      <c r="A224" s="311"/>
      <c r="B224" s="307"/>
      <c r="C224" s="307"/>
      <c r="D224" s="307"/>
      <c r="E224" s="307"/>
      <c r="F224" s="307"/>
      <c r="G224" s="307"/>
      <c r="H224" s="308"/>
      <c r="I224" s="307"/>
      <c r="J224" s="307"/>
      <c r="K224" s="307"/>
      <c r="L224" s="309"/>
      <c r="M224" s="307"/>
      <c r="N224" s="310"/>
      <c r="O224" s="307"/>
      <c r="P224" s="307"/>
      <c r="Q224" s="307"/>
      <c r="R224" s="307"/>
      <c r="S224" s="307"/>
      <c r="T224" s="311"/>
      <c r="U224" s="309"/>
      <c r="V224" s="309"/>
      <c r="W224" s="307"/>
      <c r="X224" s="309"/>
      <c r="Y224" s="307"/>
      <c r="Z224" s="307"/>
      <c r="AA224" s="307"/>
      <c r="AB224" s="307"/>
      <c r="AC224" s="307"/>
      <c r="AD224" s="307"/>
      <c r="AE224" s="307"/>
      <c r="AF224" s="307"/>
    </row>
    <row r="225" ht="20.25" customHeight="1">
      <c r="A225" s="311"/>
      <c r="B225" s="307"/>
      <c r="C225" s="307"/>
      <c r="D225" s="307"/>
      <c r="E225" s="307"/>
      <c r="F225" s="307"/>
      <c r="G225" s="307"/>
      <c r="H225" s="308"/>
      <c r="I225" s="307"/>
      <c r="J225" s="307"/>
      <c r="K225" s="307"/>
      <c r="L225" s="309"/>
      <c r="M225" s="307"/>
      <c r="N225" s="310"/>
      <c r="O225" s="307"/>
      <c r="P225" s="307"/>
      <c r="Q225" s="307"/>
      <c r="R225" s="307"/>
      <c r="S225" s="307"/>
      <c r="T225" s="311"/>
      <c r="U225" s="309"/>
      <c r="V225" s="309"/>
      <c r="W225" s="307"/>
      <c r="X225" s="309"/>
      <c r="Y225" s="307"/>
      <c r="Z225" s="307"/>
      <c r="AA225" s="307"/>
      <c r="AB225" s="307"/>
      <c r="AC225" s="307"/>
      <c r="AD225" s="307"/>
      <c r="AE225" s="307"/>
      <c r="AF225" s="307"/>
    </row>
    <row r="226" ht="20.25" customHeight="1">
      <c r="A226" s="311"/>
      <c r="B226" s="307"/>
      <c r="C226" s="307"/>
      <c r="D226" s="307"/>
      <c r="E226" s="307"/>
      <c r="F226" s="307"/>
      <c r="G226" s="307"/>
      <c r="H226" s="308"/>
      <c r="I226" s="307"/>
      <c r="J226" s="307"/>
      <c r="K226" s="307"/>
      <c r="L226" s="309"/>
      <c r="M226" s="307"/>
      <c r="N226" s="310"/>
      <c r="O226" s="307"/>
      <c r="P226" s="307"/>
      <c r="Q226" s="307"/>
      <c r="R226" s="307"/>
      <c r="S226" s="307"/>
      <c r="T226" s="311"/>
      <c r="U226" s="309"/>
      <c r="V226" s="309"/>
      <c r="W226" s="307"/>
      <c r="X226" s="309"/>
      <c r="Y226" s="307"/>
      <c r="Z226" s="307"/>
      <c r="AA226" s="307"/>
      <c r="AB226" s="307"/>
      <c r="AC226" s="307"/>
      <c r="AD226" s="307"/>
      <c r="AE226" s="307"/>
      <c r="AF226" s="307"/>
    </row>
    <row r="227" ht="20.25" customHeight="1">
      <c r="A227" s="311"/>
      <c r="B227" s="307"/>
      <c r="C227" s="307"/>
      <c r="D227" s="307"/>
      <c r="E227" s="307"/>
      <c r="F227" s="307"/>
      <c r="G227" s="307"/>
      <c r="H227" s="308"/>
      <c r="I227" s="307"/>
      <c r="J227" s="307"/>
      <c r="K227" s="307"/>
      <c r="L227" s="309"/>
      <c r="M227" s="307"/>
      <c r="N227" s="310"/>
      <c r="O227" s="307"/>
      <c r="P227" s="307"/>
      <c r="Q227" s="307"/>
      <c r="R227" s="307"/>
      <c r="S227" s="307"/>
      <c r="T227" s="311"/>
      <c r="U227" s="309"/>
      <c r="V227" s="309"/>
      <c r="W227" s="307"/>
      <c r="X227" s="309"/>
      <c r="Y227" s="307"/>
      <c r="Z227" s="307"/>
      <c r="AA227" s="307"/>
      <c r="AB227" s="307"/>
      <c r="AC227" s="307"/>
      <c r="AD227" s="307"/>
      <c r="AE227" s="307"/>
      <c r="AF227" s="307"/>
    </row>
    <row r="228" ht="20.25" customHeight="1">
      <c r="A228" s="311"/>
      <c r="B228" s="307"/>
      <c r="C228" s="307"/>
      <c r="D228" s="307"/>
      <c r="E228" s="307"/>
      <c r="F228" s="307"/>
      <c r="G228" s="307"/>
      <c r="H228" s="308"/>
      <c r="I228" s="307"/>
      <c r="J228" s="307"/>
      <c r="K228" s="307"/>
      <c r="L228" s="309"/>
      <c r="M228" s="307"/>
      <c r="N228" s="310"/>
      <c r="O228" s="307"/>
      <c r="P228" s="307"/>
      <c r="Q228" s="307"/>
      <c r="R228" s="307"/>
      <c r="S228" s="307"/>
      <c r="T228" s="311"/>
      <c r="U228" s="309"/>
      <c r="V228" s="309"/>
      <c r="W228" s="307"/>
      <c r="X228" s="309"/>
      <c r="Y228" s="307"/>
      <c r="Z228" s="307"/>
      <c r="AA228" s="307"/>
      <c r="AB228" s="307"/>
      <c r="AC228" s="307"/>
      <c r="AD228" s="307"/>
      <c r="AE228" s="307"/>
      <c r="AF228" s="307"/>
    </row>
    <row r="229" ht="20.25" customHeight="1">
      <c r="A229" s="311"/>
      <c r="B229" s="307"/>
      <c r="C229" s="307"/>
      <c r="D229" s="307"/>
      <c r="E229" s="307"/>
      <c r="F229" s="307"/>
      <c r="G229" s="307"/>
      <c r="H229" s="308"/>
      <c r="I229" s="307"/>
      <c r="J229" s="307"/>
      <c r="K229" s="307"/>
      <c r="L229" s="309"/>
      <c r="M229" s="307"/>
      <c r="N229" s="310"/>
      <c r="O229" s="307"/>
      <c r="P229" s="307"/>
      <c r="Q229" s="307"/>
      <c r="R229" s="307"/>
      <c r="S229" s="307"/>
      <c r="T229" s="311"/>
      <c r="U229" s="309"/>
      <c r="V229" s="309"/>
      <c r="W229" s="307"/>
      <c r="X229" s="309"/>
      <c r="Y229" s="307"/>
      <c r="Z229" s="307"/>
      <c r="AA229" s="307"/>
      <c r="AB229" s="307"/>
      <c r="AC229" s="307"/>
      <c r="AD229" s="307"/>
      <c r="AE229" s="307"/>
      <c r="AF229" s="307"/>
    </row>
    <row r="230" ht="20.25" customHeight="1">
      <c r="A230" s="311"/>
      <c r="B230" s="307"/>
      <c r="C230" s="307"/>
      <c r="D230" s="307"/>
      <c r="E230" s="307"/>
      <c r="F230" s="307"/>
      <c r="G230" s="307"/>
      <c r="H230" s="308"/>
      <c r="I230" s="307"/>
      <c r="J230" s="307"/>
      <c r="K230" s="307"/>
      <c r="L230" s="309"/>
      <c r="M230" s="307"/>
      <c r="N230" s="310"/>
      <c r="O230" s="307"/>
      <c r="P230" s="307"/>
      <c r="Q230" s="307"/>
      <c r="R230" s="307"/>
      <c r="S230" s="307"/>
      <c r="T230" s="311"/>
      <c r="U230" s="309"/>
      <c r="V230" s="309"/>
      <c r="W230" s="307"/>
      <c r="X230" s="309"/>
      <c r="Y230" s="307"/>
      <c r="Z230" s="307"/>
      <c r="AA230" s="307"/>
      <c r="AB230" s="307"/>
      <c r="AC230" s="307"/>
      <c r="AD230" s="307"/>
      <c r="AE230" s="307"/>
      <c r="AF230" s="307"/>
    </row>
    <row r="231" ht="20.25" customHeight="1">
      <c r="A231" s="311"/>
      <c r="B231" s="307"/>
      <c r="C231" s="307"/>
      <c r="D231" s="307"/>
      <c r="E231" s="307"/>
      <c r="F231" s="307"/>
      <c r="G231" s="307"/>
      <c r="H231" s="308"/>
      <c r="I231" s="307"/>
      <c r="J231" s="307"/>
      <c r="K231" s="307"/>
      <c r="L231" s="309"/>
      <c r="M231" s="307"/>
      <c r="N231" s="310"/>
      <c r="O231" s="307"/>
      <c r="P231" s="307"/>
      <c r="Q231" s="307"/>
      <c r="R231" s="307"/>
      <c r="S231" s="307"/>
      <c r="T231" s="311"/>
      <c r="U231" s="309"/>
      <c r="V231" s="309"/>
      <c r="W231" s="307"/>
      <c r="X231" s="309"/>
      <c r="Y231" s="307"/>
      <c r="Z231" s="307"/>
      <c r="AA231" s="307"/>
      <c r="AB231" s="307"/>
      <c r="AC231" s="307"/>
      <c r="AD231" s="307"/>
      <c r="AE231" s="307"/>
      <c r="AF231" s="307"/>
    </row>
    <row r="232" ht="20.25" customHeight="1">
      <c r="A232" s="311"/>
      <c r="B232" s="307"/>
      <c r="C232" s="307"/>
      <c r="D232" s="307"/>
      <c r="E232" s="307"/>
      <c r="F232" s="307"/>
      <c r="G232" s="307"/>
      <c r="H232" s="308"/>
      <c r="I232" s="307"/>
      <c r="J232" s="307"/>
      <c r="K232" s="307"/>
      <c r="L232" s="309"/>
      <c r="M232" s="307"/>
      <c r="N232" s="310"/>
      <c r="O232" s="307"/>
      <c r="P232" s="307"/>
      <c r="Q232" s="307"/>
      <c r="R232" s="307"/>
      <c r="S232" s="307"/>
      <c r="T232" s="311"/>
      <c r="U232" s="309"/>
      <c r="V232" s="309"/>
      <c r="W232" s="307"/>
      <c r="X232" s="309"/>
      <c r="Y232" s="307"/>
      <c r="Z232" s="307"/>
      <c r="AA232" s="307"/>
      <c r="AB232" s="307"/>
      <c r="AC232" s="307"/>
      <c r="AD232" s="307"/>
      <c r="AE232" s="307"/>
      <c r="AF232" s="307"/>
    </row>
    <row r="233" ht="20.25" customHeight="1">
      <c r="A233" s="311"/>
      <c r="B233" s="307"/>
      <c r="C233" s="307"/>
      <c r="D233" s="307"/>
      <c r="E233" s="307"/>
      <c r="F233" s="307"/>
      <c r="G233" s="307"/>
      <c r="H233" s="308"/>
      <c r="I233" s="307"/>
      <c r="J233" s="307"/>
      <c r="K233" s="307"/>
      <c r="L233" s="309"/>
      <c r="M233" s="307"/>
      <c r="N233" s="310"/>
      <c r="O233" s="307"/>
      <c r="P233" s="307"/>
      <c r="Q233" s="307"/>
      <c r="R233" s="307"/>
      <c r="S233" s="307"/>
      <c r="T233" s="311"/>
      <c r="U233" s="309"/>
      <c r="V233" s="309"/>
      <c r="W233" s="307"/>
      <c r="X233" s="309"/>
      <c r="Y233" s="307"/>
      <c r="Z233" s="307"/>
      <c r="AA233" s="307"/>
      <c r="AB233" s="307"/>
      <c r="AC233" s="307"/>
      <c r="AD233" s="307"/>
      <c r="AE233" s="307"/>
      <c r="AF233" s="307"/>
    </row>
    <row r="234" ht="20.25" customHeight="1">
      <c r="A234" s="311"/>
      <c r="B234" s="307"/>
      <c r="C234" s="307"/>
      <c r="D234" s="307"/>
      <c r="E234" s="307"/>
      <c r="F234" s="307"/>
      <c r="G234" s="307"/>
      <c r="H234" s="308"/>
      <c r="I234" s="307"/>
      <c r="J234" s="307"/>
      <c r="K234" s="307"/>
      <c r="L234" s="309"/>
      <c r="M234" s="307"/>
      <c r="N234" s="310"/>
      <c r="O234" s="307"/>
      <c r="P234" s="307"/>
      <c r="Q234" s="307"/>
      <c r="R234" s="307"/>
      <c r="S234" s="307"/>
      <c r="T234" s="311"/>
      <c r="U234" s="309"/>
      <c r="V234" s="309"/>
      <c r="W234" s="307"/>
      <c r="X234" s="309"/>
      <c r="Y234" s="307"/>
      <c r="Z234" s="307"/>
      <c r="AA234" s="307"/>
      <c r="AB234" s="307"/>
      <c r="AC234" s="307"/>
      <c r="AD234" s="307"/>
      <c r="AE234" s="307"/>
      <c r="AF234" s="307"/>
    </row>
    <row r="235" ht="20.25" customHeight="1">
      <c r="A235" s="311"/>
      <c r="B235" s="307"/>
      <c r="C235" s="307"/>
      <c r="D235" s="307"/>
      <c r="E235" s="307"/>
      <c r="F235" s="307"/>
      <c r="G235" s="307"/>
      <c r="H235" s="308"/>
      <c r="I235" s="307"/>
      <c r="J235" s="307"/>
      <c r="K235" s="307"/>
      <c r="L235" s="309"/>
      <c r="M235" s="307"/>
      <c r="N235" s="310"/>
      <c r="O235" s="307"/>
      <c r="P235" s="307"/>
      <c r="Q235" s="307"/>
      <c r="R235" s="307"/>
      <c r="S235" s="307"/>
      <c r="T235" s="311"/>
      <c r="U235" s="309"/>
      <c r="V235" s="309"/>
      <c r="W235" s="307"/>
      <c r="X235" s="309"/>
      <c r="Y235" s="307"/>
      <c r="Z235" s="307"/>
      <c r="AA235" s="307"/>
      <c r="AB235" s="307"/>
      <c r="AC235" s="307"/>
      <c r="AD235" s="307"/>
      <c r="AE235" s="307"/>
      <c r="AF235" s="307"/>
    </row>
    <row r="236" ht="20.25" customHeight="1">
      <c r="A236" s="311"/>
      <c r="B236" s="307"/>
      <c r="C236" s="307"/>
      <c r="D236" s="307"/>
      <c r="E236" s="307"/>
      <c r="F236" s="307"/>
      <c r="G236" s="307"/>
      <c r="H236" s="308"/>
      <c r="I236" s="307"/>
      <c r="J236" s="307"/>
      <c r="K236" s="307"/>
      <c r="L236" s="309"/>
      <c r="M236" s="307"/>
      <c r="N236" s="310"/>
      <c r="O236" s="307"/>
      <c r="P236" s="307"/>
      <c r="Q236" s="307"/>
      <c r="R236" s="307"/>
      <c r="S236" s="307"/>
      <c r="T236" s="311"/>
      <c r="U236" s="309"/>
      <c r="V236" s="309"/>
      <c r="W236" s="307"/>
      <c r="X236" s="309"/>
      <c r="Y236" s="307"/>
      <c r="Z236" s="307"/>
      <c r="AA236" s="307"/>
      <c r="AB236" s="307"/>
      <c r="AC236" s="307"/>
      <c r="AD236" s="307"/>
      <c r="AE236" s="307"/>
      <c r="AF236" s="307"/>
    </row>
    <row r="237" ht="20.25" customHeight="1">
      <c r="A237" s="311"/>
      <c r="B237" s="307"/>
      <c r="C237" s="307"/>
      <c r="D237" s="307"/>
      <c r="E237" s="307"/>
      <c r="F237" s="307"/>
      <c r="G237" s="307"/>
      <c r="H237" s="308"/>
      <c r="I237" s="307"/>
      <c r="J237" s="307"/>
      <c r="K237" s="307"/>
      <c r="L237" s="309"/>
      <c r="M237" s="307"/>
      <c r="N237" s="310"/>
      <c r="O237" s="307"/>
      <c r="P237" s="307"/>
      <c r="Q237" s="307"/>
      <c r="R237" s="307"/>
      <c r="S237" s="307"/>
      <c r="T237" s="311"/>
      <c r="U237" s="309"/>
      <c r="V237" s="309"/>
      <c r="W237" s="307"/>
      <c r="X237" s="309"/>
      <c r="Y237" s="307"/>
      <c r="Z237" s="307"/>
      <c r="AA237" s="307"/>
      <c r="AB237" s="307"/>
      <c r="AC237" s="307"/>
      <c r="AD237" s="307"/>
      <c r="AE237" s="307"/>
      <c r="AF237" s="307"/>
    </row>
    <row r="238" ht="20.25" customHeight="1">
      <c r="A238" s="311"/>
      <c r="B238" s="307"/>
      <c r="C238" s="307"/>
      <c r="D238" s="307"/>
      <c r="E238" s="307"/>
      <c r="F238" s="307"/>
      <c r="G238" s="307"/>
      <c r="H238" s="308"/>
      <c r="I238" s="307"/>
      <c r="J238" s="307"/>
      <c r="K238" s="307"/>
      <c r="L238" s="309"/>
      <c r="M238" s="307"/>
      <c r="N238" s="310"/>
      <c r="O238" s="307"/>
      <c r="P238" s="307"/>
      <c r="Q238" s="307"/>
      <c r="R238" s="307"/>
      <c r="S238" s="307"/>
      <c r="T238" s="311"/>
      <c r="U238" s="309"/>
      <c r="V238" s="309"/>
      <c r="W238" s="307"/>
      <c r="X238" s="309"/>
      <c r="Y238" s="307"/>
      <c r="Z238" s="307"/>
      <c r="AA238" s="307"/>
      <c r="AB238" s="307"/>
      <c r="AC238" s="307"/>
      <c r="AD238" s="307"/>
      <c r="AE238" s="307"/>
      <c r="AF238" s="307"/>
    </row>
    <row r="239" ht="20.25" customHeight="1">
      <c r="A239" s="311"/>
      <c r="B239" s="307"/>
      <c r="C239" s="307"/>
      <c r="D239" s="307"/>
      <c r="E239" s="307"/>
      <c r="F239" s="307"/>
      <c r="G239" s="307"/>
      <c r="H239" s="308"/>
      <c r="I239" s="307"/>
      <c r="J239" s="307"/>
      <c r="K239" s="307"/>
      <c r="L239" s="309"/>
      <c r="M239" s="307"/>
      <c r="N239" s="310"/>
      <c r="O239" s="307"/>
      <c r="P239" s="307"/>
      <c r="Q239" s="307"/>
      <c r="R239" s="307"/>
      <c r="S239" s="307"/>
      <c r="T239" s="311"/>
      <c r="U239" s="309"/>
      <c r="V239" s="309"/>
      <c r="W239" s="307"/>
      <c r="X239" s="309"/>
      <c r="Y239" s="307"/>
      <c r="Z239" s="307"/>
      <c r="AA239" s="307"/>
      <c r="AB239" s="307"/>
      <c r="AC239" s="307"/>
      <c r="AD239" s="307"/>
      <c r="AE239" s="307"/>
      <c r="AF239" s="307"/>
    </row>
    <row r="240" ht="20.25" customHeight="1">
      <c r="A240" s="311"/>
      <c r="B240" s="307"/>
      <c r="C240" s="307"/>
      <c r="D240" s="307"/>
      <c r="E240" s="307"/>
      <c r="F240" s="307"/>
      <c r="G240" s="307"/>
      <c r="H240" s="308"/>
      <c r="I240" s="307"/>
      <c r="J240" s="307"/>
      <c r="K240" s="307"/>
      <c r="L240" s="309"/>
      <c r="M240" s="307"/>
      <c r="N240" s="310"/>
      <c r="O240" s="307"/>
      <c r="P240" s="307"/>
      <c r="Q240" s="307"/>
      <c r="R240" s="307"/>
      <c r="S240" s="307"/>
      <c r="T240" s="311"/>
      <c r="U240" s="309"/>
      <c r="V240" s="309"/>
      <c r="W240" s="307"/>
      <c r="X240" s="309"/>
      <c r="Y240" s="307"/>
      <c r="Z240" s="307"/>
      <c r="AA240" s="307"/>
      <c r="AB240" s="307"/>
      <c r="AC240" s="307"/>
      <c r="AD240" s="307"/>
      <c r="AE240" s="307"/>
      <c r="AF240" s="307"/>
    </row>
    <row r="241" ht="20.25" customHeight="1">
      <c r="A241" s="311"/>
      <c r="B241" s="307"/>
      <c r="C241" s="307"/>
      <c r="D241" s="307"/>
      <c r="E241" s="307"/>
      <c r="F241" s="307"/>
      <c r="G241" s="307"/>
      <c r="H241" s="308"/>
      <c r="I241" s="307"/>
      <c r="J241" s="307"/>
      <c r="K241" s="307"/>
      <c r="L241" s="309"/>
      <c r="M241" s="307"/>
      <c r="N241" s="310"/>
      <c r="O241" s="307"/>
      <c r="P241" s="307"/>
      <c r="Q241" s="307"/>
      <c r="R241" s="307"/>
      <c r="S241" s="307"/>
      <c r="T241" s="311"/>
      <c r="U241" s="309"/>
      <c r="V241" s="309"/>
      <c r="W241" s="307"/>
      <c r="X241" s="309"/>
      <c r="Y241" s="307"/>
      <c r="Z241" s="307"/>
      <c r="AA241" s="307"/>
      <c r="AB241" s="307"/>
      <c r="AC241" s="307"/>
      <c r="AD241" s="307"/>
      <c r="AE241" s="307"/>
      <c r="AF241" s="307"/>
    </row>
    <row r="242" ht="20.25" customHeight="1">
      <c r="A242" s="311"/>
      <c r="B242" s="307"/>
      <c r="C242" s="307"/>
      <c r="D242" s="307"/>
      <c r="E242" s="307"/>
      <c r="F242" s="307"/>
      <c r="G242" s="307"/>
      <c r="H242" s="308"/>
      <c r="I242" s="307"/>
      <c r="J242" s="307"/>
      <c r="K242" s="307"/>
      <c r="L242" s="309"/>
      <c r="M242" s="307"/>
      <c r="N242" s="310"/>
      <c r="O242" s="307"/>
      <c r="P242" s="307"/>
      <c r="Q242" s="307"/>
      <c r="R242" s="307"/>
      <c r="S242" s="307"/>
      <c r="T242" s="311"/>
      <c r="U242" s="309"/>
      <c r="V242" s="309"/>
      <c r="W242" s="307"/>
      <c r="X242" s="309"/>
      <c r="Y242" s="307"/>
      <c r="Z242" s="307"/>
      <c r="AA242" s="307"/>
      <c r="AB242" s="307"/>
      <c r="AC242" s="307"/>
      <c r="AD242" s="307"/>
      <c r="AE242" s="307"/>
      <c r="AF242" s="307"/>
    </row>
    <row r="243" ht="20.25" customHeight="1">
      <c r="A243" s="311"/>
      <c r="B243" s="307"/>
      <c r="C243" s="307"/>
      <c r="D243" s="307"/>
      <c r="E243" s="307"/>
      <c r="F243" s="307"/>
      <c r="G243" s="307"/>
      <c r="H243" s="308"/>
      <c r="I243" s="307"/>
      <c r="J243" s="307"/>
      <c r="K243" s="307"/>
      <c r="L243" s="309"/>
      <c r="M243" s="307"/>
      <c r="N243" s="310"/>
      <c r="O243" s="307"/>
      <c r="P243" s="307"/>
      <c r="Q243" s="307"/>
      <c r="R243" s="307"/>
      <c r="S243" s="307"/>
      <c r="T243" s="311"/>
      <c r="U243" s="309"/>
      <c r="V243" s="309"/>
      <c r="W243" s="307"/>
      <c r="X243" s="309"/>
      <c r="Y243" s="307"/>
      <c r="Z243" s="307"/>
      <c r="AA243" s="307"/>
      <c r="AB243" s="307"/>
      <c r="AC243" s="307"/>
      <c r="AD243" s="307"/>
      <c r="AE243" s="307"/>
      <c r="AF243" s="307"/>
    </row>
    <row r="244" ht="20.25" customHeight="1">
      <c r="A244" s="311"/>
      <c r="B244" s="307"/>
      <c r="C244" s="307"/>
      <c r="D244" s="307"/>
      <c r="E244" s="307"/>
      <c r="F244" s="307"/>
      <c r="G244" s="307"/>
      <c r="H244" s="308"/>
      <c r="I244" s="307"/>
      <c r="J244" s="307"/>
      <c r="K244" s="307"/>
      <c r="L244" s="309"/>
      <c r="M244" s="307"/>
      <c r="N244" s="310"/>
      <c r="O244" s="307"/>
      <c r="P244" s="307"/>
      <c r="Q244" s="307"/>
      <c r="R244" s="307"/>
      <c r="S244" s="307"/>
      <c r="T244" s="311"/>
      <c r="U244" s="309"/>
      <c r="V244" s="309"/>
      <c r="W244" s="307"/>
      <c r="X244" s="309"/>
      <c r="Y244" s="307"/>
      <c r="Z244" s="307"/>
      <c r="AA244" s="307"/>
      <c r="AB244" s="307"/>
      <c r="AC244" s="307"/>
      <c r="AD244" s="307"/>
      <c r="AE244" s="307"/>
      <c r="AF244" s="307"/>
    </row>
    <row r="245" ht="20.25" customHeight="1">
      <c r="A245" s="311"/>
      <c r="B245" s="307"/>
      <c r="C245" s="307"/>
      <c r="D245" s="307"/>
      <c r="E245" s="307"/>
      <c r="F245" s="307"/>
      <c r="G245" s="307"/>
      <c r="H245" s="308"/>
      <c r="I245" s="307"/>
      <c r="J245" s="307"/>
      <c r="K245" s="307"/>
      <c r="L245" s="309"/>
      <c r="M245" s="307"/>
      <c r="N245" s="310"/>
      <c r="O245" s="307"/>
      <c r="P245" s="307"/>
      <c r="Q245" s="307"/>
      <c r="R245" s="307"/>
      <c r="S245" s="307"/>
      <c r="T245" s="311"/>
      <c r="U245" s="309"/>
      <c r="V245" s="309"/>
      <c r="W245" s="307"/>
      <c r="X245" s="309"/>
      <c r="Y245" s="307"/>
      <c r="Z245" s="307"/>
      <c r="AA245" s="307"/>
      <c r="AB245" s="307"/>
      <c r="AC245" s="307"/>
      <c r="AD245" s="307"/>
      <c r="AE245" s="307"/>
      <c r="AF245" s="307"/>
    </row>
    <row r="246" ht="20.25" customHeight="1">
      <c r="A246" s="311"/>
      <c r="B246" s="307"/>
      <c r="C246" s="307"/>
      <c r="D246" s="307"/>
      <c r="E246" s="307"/>
      <c r="F246" s="307"/>
      <c r="G246" s="307"/>
      <c r="H246" s="308"/>
      <c r="I246" s="307"/>
      <c r="J246" s="307"/>
      <c r="K246" s="307"/>
      <c r="L246" s="309"/>
      <c r="M246" s="307"/>
      <c r="N246" s="310"/>
      <c r="O246" s="307"/>
      <c r="P246" s="307"/>
      <c r="Q246" s="307"/>
      <c r="R246" s="307"/>
      <c r="S246" s="307"/>
      <c r="T246" s="311"/>
      <c r="U246" s="309"/>
      <c r="V246" s="309"/>
      <c r="W246" s="307"/>
      <c r="X246" s="309"/>
      <c r="Y246" s="307"/>
      <c r="Z246" s="307"/>
      <c r="AA246" s="307"/>
      <c r="AB246" s="307"/>
      <c r="AC246" s="307"/>
      <c r="AD246" s="307"/>
      <c r="AE246" s="307"/>
      <c r="AF246" s="307"/>
    </row>
    <row r="247" ht="20.25" customHeight="1">
      <c r="A247" s="311"/>
      <c r="B247" s="307"/>
      <c r="C247" s="307"/>
      <c r="D247" s="307"/>
      <c r="E247" s="307"/>
      <c r="F247" s="307"/>
      <c r="G247" s="307"/>
      <c r="H247" s="308"/>
      <c r="I247" s="307"/>
      <c r="J247" s="307"/>
      <c r="K247" s="307"/>
      <c r="L247" s="309"/>
      <c r="M247" s="307"/>
      <c r="N247" s="310"/>
      <c r="O247" s="307"/>
      <c r="P247" s="307"/>
      <c r="Q247" s="307"/>
      <c r="R247" s="307"/>
      <c r="S247" s="307"/>
      <c r="T247" s="311"/>
      <c r="U247" s="309"/>
      <c r="V247" s="309"/>
      <c r="W247" s="307"/>
      <c r="X247" s="309"/>
      <c r="Y247" s="307"/>
      <c r="Z247" s="307"/>
      <c r="AA247" s="307"/>
      <c r="AB247" s="307"/>
      <c r="AC247" s="307"/>
      <c r="AD247" s="307"/>
      <c r="AE247" s="307"/>
      <c r="AF247" s="307"/>
    </row>
    <row r="248" ht="20.25" customHeight="1">
      <c r="A248" s="311"/>
      <c r="B248" s="307"/>
      <c r="C248" s="307"/>
      <c r="D248" s="307"/>
      <c r="E248" s="307"/>
      <c r="F248" s="307"/>
      <c r="G248" s="307"/>
      <c r="H248" s="308"/>
      <c r="I248" s="307"/>
      <c r="J248" s="307"/>
      <c r="K248" s="307"/>
      <c r="L248" s="309"/>
      <c r="M248" s="307"/>
      <c r="N248" s="310"/>
      <c r="O248" s="307"/>
      <c r="P248" s="307"/>
      <c r="Q248" s="307"/>
      <c r="R248" s="307"/>
      <c r="S248" s="307"/>
      <c r="T248" s="311"/>
      <c r="U248" s="309"/>
      <c r="V248" s="309"/>
      <c r="W248" s="307"/>
      <c r="X248" s="309"/>
      <c r="Y248" s="307"/>
      <c r="Z248" s="307"/>
      <c r="AA248" s="307"/>
      <c r="AB248" s="307"/>
      <c r="AC248" s="307"/>
      <c r="AD248" s="307"/>
      <c r="AE248" s="307"/>
      <c r="AF248" s="307"/>
    </row>
    <row r="249" ht="20.25" customHeight="1">
      <c r="A249" s="311"/>
      <c r="B249" s="307"/>
      <c r="C249" s="307"/>
      <c r="D249" s="307"/>
      <c r="E249" s="307"/>
      <c r="F249" s="307"/>
      <c r="G249" s="307"/>
      <c r="H249" s="308"/>
      <c r="I249" s="307"/>
      <c r="J249" s="307"/>
      <c r="K249" s="307"/>
      <c r="L249" s="309"/>
      <c r="M249" s="307"/>
      <c r="N249" s="310"/>
      <c r="O249" s="307"/>
      <c r="P249" s="307"/>
      <c r="Q249" s="307"/>
      <c r="R249" s="307"/>
      <c r="S249" s="307"/>
      <c r="T249" s="311"/>
      <c r="U249" s="309"/>
      <c r="V249" s="309"/>
      <c r="W249" s="307"/>
      <c r="X249" s="309"/>
      <c r="Y249" s="307"/>
      <c r="Z249" s="307"/>
      <c r="AA249" s="307"/>
      <c r="AB249" s="307"/>
      <c r="AC249" s="307"/>
      <c r="AD249" s="307"/>
      <c r="AE249" s="307"/>
      <c r="AF249" s="307"/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7.57"/>
    <col customWidth="1" min="3" max="5" width="19.14"/>
    <col customWidth="1" min="6" max="7" width="24.86"/>
    <col customWidth="1" min="8" max="8" width="22.43"/>
    <col customWidth="1" hidden="1" min="9" max="11" width="8.0"/>
    <col customWidth="1" hidden="1" min="12" max="12" width="13.14"/>
    <col customWidth="1" hidden="1" min="13" max="14" width="8.0"/>
    <col customWidth="1" min="15" max="15" width="18.29"/>
    <col customWidth="1" min="16" max="16" width="19.57"/>
    <col customWidth="1" min="17" max="17" width="17.43"/>
    <col customWidth="1" min="18" max="18" width="17.86"/>
    <col customWidth="1" min="19" max="19" width="17.0"/>
    <col customWidth="1" min="20" max="20" width="15.14"/>
    <col customWidth="1" min="21" max="21" width="13.86"/>
    <col customWidth="1" min="22" max="23" width="9.14"/>
    <col customWidth="1" min="24" max="24" width="16.0"/>
    <col customWidth="1" min="25" max="35" width="9.14"/>
  </cols>
  <sheetData>
    <row r="1" ht="18.75" customHeight="1">
      <c r="A1" s="139" t="s">
        <v>53</v>
      </c>
      <c r="B1" s="139"/>
      <c r="C1" s="139"/>
      <c r="D1" s="139"/>
      <c r="E1" s="139"/>
      <c r="F1" s="140"/>
      <c r="G1" s="139"/>
      <c r="H1" s="139"/>
      <c r="I1" s="139"/>
      <c r="J1" s="139"/>
      <c r="K1" s="139"/>
      <c r="L1" s="139"/>
      <c r="M1" s="139"/>
      <c r="N1" s="139"/>
      <c r="O1" s="139"/>
      <c r="P1" s="141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</row>
    <row r="2" ht="18.75" customHeight="1">
      <c r="A2" s="139"/>
      <c r="B2" s="139"/>
      <c r="C2" s="139"/>
      <c r="D2" s="139"/>
      <c r="E2" s="139"/>
      <c r="F2" s="140"/>
      <c r="G2" s="139"/>
      <c r="H2" s="139"/>
      <c r="I2" s="139"/>
      <c r="J2" s="139"/>
      <c r="K2" s="139"/>
      <c r="L2" s="139"/>
      <c r="M2" s="139"/>
      <c r="N2" s="139"/>
      <c r="O2" s="139"/>
      <c r="P2" s="141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ht="18.75" customHeight="1">
      <c r="A3" s="142" t="s">
        <v>1</v>
      </c>
      <c r="B3" s="142"/>
      <c r="C3" s="142"/>
      <c r="D3" s="139"/>
      <c r="E3" s="139"/>
      <c r="F3" s="140"/>
      <c r="G3" s="139"/>
      <c r="H3" s="139"/>
      <c r="I3" s="139"/>
      <c r="J3" s="139"/>
      <c r="K3" s="139"/>
      <c r="L3" s="139"/>
      <c r="M3" s="139"/>
      <c r="N3" s="139"/>
      <c r="O3" s="139"/>
      <c r="P3" s="141"/>
      <c r="Q3" s="139"/>
      <c r="R3" s="139"/>
      <c r="S3" s="139"/>
      <c r="T3" s="139"/>
      <c r="U3" s="139"/>
      <c r="V3" s="139"/>
      <c r="W3" s="139"/>
      <c r="X3" s="139"/>
      <c r="Y3" s="139"/>
      <c r="Z3" s="139"/>
      <c r="AA3" s="139"/>
      <c r="AB3" s="139"/>
    </row>
    <row r="4" ht="29.25" customHeight="1">
      <c r="A4" s="139"/>
      <c r="B4" s="139"/>
      <c r="C4" s="139"/>
      <c r="D4" s="139"/>
      <c r="E4" s="139"/>
      <c r="F4" s="140" t="s">
        <v>2</v>
      </c>
      <c r="G4" s="143">
        <v>43466.0</v>
      </c>
      <c r="H4" s="139"/>
      <c r="I4" s="139"/>
      <c r="J4" s="139"/>
      <c r="K4" s="139"/>
      <c r="L4" s="139"/>
      <c r="M4" s="139"/>
      <c r="N4" s="139"/>
      <c r="O4" s="139"/>
      <c r="P4" s="141"/>
      <c r="Q4" s="139"/>
      <c r="R4" s="139"/>
      <c r="S4" s="139"/>
      <c r="T4" s="139"/>
      <c r="U4" s="139"/>
      <c r="V4" s="139"/>
      <c r="W4" s="139"/>
      <c r="X4" s="139"/>
      <c r="Y4" s="139"/>
      <c r="Z4" s="139"/>
      <c r="AA4" s="139"/>
      <c r="AB4" s="139"/>
    </row>
    <row r="5" ht="18.75" customHeight="1">
      <c r="A5" s="139" t="s">
        <v>4</v>
      </c>
      <c r="B5" s="139"/>
      <c r="C5" s="139"/>
      <c r="D5" s="139"/>
      <c r="E5" s="139"/>
      <c r="F5" s="140"/>
      <c r="G5" s="139"/>
      <c r="H5" s="139"/>
      <c r="I5" s="139"/>
      <c r="J5" s="139"/>
      <c r="K5" s="139"/>
      <c r="L5" s="139"/>
      <c r="M5" s="139"/>
      <c r="N5" s="139"/>
      <c r="O5" s="139"/>
      <c r="P5" s="141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</row>
    <row r="6" ht="18.75" customHeight="1">
      <c r="A6" s="144"/>
      <c r="B6" s="144"/>
      <c r="C6" s="144"/>
      <c r="D6" s="144"/>
      <c r="E6" s="144"/>
      <c r="F6" s="145"/>
      <c r="G6" s="144"/>
      <c r="H6" s="139"/>
      <c r="I6" s="139"/>
      <c r="J6" s="139"/>
      <c r="K6" s="139"/>
      <c r="L6" s="139"/>
      <c r="M6" s="139"/>
      <c r="N6" s="139"/>
      <c r="O6" s="139"/>
      <c r="P6" s="141"/>
      <c r="Q6" s="139"/>
      <c r="R6" s="139"/>
      <c r="S6" s="139"/>
      <c r="T6" s="139"/>
      <c r="U6" s="139"/>
      <c r="V6" s="139"/>
      <c r="W6" s="139"/>
      <c r="X6" s="139"/>
      <c r="Y6" s="139"/>
      <c r="Z6" s="139"/>
      <c r="AA6" s="139"/>
      <c r="AB6" s="139"/>
    </row>
    <row r="7" ht="36.0" customHeight="1">
      <c r="A7" s="146" t="s">
        <v>6</v>
      </c>
      <c r="B7" s="147"/>
      <c r="C7" s="148" t="s">
        <v>231</v>
      </c>
      <c r="D7" s="149" t="s">
        <v>8</v>
      </c>
      <c r="E7" s="150" t="s">
        <v>9</v>
      </c>
      <c r="F7" s="147"/>
      <c r="G7" s="152" t="s">
        <v>10</v>
      </c>
      <c r="H7" s="139"/>
      <c r="I7" s="139"/>
      <c r="J7" s="139"/>
      <c r="K7" s="139"/>
      <c r="L7" s="139"/>
      <c r="M7" s="139"/>
      <c r="N7" s="139"/>
      <c r="O7" s="139"/>
      <c r="P7" s="141"/>
      <c r="Q7" s="139"/>
      <c r="R7" s="139"/>
      <c r="S7" s="139"/>
      <c r="T7" s="139"/>
      <c r="U7" s="139"/>
      <c r="V7" s="139"/>
      <c r="W7" s="139"/>
      <c r="X7" s="139"/>
      <c r="Y7" s="139"/>
      <c r="Z7" s="139"/>
      <c r="AA7" s="139"/>
      <c r="AB7" s="139"/>
    </row>
    <row r="8" ht="26.25" customHeight="1">
      <c r="A8" s="154">
        <v>1.0</v>
      </c>
      <c r="B8" s="155"/>
      <c r="C8" s="155"/>
      <c r="D8" s="156"/>
      <c r="E8" s="157"/>
      <c r="F8" s="158"/>
      <c r="G8" s="159">
        <f t="shared" ref="G8:G24" si="1">+D8*E8</f>
        <v>0</v>
      </c>
      <c r="H8" s="160">
        <f t="shared" ref="H8:H24" si="2">E8-G8</f>
        <v>0</v>
      </c>
      <c r="I8" s="139"/>
      <c r="J8" s="139"/>
      <c r="K8" s="139"/>
      <c r="L8" s="139"/>
      <c r="M8" s="139"/>
      <c r="N8" s="139"/>
      <c r="O8" s="139"/>
      <c r="P8" s="141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</row>
    <row r="9" ht="26.25" customHeight="1">
      <c r="A9" s="154">
        <v>2.0</v>
      </c>
      <c r="B9" s="155"/>
      <c r="C9" s="155"/>
      <c r="D9" s="156"/>
      <c r="E9" s="157"/>
      <c r="F9" s="158"/>
      <c r="G9" s="159">
        <f t="shared" si="1"/>
        <v>0</v>
      </c>
      <c r="H9" s="160">
        <f t="shared" si="2"/>
        <v>0</v>
      </c>
      <c r="I9" s="139"/>
      <c r="J9" s="139"/>
      <c r="K9" s="139"/>
      <c r="L9" s="139"/>
      <c r="M9" s="139"/>
      <c r="N9" s="139"/>
      <c r="O9" s="139"/>
      <c r="P9" s="141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</row>
    <row r="10" ht="26.25" customHeight="1">
      <c r="A10" s="154">
        <v>3.0</v>
      </c>
      <c r="B10" s="155"/>
      <c r="C10" s="155"/>
      <c r="D10" s="156"/>
      <c r="E10" s="157"/>
      <c r="F10" s="158"/>
      <c r="G10" s="159">
        <f t="shared" si="1"/>
        <v>0</v>
      </c>
      <c r="H10" s="160">
        <f t="shared" si="2"/>
        <v>0</v>
      </c>
      <c r="I10" s="139"/>
      <c r="J10" s="139"/>
      <c r="K10" s="139"/>
      <c r="L10" s="139"/>
      <c r="M10" s="139"/>
      <c r="N10" s="139"/>
      <c r="O10" s="139"/>
      <c r="P10" s="141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</row>
    <row r="11" ht="26.25" customHeight="1">
      <c r="A11" s="154">
        <v>4.0</v>
      </c>
      <c r="B11" s="162"/>
      <c r="C11" s="155"/>
      <c r="D11" s="163"/>
      <c r="E11" s="164"/>
      <c r="F11" s="158"/>
      <c r="G11" s="159">
        <f t="shared" si="1"/>
        <v>0</v>
      </c>
      <c r="H11" s="160">
        <f t="shared" si="2"/>
        <v>0</v>
      </c>
      <c r="I11" s="139"/>
      <c r="J11" s="139"/>
      <c r="K11" s="139"/>
      <c r="L11" s="139"/>
      <c r="M11" s="139"/>
      <c r="N11" s="139"/>
      <c r="O11" s="139"/>
      <c r="P11" s="141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</row>
    <row r="12" ht="26.25" customHeight="1">
      <c r="A12" s="154">
        <v>5.0</v>
      </c>
      <c r="B12" s="162"/>
      <c r="C12" s="162"/>
      <c r="D12" s="163"/>
      <c r="E12" s="164"/>
      <c r="F12" s="158"/>
      <c r="G12" s="159">
        <f t="shared" si="1"/>
        <v>0</v>
      </c>
      <c r="H12" s="160">
        <f t="shared" si="2"/>
        <v>0</v>
      </c>
      <c r="I12" s="139"/>
      <c r="J12" s="139"/>
      <c r="K12" s="139"/>
      <c r="L12" s="139"/>
      <c r="M12" s="139"/>
      <c r="N12" s="139"/>
      <c r="O12" s="139"/>
      <c r="P12" s="141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</row>
    <row r="13" ht="26.25" customHeight="1">
      <c r="A13" s="154">
        <v>6.0</v>
      </c>
      <c r="B13" s="162"/>
      <c r="C13" s="162"/>
      <c r="D13" s="163"/>
      <c r="E13" s="164"/>
      <c r="F13" s="158"/>
      <c r="G13" s="159">
        <f t="shared" si="1"/>
        <v>0</v>
      </c>
      <c r="H13" s="160">
        <f t="shared" si="2"/>
        <v>0</v>
      </c>
      <c r="I13" s="139"/>
      <c r="J13" s="139"/>
      <c r="K13" s="139"/>
      <c r="L13" s="139"/>
      <c r="M13" s="139"/>
      <c r="N13" s="139"/>
      <c r="O13" s="139"/>
      <c r="P13" s="141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</row>
    <row r="14" ht="26.25" customHeight="1">
      <c r="A14" s="154">
        <v>7.0</v>
      </c>
      <c r="B14" s="162"/>
      <c r="C14" s="162"/>
      <c r="D14" s="163"/>
      <c r="E14" s="164"/>
      <c r="F14" s="158"/>
      <c r="G14" s="159">
        <f t="shared" si="1"/>
        <v>0</v>
      </c>
      <c r="H14" s="160">
        <f t="shared" si="2"/>
        <v>0</v>
      </c>
      <c r="I14" s="139"/>
      <c r="J14" s="139"/>
      <c r="K14" s="139"/>
      <c r="L14" s="139"/>
      <c r="M14" s="139"/>
      <c r="N14" s="139"/>
      <c r="O14" s="139"/>
      <c r="P14" s="141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</row>
    <row r="15" ht="26.25" customHeight="1">
      <c r="A15" s="154">
        <v>8.0</v>
      </c>
      <c r="B15" s="162"/>
      <c r="C15" s="162"/>
      <c r="D15" s="163"/>
      <c r="E15" s="164"/>
      <c r="F15" s="158"/>
      <c r="G15" s="159">
        <f t="shared" si="1"/>
        <v>0</v>
      </c>
      <c r="H15" s="160">
        <f t="shared" si="2"/>
        <v>0</v>
      </c>
      <c r="I15" s="139"/>
      <c r="J15" s="139"/>
      <c r="K15" s="139"/>
      <c r="L15" s="139"/>
      <c r="M15" s="139"/>
      <c r="N15" s="139"/>
      <c r="O15" s="139"/>
      <c r="P15" s="141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</row>
    <row r="16" ht="26.25" customHeight="1">
      <c r="A16" s="154">
        <v>9.0</v>
      </c>
      <c r="B16" s="162"/>
      <c r="C16" s="162"/>
      <c r="D16" s="163"/>
      <c r="E16" s="164"/>
      <c r="F16" s="158"/>
      <c r="G16" s="159">
        <f t="shared" si="1"/>
        <v>0</v>
      </c>
      <c r="H16" s="160">
        <f t="shared" si="2"/>
        <v>0</v>
      </c>
      <c r="I16" s="139"/>
      <c r="J16" s="139"/>
      <c r="K16" s="139"/>
      <c r="L16" s="139"/>
      <c r="M16" s="139"/>
      <c r="N16" s="139"/>
      <c r="O16" s="139"/>
      <c r="P16" s="141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</row>
    <row r="17" ht="26.25" customHeight="1">
      <c r="A17" s="154">
        <v>10.0</v>
      </c>
      <c r="B17" s="162"/>
      <c r="C17" s="162"/>
      <c r="D17" s="163"/>
      <c r="E17" s="164"/>
      <c r="F17" s="158"/>
      <c r="G17" s="159">
        <f t="shared" si="1"/>
        <v>0</v>
      </c>
      <c r="H17" s="160">
        <f t="shared" si="2"/>
        <v>0</v>
      </c>
      <c r="I17" s="139"/>
      <c r="J17" s="139"/>
      <c r="K17" s="139"/>
      <c r="L17" s="139"/>
      <c r="M17" s="139"/>
      <c r="N17" s="139"/>
      <c r="O17" s="139"/>
      <c r="P17" s="141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</row>
    <row r="18" ht="26.25" hidden="1" customHeight="1">
      <c r="A18" s="154">
        <v>11.0</v>
      </c>
      <c r="B18" s="162"/>
      <c r="C18" s="162"/>
      <c r="D18" s="163"/>
      <c r="E18" s="164"/>
      <c r="F18" s="158"/>
      <c r="G18" s="159">
        <f t="shared" si="1"/>
        <v>0</v>
      </c>
      <c r="H18" s="160">
        <f t="shared" si="2"/>
        <v>0</v>
      </c>
      <c r="I18" s="139"/>
      <c r="J18" s="139"/>
      <c r="K18" s="139"/>
      <c r="L18" s="139"/>
      <c r="M18" s="139"/>
      <c r="N18" s="139"/>
      <c r="O18" s="139"/>
      <c r="P18" s="141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</row>
    <row r="19" ht="26.25" hidden="1" customHeight="1">
      <c r="A19" s="154">
        <v>12.0</v>
      </c>
      <c r="B19" s="162"/>
      <c r="C19" s="162"/>
      <c r="D19" s="163"/>
      <c r="E19" s="164"/>
      <c r="F19" s="158"/>
      <c r="G19" s="159">
        <f t="shared" si="1"/>
        <v>0</v>
      </c>
      <c r="H19" s="160">
        <f t="shared" si="2"/>
        <v>0</v>
      </c>
      <c r="I19" s="139"/>
      <c r="J19" s="139"/>
      <c r="K19" s="139"/>
      <c r="L19" s="139"/>
      <c r="M19" s="139"/>
      <c r="N19" s="139"/>
      <c r="O19" s="139"/>
      <c r="P19" s="141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</row>
    <row r="20" ht="26.25" hidden="1" customHeight="1">
      <c r="A20" s="154">
        <v>13.0</v>
      </c>
      <c r="B20" s="162"/>
      <c r="C20" s="162"/>
      <c r="D20" s="163"/>
      <c r="E20" s="164"/>
      <c r="F20" s="158"/>
      <c r="G20" s="159">
        <f t="shared" si="1"/>
        <v>0</v>
      </c>
      <c r="H20" s="160">
        <f t="shared" si="2"/>
        <v>0</v>
      </c>
      <c r="I20" s="139"/>
      <c r="J20" s="139"/>
      <c r="K20" s="139"/>
      <c r="L20" s="139"/>
      <c r="M20" s="139"/>
      <c r="N20" s="139"/>
      <c r="O20" s="139"/>
      <c r="P20" s="141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</row>
    <row r="21" ht="26.25" hidden="1" customHeight="1">
      <c r="A21" s="154">
        <v>14.0</v>
      </c>
      <c r="B21" s="162"/>
      <c r="C21" s="162"/>
      <c r="D21" s="163"/>
      <c r="E21" s="164"/>
      <c r="F21" s="158"/>
      <c r="G21" s="159">
        <f t="shared" si="1"/>
        <v>0</v>
      </c>
      <c r="H21" s="160">
        <f t="shared" si="2"/>
        <v>0</v>
      </c>
      <c r="I21" s="139"/>
      <c r="J21" s="139"/>
      <c r="K21" s="139"/>
      <c r="L21" s="139"/>
      <c r="M21" s="139"/>
      <c r="N21" s="139"/>
      <c r="O21" s="139"/>
      <c r="P21" s="141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</row>
    <row r="22" ht="26.25" hidden="1" customHeight="1">
      <c r="A22" s="154">
        <v>15.0</v>
      </c>
      <c r="B22" s="162"/>
      <c r="C22" s="162"/>
      <c r="D22" s="163"/>
      <c r="E22" s="164"/>
      <c r="F22" s="158"/>
      <c r="G22" s="159">
        <f t="shared" si="1"/>
        <v>0</v>
      </c>
      <c r="H22" s="160">
        <f t="shared" si="2"/>
        <v>0</v>
      </c>
      <c r="I22" s="139"/>
      <c r="J22" s="139"/>
      <c r="K22" s="139"/>
      <c r="L22" s="139"/>
      <c r="M22" s="139"/>
      <c r="N22" s="139"/>
      <c r="O22" s="139"/>
      <c r="P22" s="141"/>
      <c r="Q22" s="139"/>
      <c r="R22" s="139"/>
      <c r="S22" s="139"/>
      <c r="T22" s="139"/>
      <c r="U22" s="139"/>
      <c r="V22" s="139"/>
      <c r="W22" s="139"/>
      <c r="X22" s="139"/>
      <c r="Y22" s="139"/>
      <c r="Z22" s="139"/>
      <c r="AA22" s="139"/>
      <c r="AB22" s="139"/>
    </row>
    <row r="23" ht="26.25" hidden="1" customHeight="1">
      <c r="A23" s="154">
        <v>16.0</v>
      </c>
      <c r="B23" s="162"/>
      <c r="C23" s="162"/>
      <c r="D23" s="163"/>
      <c r="E23" s="164"/>
      <c r="F23" s="158"/>
      <c r="G23" s="159">
        <f t="shared" si="1"/>
        <v>0</v>
      </c>
      <c r="H23" s="160">
        <f t="shared" si="2"/>
        <v>0</v>
      </c>
      <c r="I23" s="139"/>
      <c r="J23" s="139"/>
      <c r="K23" s="139"/>
      <c r="L23" s="139"/>
      <c r="M23" s="139"/>
      <c r="N23" s="139"/>
      <c r="O23" s="139"/>
      <c r="P23" s="141"/>
      <c r="Q23" s="139"/>
      <c r="R23" s="139"/>
      <c r="S23" s="139"/>
      <c r="T23" s="139"/>
      <c r="U23" s="139"/>
      <c r="V23" s="139"/>
      <c r="W23" s="139"/>
      <c r="X23" s="139"/>
      <c r="Y23" s="139"/>
      <c r="Z23" s="139"/>
      <c r="AA23" s="139"/>
      <c r="AB23" s="139"/>
    </row>
    <row r="24" ht="26.25" hidden="1" customHeight="1">
      <c r="A24" s="154">
        <v>17.0</v>
      </c>
      <c r="B24" s="162"/>
      <c r="C24" s="162"/>
      <c r="D24" s="163"/>
      <c r="E24" s="164"/>
      <c r="F24" s="158"/>
      <c r="G24" s="159">
        <f t="shared" si="1"/>
        <v>0</v>
      </c>
      <c r="H24" s="160">
        <f t="shared" si="2"/>
        <v>0</v>
      </c>
      <c r="I24" s="139"/>
      <c r="J24" s="139"/>
      <c r="K24" s="139"/>
      <c r="L24" s="139"/>
      <c r="M24" s="139"/>
      <c r="N24" s="139"/>
      <c r="O24" s="139"/>
      <c r="P24" s="141"/>
      <c r="Q24" s="139"/>
      <c r="R24" s="139"/>
      <c r="S24" s="139"/>
      <c r="T24" s="139"/>
      <c r="U24" s="139"/>
      <c r="V24" s="139"/>
      <c r="W24" s="139"/>
      <c r="X24" s="139"/>
      <c r="Y24" s="139"/>
      <c r="Z24" s="139"/>
      <c r="AA24" s="139"/>
      <c r="AB24" s="139"/>
    </row>
    <row r="25" ht="18.75" customHeight="1">
      <c r="A25" s="165"/>
      <c r="B25" s="166"/>
      <c r="C25" s="167"/>
      <c r="D25" s="168"/>
      <c r="E25" s="169">
        <f>SUM(E8:E24)</f>
        <v>0</v>
      </c>
      <c r="F25" s="171"/>
      <c r="G25" s="172">
        <f t="shared" ref="G25:H25" si="3">SUM(G8:G24)</f>
        <v>0</v>
      </c>
      <c r="H25" s="173">
        <f t="shared" si="3"/>
        <v>0</v>
      </c>
      <c r="I25" s="139"/>
      <c r="J25" s="139"/>
      <c r="K25" s="139"/>
      <c r="L25" s="139"/>
      <c r="M25" s="139"/>
      <c r="N25" s="139"/>
      <c r="O25" s="139"/>
      <c r="P25" s="141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</row>
    <row r="26" ht="18.75" customHeight="1">
      <c r="A26" s="174"/>
      <c r="B26" s="144"/>
      <c r="C26" s="144"/>
      <c r="D26" s="175"/>
      <c r="E26" s="176"/>
      <c r="F26" s="147"/>
      <c r="G26" s="177"/>
      <c r="H26" s="139"/>
      <c r="I26" s="139"/>
      <c r="J26" s="139"/>
      <c r="K26" s="139"/>
      <c r="L26" s="139"/>
      <c r="M26" s="139"/>
      <c r="N26" s="139"/>
      <c r="O26" s="139"/>
      <c r="P26" s="141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</row>
    <row r="27" ht="18.75" customHeight="1">
      <c r="A27" s="139"/>
      <c r="B27" s="139"/>
      <c r="C27" s="139"/>
      <c r="D27" s="139"/>
      <c r="E27" s="139"/>
      <c r="F27" s="140"/>
      <c r="G27" s="139"/>
      <c r="H27" s="139"/>
      <c r="I27" s="139"/>
      <c r="J27" s="139"/>
      <c r="K27" s="139"/>
      <c r="L27" s="139"/>
      <c r="M27" s="139"/>
      <c r="N27" s="139"/>
      <c r="O27" s="139"/>
      <c r="P27" s="141"/>
      <c r="Q27" s="139"/>
      <c r="R27" s="139"/>
      <c r="S27" s="139"/>
      <c r="T27" s="139"/>
      <c r="U27" s="139"/>
      <c r="V27" s="139"/>
      <c r="W27" s="139"/>
      <c r="X27" s="139"/>
      <c r="Y27" s="139"/>
      <c r="Z27" s="139"/>
      <c r="AA27" s="139"/>
      <c r="AB27" s="139"/>
    </row>
    <row r="28" ht="18.75" customHeight="1">
      <c r="A28" s="139"/>
      <c r="B28" s="139"/>
      <c r="C28" s="139"/>
      <c r="D28" s="139"/>
      <c r="E28" s="139"/>
      <c r="F28" s="140"/>
      <c r="G28" s="139"/>
      <c r="H28" s="139"/>
      <c r="I28" s="139"/>
      <c r="J28" s="139"/>
      <c r="K28" s="139"/>
      <c r="L28" s="139"/>
      <c r="M28" s="139"/>
      <c r="N28" s="139"/>
      <c r="O28" s="139"/>
      <c r="P28" s="141"/>
      <c r="Q28" s="139"/>
      <c r="R28" s="139"/>
      <c r="S28" s="139"/>
      <c r="T28" s="139"/>
      <c r="U28" s="139"/>
      <c r="V28" s="139"/>
      <c r="W28" s="139"/>
      <c r="X28" s="139"/>
      <c r="Y28" s="139"/>
      <c r="Z28" s="139"/>
      <c r="AA28" s="139"/>
      <c r="AB28" s="139"/>
    </row>
    <row r="29" ht="18.75" customHeight="1">
      <c r="A29" s="139" t="s">
        <v>11</v>
      </c>
      <c r="B29" s="139"/>
      <c r="C29" s="139"/>
      <c r="D29" s="139"/>
      <c r="E29" s="139"/>
      <c r="F29" s="140"/>
      <c r="G29" s="139"/>
      <c r="H29" s="139"/>
      <c r="I29" s="139"/>
      <c r="J29" s="139"/>
      <c r="K29" s="139"/>
      <c r="L29" s="139"/>
      <c r="M29" s="139"/>
      <c r="N29" s="139"/>
      <c r="O29" s="139"/>
      <c r="P29" s="141"/>
      <c r="Q29" s="139"/>
      <c r="R29" s="139"/>
      <c r="S29" s="139"/>
      <c r="T29" s="139"/>
      <c r="U29" s="139"/>
      <c r="V29" s="139"/>
      <c r="W29" s="139"/>
      <c r="X29" s="139"/>
      <c r="Y29" s="139"/>
      <c r="Z29" s="139"/>
      <c r="AA29" s="139"/>
      <c r="AB29" s="139"/>
    </row>
    <row r="30" ht="18.75" customHeight="1">
      <c r="A30" s="139"/>
      <c r="B30" s="139"/>
      <c r="C30" s="139"/>
      <c r="D30" s="139"/>
      <c r="E30" s="139"/>
      <c r="F30" s="140"/>
      <c r="G30" s="139"/>
      <c r="H30" s="139"/>
      <c r="I30" s="139"/>
      <c r="J30" s="139"/>
      <c r="K30" s="139"/>
      <c r="L30" s="139"/>
      <c r="M30" s="139"/>
      <c r="N30" s="139"/>
      <c r="O30" s="139"/>
      <c r="P30" s="141"/>
      <c r="Q30" s="139"/>
      <c r="R30" s="139"/>
      <c r="S30" s="139"/>
      <c r="T30" s="139"/>
      <c r="U30" s="139"/>
      <c r="V30" s="139"/>
      <c r="W30" s="139"/>
      <c r="X30" s="139"/>
      <c r="Y30" s="139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</row>
    <row r="31" ht="40.5" customHeight="1">
      <c r="A31" s="178"/>
      <c r="B31" s="162" t="s">
        <v>12</v>
      </c>
      <c r="C31" s="179" t="s">
        <v>60</v>
      </c>
      <c r="D31" s="52"/>
      <c r="E31" s="53"/>
      <c r="F31" s="181" t="s">
        <v>14</v>
      </c>
      <c r="G31" s="162" t="s">
        <v>15</v>
      </c>
      <c r="H31" s="162" t="s">
        <v>16</v>
      </c>
      <c r="I31" s="139"/>
      <c r="J31" s="162" t="s">
        <v>17</v>
      </c>
      <c r="K31" s="162" t="s">
        <v>15</v>
      </c>
      <c r="L31" s="178" t="s">
        <v>18</v>
      </c>
      <c r="M31" s="139"/>
      <c r="N31" s="139"/>
      <c r="O31" s="178" t="s">
        <v>61</v>
      </c>
      <c r="P31" s="182"/>
      <c r="Q31" s="162" t="s">
        <v>17</v>
      </c>
      <c r="R31" s="162" t="s">
        <v>15</v>
      </c>
      <c r="S31" s="178" t="s">
        <v>18</v>
      </c>
      <c r="T31" s="139"/>
      <c r="U31" s="178" t="s">
        <v>19</v>
      </c>
      <c r="V31" s="178" t="s">
        <v>20</v>
      </c>
      <c r="W31" s="178" t="s">
        <v>21</v>
      </c>
      <c r="X31" s="178" t="s">
        <v>232</v>
      </c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</row>
    <row r="32" ht="27.0" customHeight="1">
      <c r="A32" s="162">
        <v>1.0</v>
      </c>
      <c r="B32" s="193"/>
      <c r="C32" s="193"/>
      <c r="D32" s="193"/>
      <c r="E32" s="193"/>
      <c r="F32" s="194">
        <f t="shared" ref="F32:F248" si="5">+T32</f>
        <v>0</v>
      </c>
      <c r="G32" s="193">
        <v>1.0</v>
      </c>
      <c r="H32" s="195">
        <f t="shared" ref="H32:H248" si="6">+G32*F32</f>
        <v>0</v>
      </c>
      <c r="I32" s="139"/>
      <c r="J32" s="178">
        <f>D32*25.4/1000</f>
        <v>0</v>
      </c>
      <c r="K32" s="162">
        <f>+G32</f>
        <v>1</v>
      </c>
      <c r="L32" s="162">
        <f>K32*J32</f>
        <v>0</v>
      </c>
      <c r="M32" s="139"/>
      <c r="N32" s="139"/>
      <c r="O32" s="178"/>
      <c r="P32" s="190"/>
      <c r="Q32" s="178">
        <f t="shared" ref="Q32:Q249" si="7">E32/100</f>
        <v>0</v>
      </c>
      <c r="R32" s="162">
        <f t="shared" ref="R32:R249" si="8">G32</f>
        <v>1</v>
      </c>
      <c r="S32" s="162">
        <f t="shared" ref="S32:S249" si="9">R32*Q32</f>
        <v>0</v>
      </c>
      <c r="T32" s="191">
        <f t="shared" ref="T32:T106" si="10">P32*C32/100*D32/100*E32/100</f>
        <v>0</v>
      </c>
      <c r="U32" s="178">
        <f t="shared" ref="U32:V32" si="4">C32/100</f>
        <v>0</v>
      </c>
      <c r="V32" s="178">
        <f t="shared" si="4"/>
        <v>0</v>
      </c>
      <c r="W32" s="178">
        <f t="shared" ref="W32:W249" si="12">S32</f>
        <v>0</v>
      </c>
      <c r="X32" s="192">
        <f t="shared" ref="X32:X249" si="13">U32*V32*W32</f>
        <v>0</v>
      </c>
      <c r="Y32" s="139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</row>
    <row r="33" ht="27.0" customHeight="1">
      <c r="A33" s="162">
        <v>2.0</v>
      </c>
      <c r="B33" s="193"/>
      <c r="C33" s="193"/>
      <c r="D33" s="193"/>
      <c r="E33" s="193"/>
      <c r="F33" s="194">
        <f t="shared" si="5"/>
        <v>0</v>
      </c>
      <c r="G33" s="193">
        <v>1.0</v>
      </c>
      <c r="H33" s="195">
        <f t="shared" si="6"/>
        <v>0</v>
      </c>
      <c r="I33" s="139"/>
      <c r="J33" s="178"/>
      <c r="K33" s="162"/>
      <c r="L33" s="162"/>
      <c r="M33" s="139"/>
      <c r="N33" s="139"/>
      <c r="O33" s="178"/>
      <c r="P33" s="190"/>
      <c r="Q33" s="178">
        <f t="shared" si="7"/>
        <v>0</v>
      </c>
      <c r="R33" s="162">
        <f t="shared" si="8"/>
        <v>1</v>
      </c>
      <c r="S33" s="162">
        <f t="shared" si="9"/>
        <v>0</v>
      </c>
      <c r="T33" s="191">
        <f t="shared" si="10"/>
        <v>0</v>
      </c>
      <c r="U33" s="178">
        <f t="shared" ref="U33:V33" si="11">C33/100</f>
        <v>0</v>
      </c>
      <c r="V33" s="178">
        <f t="shared" si="11"/>
        <v>0</v>
      </c>
      <c r="W33" s="178">
        <f t="shared" si="12"/>
        <v>0</v>
      </c>
      <c r="X33" s="192">
        <f t="shared" si="13"/>
        <v>0</v>
      </c>
      <c r="Y33" s="139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</row>
    <row r="34" ht="27.0" customHeight="1">
      <c r="A34" s="162">
        <v>3.0</v>
      </c>
      <c r="B34" s="193"/>
      <c r="C34" s="193"/>
      <c r="D34" s="193"/>
      <c r="E34" s="193"/>
      <c r="F34" s="194">
        <f t="shared" si="5"/>
        <v>0</v>
      </c>
      <c r="G34" s="193">
        <v>1.0</v>
      </c>
      <c r="H34" s="195">
        <f t="shared" si="6"/>
        <v>0</v>
      </c>
      <c r="I34" s="139"/>
      <c r="J34" s="178">
        <f t="shared" ref="J34:J56" si="15">D34*25.4/1000</f>
        <v>0</v>
      </c>
      <c r="K34" s="162">
        <f t="shared" ref="K34:K69" si="16">+G34</f>
        <v>1</v>
      </c>
      <c r="L34" s="162">
        <f t="shared" ref="L34:L56" si="17">K34*J34</f>
        <v>0</v>
      </c>
      <c r="M34" s="139"/>
      <c r="N34" s="139"/>
      <c r="O34" s="178"/>
      <c r="P34" s="190"/>
      <c r="Q34" s="178">
        <f t="shared" si="7"/>
        <v>0</v>
      </c>
      <c r="R34" s="162">
        <f t="shared" si="8"/>
        <v>1</v>
      </c>
      <c r="S34" s="162">
        <f t="shared" si="9"/>
        <v>0</v>
      </c>
      <c r="T34" s="191">
        <f t="shared" si="10"/>
        <v>0</v>
      </c>
      <c r="U34" s="178">
        <f t="shared" ref="U34:V34" si="14">C34/100</f>
        <v>0</v>
      </c>
      <c r="V34" s="178">
        <f t="shared" si="14"/>
        <v>0</v>
      </c>
      <c r="W34" s="178">
        <f t="shared" si="12"/>
        <v>0</v>
      </c>
      <c r="X34" s="192">
        <f t="shared" si="13"/>
        <v>0</v>
      </c>
      <c r="Y34" s="139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</row>
    <row r="35" ht="27.0" customHeight="1">
      <c r="A35" s="162">
        <v>4.0</v>
      </c>
      <c r="B35" s="193"/>
      <c r="C35" s="193"/>
      <c r="D35" s="193"/>
      <c r="E35" s="193"/>
      <c r="F35" s="194">
        <f t="shared" si="5"/>
        <v>0</v>
      </c>
      <c r="G35" s="193">
        <v>1.0</v>
      </c>
      <c r="H35" s="195">
        <f t="shared" si="6"/>
        <v>0</v>
      </c>
      <c r="I35" s="139"/>
      <c r="J35" s="178">
        <f t="shared" si="15"/>
        <v>0</v>
      </c>
      <c r="K35" s="162">
        <f t="shared" si="16"/>
        <v>1</v>
      </c>
      <c r="L35" s="162">
        <f t="shared" si="17"/>
        <v>0</v>
      </c>
      <c r="M35" s="139"/>
      <c r="N35" s="139"/>
      <c r="O35" s="178"/>
      <c r="P35" s="190"/>
      <c r="Q35" s="178">
        <f t="shared" si="7"/>
        <v>0</v>
      </c>
      <c r="R35" s="162">
        <f t="shared" si="8"/>
        <v>1</v>
      </c>
      <c r="S35" s="162">
        <f t="shared" si="9"/>
        <v>0</v>
      </c>
      <c r="T35" s="191">
        <f t="shared" si="10"/>
        <v>0</v>
      </c>
      <c r="U35" s="178">
        <f t="shared" ref="U35:V35" si="18">C35/100</f>
        <v>0</v>
      </c>
      <c r="V35" s="178">
        <f t="shared" si="18"/>
        <v>0</v>
      </c>
      <c r="W35" s="178">
        <f t="shared" si="12"/>
        <v>0</v>
      </c>
      <c r="X35" s="192">
        <f t="shared" si="13"/>
        <v>0</v>
      </c>
      <c r="Y35" s="139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</row>
    <row r="36" ht="27.0" customHeight="1">
      <c r="A36" s="162">
        <v>5.0</v>
      </c>
      <c r="B36" s="193"/>
      <c r="C36" s="193"/>
      <c r="D36" s="193"/>
      <c r="E36" s="193"/>
      <c r="F36" s="194">
        <f t="shared" si="5"/>
        <v>0</v>
      </c>
      <c r="G36" s="193">
        <v>1.0</v>
      </c>
      <c r="H36" s="195">
        <f t="shared" si="6"/>
        <v>0</v>
      </c>
      <c r="I36" s="139"/>
      <c r="J36" s="178">
        <f t="shared" si="15"/>
        <v>0</v>
      </c>
      <c r="K36" s="162">
        <f t="shared" si="16"/>
        <v>1</v>
      </c>
      <c r="L36" s="162">
        <f t="shared" si="17"/>
        <v>0</v>
      </c>
      <c r="M36" s="139"/>
      <c r="N36" s="139"/>
      <c r="O36" s="178"/>
      <c r="P36" s="190"/>
      <c r="Q36" s="178">
        <f t="shared" si="7"/>
        <v>0</v>
      </c>
      <c r="R36" s="162">
        <f t="shared" si="8"/>
        <v>1</v>
      </c>
      <c r="S36" s="162">
        <f t="shared" si="9"/>
        <v>0</v>
      </c>
      <c r="T36" s="191">
        <f t="shared" si="10"/>
        <v>0</v>
      </c>
      <c r="U36" s="178">
        <f t="shared" ref="U36:V36" si="19">C36/100</f>
        <v>0</v>
      </c>
      <c r="V36" s="178">
        <f t="shared" si="19"/>
        <v>0</v>
      </c>
      <c r="W36" s="178">
        <f t="shared" si="12"/>
        <v>0</v>
      </c>
      <c r="X36" s="192">
        <f t="shared" si="13"/>
        <v>0</v>
      </c>
      <c r="Y36" s="139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</row>
    <row r="37" ht="27.0" customHeight="1">
      <c r="A37" s="162">
        <v>6.0</v>
      </c>
      <c r="B37" s="193"/>
      <c r="C37" s="193"/>
      <c r="D37" s="193"/>
      <c r="E37" s="193"/>
      <c r="F37" s="194">
        <f t="shared" si="5"/>
        <v>0</v>
      </c>
      <c r="G37" s="193">
        <v>1.0</v>
      </c>
      <c r="H37" s="195">
        <f t="shared" si="6"/>
        <v>0</v>
      </c>
      <c r="I37" s="139"/>
      <c r="J37" s="178">
        <f t="shared" si="15"/>
        <v>0</v>
      </c>
      <c r="K37" s="162">
        <f t="shared" si="16"/>
        <v>1</v>
      </c>
      <c r="L37" s="162">
        <f t="shared" si="17"/>
        <v>0</v>
      </c>
      <c r="M37" s="139"/>
      <c r="N37" s="139"/>
      <c r="O37" s="178"/>
      <c r="P37" s="190"/>
      <c r="Q37" s="178">
        <f t="shared" si="7"/>
        <v>0</v>
      </c>
      <c r="R37" s="162">
        <f t="shared" si="8"/>
        <v>1</v>
      </c>
      <c r="S37" s="162">
        <f t="shared" si="9"/>
        <v>0</v>
      </c>
      <c r="T37" s="191">
        <f t="shared" si="10"/>
        <v>0</v>
      </c>
      <c r="U37" s="178">
        <f t="shared" ref="U37:V37" si="20">C37/100</f>
        <v>0</v>
      </c>
      <c r="V37" s="178">
        <f t="shared" si="20"/>
        <v>0</v>
      </c>
      <c r="W37" s="178">
        <f t="shared" si="12"/>
        <v>0</v>
      </c>
      <c r="X37" s="192">
        <f t="shared" si="13"/>
        <v>0</v>
      </c>
      <c r="Y37" s="139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</row>
    <row r="38" ht="27.0" customHeight="1">
      <c r="A38" s="162">
        <v>7.0</v>
      </c>
      <c r="B38" s="193"/>
      <c r="C38" s="193"/>
      <c r="D38" s="193"/>
      <c r="E38" s="193"/>
      <c r="F38" s="194">
        <f t="shared" si="5"/>
        <v>0</v>
      </c>
      <c r="G38" s="193">
        <v>1.0</v>
      </c>
      <c r="H38" s="195">
        <f t="shared" si="6"/>
        <v>0</v>
      </c>
      <c r="I38" s="139"/>
      <c r="J38" s="178">
        <f t="shared" si="15"/>
        <v>0</v>
      </c>
      <c r="K38" s="162">
        <f t="shared" si="16"/>
        <v>1</v>
      </c>
      <c r="L38" s="162">
        <f t="shared" si="17"/>
        <v>0</v>
      </c>
      <c r="M38" s="139"/>
      <c r="N38" s="139"/>
      <c r="O38" s="178"/>
      <c r="P38" s="190"/>
      <c r="Q38" s="178">
        <f t="shared" si="7"/>
        <v>0</v>
      </c>
      <c r="R38" s="162">
        <f t="shared" si="8"/>
        <v>1</v>
      </c>
      <c r="S38" s="162">
        <f t="shared" si="9"/>
        <v>0</v>
      </c>
      <c r="T38" s="191">
        <f t="shared" si="10"/>
        <v>0</v>
      </c>
      <c r="U38" s="178">
        <f t="shared" ref="U38:V38" si="21">C38/100</f>
        <v>0</v>
      </c>
      <c r="V38" s="178">
        <f t="shared" si="21"/>
        <v>0</v>
      </c>
      <c r="W38" s="178">
        <f t="shared" si="12"/>
        <v>0</v>
      </c>
      <c r="X38" s="192">
        <f t="shared" si="13"/>
        <v>0</v>
      </c>
      <c r="Y38" s="139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</row>
    <row r="39" ht="27.0" customHeight="1">
      <c r="A39" s="162">
        <v>8.0</v>
      </c>
      <c r="B39" s="193"/>
      <c r="C39" s="193"/>
      <c r="D39" s="193"/>
      <c r="E39" s="193"/>
      <c r="F39" s="194">
        <f t="shared" si="5"/>
        <v>0</v>
      </c>
      <c r="G39" s="193">
        <v>1.0</v>
      </c>
      <c r="H39" s="195">
        <f t="shared" si="6"/>
        <v>0</v>
      </c>
      <c r="I39" s="139"/>
      <c r="J39" s="178">
        <f t="shared" si="15"/>
        <v>0</v>
      </c>
      <c r="K39" s="162">
        <f t="shared" si="16"/>
        <v>1</v>
      </c>
      <c r="L39" s="162">
        <f t="shared" si="17"/>
        <v>0</v>
      </c>
      <c r="M39" s="139"/>
      <c r="N39" s="139"/>
      <c r="O39" s="178"/>
      <c r="P39" s="190"/>
      <c r="Q39" s="178">
        <f t="shared" si="7"/>
        <v>0</v>
      </c>
      <c r="R39" s="162">
        <f t="shared" si="8"/>
        <v>1</v>
      </c>
      <c r="S39" s="162">
        <f t="shared" si="9"/>
        <v>0</v>
      </c>
      <c r="T39" s="191">
        <f t="shared" si="10"/>
        <v>0</v>
      </c>
      <c r="U39" s="178">
        <f t="shared" ref="U39:V39" si="22">C39/100</f>
        <v>0</v>
      </c>
      <c r="V39" s="178">
        <f t="shared" si="22"/>
        <v>0</v>
      </c>
      <c r="W39" s="178">
        <f t="shared" si="12"/>
        <v>0</v>
      </c>
      <c r="X39" s="192">
        <f t="shared" si="13"/>
        <v>0</v>
      </c>
      <c r="Y39" s="139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</row>
    <row r="40" ht="27.0" customHeight="1">
      <c r="A40" s="162">
        <v>9.0</v>
      </c>
      <c r="B40" s="193"/>
      <c r="C40" s="193"/>
      <c r="D40" s="193"/>
      <c r="E40" s="193"/>
      <c r="F40" s="194">
        <f t="shared" si="5"/>
        <v>0</v>
      </c>
      <c r="G40" s="193">
        <v>1.0</v>
      </c>
      <c r="H40" s="195">
        <f t="shared" si="6"/>
        <v>0</v>
      </c>
      <c r="I40" s="139"/>
      <c r="J40" s="178">
        <f t="shared" si="15"/>
        <v>0</v>
      </c>
      <c r="K40" s="162">
        <f t="shared" si="16"/>
        <v>1</v>
      </c>
      <c r="L40" s="162">
        <f t="shared" si="17"/>
        <v>0</v>
      </c>
      <c r="M40" s="139"/>
      <c r="N40" s="139"/>
      <c r="O40" s="178"/>
      <c r="P40" s="190"/>
      <c r="Q40" s="178">
        <f t="shared" si="7"/>
        <v>0</v>
      </c>
      <c r="R40" s="162">
        <f t="shared" si="8"/>
        <v>1</v>
      </c>
      <c r="S40" s="162">
        <f t="shared" si="9"/>
        <v>0</v>
      </c>
      <c r="T40" s="191">
        <f t="shared" si="10"/>
        <v>0</v>
      </c>
      <c r="U40" s="178">
        <f t="shared" ref="U40:V40" si="23">C40/100</f>
        <v>0</v>
      </c>
      <c r="V40" s="178">
        <f t="shared" si="23"/>
        <v>0</v>
      </c>
      <c r="W40" s="178">
        <f t="shared" si="12"/>
        <v>0</v>
      </c>
      <c r="X40" s="192">
        <f t="shared" si="13"/>
        <v>0</v>
      </c>
      <c r="Y40" s="139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</row>
    <row r="41" ht="27.0" customHeight="1">
      <c r="A41" s="162">
        <v>10.0</v>
      </c>
      <c r="B41" s="193"/>
      <c r="C41" s="193"/>
      <c r="D41" s="193"/>
      <c r="E41" s="193"/>
      <c r="F41" s="194">
        <f t="shared" si="5"/>
        <v>0</v>
      </c>
      <c r="G41" s="193">
        <v>1.0</v>
      </c>
      <c r="H41" s="195">
        <f t="shared" si="6"/>
        <v>0</v>
      </c>
      <c r="I41" s="139"/>
      <c r="J41" s="178">
        <f t="shared" si="15"/>
        <v>0</v>
      </c>
      <c r="K41" s="162">
        <f t="shared" si="16"/>
        <v>1</v>
      </c>
      <c r="L41" s="162">
        <f t="shared" si="17"/>
        <v>0</v>
      </c>
      <c r="M41" s="139"/>
      <c r="N41" s="139"/>
      <c r="O41" s="178"/>
      <c r="P41" s="190"/>
      <c r="Q41" s="178">
        <f t="shared" si="7"/>
        <v>0</v>
      </c>
      <c r="R41" s="162">
        <f t="shared" si="8"/>
        <v>1</v>
      </c>
      <c r="S41" s="162">
        <f t="shared" si="9"/>
        <v>0</v>
      </c>
      <c r="T41" s="191">
        <f t="shared" si="10"/>
        <v>0</v>
      </c>
      <c r="U41" s="178">
        <f t="shared" ref="U41:V41" si="24">C41/100</f>
        <v>0</v>
      </c>
      <c r="V41" s="178">
        <f t="shared" si="24"/>
        <v>0</v>
      </c>
      <c r="W41" s="178">
        <f t="shared" si="12"/>
        <v>0</v>
      </c>
      <c r="X41" s="192">
        <f t="shared" si="13"/>
        <v>0</v>
      </c>
      <c r="Y41" s="139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</row>
    <row r="42" ht="27.0" customHeight="1">
      <c r="A42" s="162">
        <v>11.0</v>
      </c>
      <c r="B42" s="193"/>
      <c r="C42" s="193"/>
      <c r="D42" s="193"/>
      <c r="E42" s="193"/>
      <c r="F42" s="194">
        <f t="shared" si="5"/>
        <v>0</v>
      </c>
      <c r="G42" s="193">
        <v>1.0</v>
      </c>
      <c r="H42" s="195">
        <f t="shared" si="6"/>
        <v>0</v>
      </c>
      <c r="I42" s="139"/>
      <c r="J42" s="178">
        <f t="shared" si="15"/>
        <v>0</v>
      </c>
      <c r="K42" s="162">
        <f t="shared" si="16"/>
        <v>1</v>
      </c>
      <c r="L42" s="162">
        <f t="shared" si="17"/>
        <v>0</v>
      </c>
      <c r="M42" s="139"/>
      <c r="N42" s="139"/>
      <c r="O42" s="178"/>
      <c r="P42" s="190"/>
      <c r="Q42" s="178">
        <f t="shared" si="7"/>
        <v>0</v>
      </c>
      <c r="R42" s="162">
        <f t="shared" si="8"/>
        <v>1</v>
      </c>
      <c r="S42" s="162">
        <f t="shared" si="9"/>
        <v>0</v>
      </c>
      <c r="T42" s="191">
        <f t="shared" si="10"/>
        <v>0</v>
      </c>
      <c r="U42" s="178">
        <f t="shared" ref="U42:V42" si="25">C42/100</f>
        <v>0</v>
      </c>
      <c r="V42" s="178">
        <f t="shared" si="25"/>
        <v>0</v>
      </c>
      <c r="W42" s="178">
        <f t="shared" si="12"/>
        <v>0</v>
      </c>
      <c r="X42" s="192">
        <f t="shared" si="13"/>
        <v>0</v>
      </c>
      <c r="Y42" s="139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</row>
    <row r="43" ht="27.0" customHeight="1">
      <c r="A43" s="162">
        <v>12.0</v>
      </c>
      <c r="B43" s="193"/>
      <c r="C43" s="193"/>
      <c r="D43" s="193"/>
      <c r="E43" s="193"/>
      <c r="F43" s="194">
        <f t="shared" si="5"/>
        <v>0</v>
      </c>
      <c r="G43" s="193">
        <v>1.0</v>
      </c>
      <c r="H43" s="195">
        <f t="shared" si="6"/>
        <v>0</v>
      </c>
      <c r="I43" s="139"/>
      <c r="J43" s="178">
        <f t="shared" si="15"/>
        <v>0</v>
      </c>
      <c r="K43" s="162">
        <f t="shared" si="16"/>
        <v>1</v>
      </c>
      <c r="L43" s="162">
        <f t="shared" si="17"/>
        <v>0</v>
      </c>
      <c r="M43" s="139"/>
      <c r="N43" s="139"/>
      <c r="O43" s="178"/>
      <c r="P43" s="190"/>
      <c r="Q43" s="178">
        <f t="shared" si="7"/>
        <v>0</v>
      </c>
      <c r="R43" s="162">
        <f t="shared" si="8"/>
        <v>1</v>
      </c>
      <c r="S43" s="162">
        <f t="shared" si="9"/>
        <v>0</v>
      </c>
      <c r="T43" s="191">
        <f t="shared" si="10"/>
        <v>0</v>
      </c>
      <c r="U43" s="178">
        <f t="shared" ref="U43:V43" si="26">C43/100</f>
        <v>0</v>
      </c>
      <c r="V43" s="178">
        <f t="shared" si="26"/>
        <v>0</v>
      </c>
      <c r="W43" s="178">
        <f t="shared" si="12"/>
        <v>0</v>
      </c>
      <c r="X43" s="192">
        <f t="shared" si="13"/>
        <v>0</v>
      </c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</row>
    <row r="44" ht="27.0" customHeight="1">
      <c r="A44" s="162">
        <v>13.0</v>
      </c>
      <c r="B44" s="193"/>
      <c r="C44" s="193"/>
      <c r="D44" s="193"/>
      <c r="E44" s="193"/>
      <c r="F44" s="194">
        <f t="shared" si="5"/>
        <v>0</v>
      </c>
      <c r="G44" s="193">
        <v>1.0</v>
      </c>
      <c r="H44" s="195">
        <f t="shared" si="6"/>
        <v>0</v>
      </c>
      <c r="I44" s="139"/>
      <c r="J44" s="178">
        <f t="shared" si="15"/>
        <v>0</v>
      </c>
      <c r="K44" s="162">
        <f t="shared" si="16"/>
        <v>1</v>
      </c>
      <c r="L44" s="162">
        <f t="shared" si="17"/>
        <v>0</v>
      </c>
      <c r="M44" s="139"/>
      <c r="N44" s="139"/>
      <c r="O44" s="178"/>
      <c r="P44" s="190"/>
      <c r="Q44" s="178">
        <f t="shared" si="7"/>
        <v>0</v>
      </c>
      <c r="R44" s="162">
        <f t="shared" si="8"/>
        <v>1</v>
      </c>
      <c r="S44" s="162">
        <f t="shared" si="9"/>
        <v>0</v>
      </c>
      <c r="T44" s="191">
        <f t="shared" si="10"/>
        <v>0</v>
      </c>
      <c r="U44" s="178">
        <f t="shared" ref="U44:V44" si="27">C44/100</f>
        <v>0</v>
      </c>
      <c r="V44" s="178">
        <f t="shared" si="27"/>
        <v>0</v>
      </c>
      <c r="W44" s="178">
        <f t="shared" si="12"/>
        <v>0</v>
      </c>
      <c r="X44" s="192">
        <f t="shared" si="13"/>
        <v>0</v>
      </c>
      <c r="Y44" s="139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</row>
    <row r="45" ht="27.0" customHeight="1">
      <c r="A45" s="162">
        <v>14.0</v>
      </c>
      <c r="B45" s="193"/>
      <c r="C45" s="193"/>
      <c r="D45" s="193"/>
      <c r="E45" s="193"/>
      <c r="F45" s="194">
        <f t="shared" si="5"/>
        <v>0</v>
      </c>
      <c r="G45" s="193">
        <v>1.0</v>
      </c>
      <c r="H45" s="195">
        <f t="shared" si="6"/>
        <v>0</v>
      </c>
      <c r="I45" s="139"/>
      <c r="J45" s="178">
        <f t="shared" si="15"/>
        <v>0</v>
      </c>
      <c r="K45" s="162">
        <f t="shared" si="16"/>
        <v>1</v>
      </c>
      <c r="L45" s="162">
        <f t="shared" si="17"/>
        <v>0</v>
      </c>
      <c r="M45" s="139"/>
      <c r="N45" s="139"/>
      <c r="O45" s="178"/>
      <c r="P45" s="190"/>
      <c r="Q45" s="178">
        <f t="shared" si="7"/>
        <v>0</v>
      </c>
      <c r="R45" s="162">
        <f t="shared" si="8"/>
        <v>1</v>
      </c>
      <c r="S45" s="162">
        <f t="shared" si="9"/>
        <v>0</v>
      </c>
      <c r="T45" s="191">
        <f t="shared" si="10"/>
        <v>0</v>
      </c>
      <c r="U45" s="178">
        <f t="shared" ref="U45:V45" si="28">C45/100</f>
        <v>0</v>
      </c>
      <c r="V45" s="178">
        <f t="shared" si="28"/>
        <v>0</v>
      </c>
      <c r="W45" s="178">
        <f t="shared" si="12"/>
        <v>0</v>
      </c>
      <c r="X45" s="192">
        <f t="shared" si="13"/>
        <v>0</v>
      </c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</row>
    <row r="46" ht="27.0" customHeight="1">
      <c r="A46" s="162">
        <v>15.0</v>
      </c>
      <c r="B46" s="193"/>
      <c r="C46" s="193"/>
      <c r="D46" s="193"/>
      <c r="E46" s="193"/>
      <c r="F46" s="194">
        <f t="shared" si="5"/>
        <v>0</v>
      </c>
      <c r="G46" s="193">
        <v>1.0</v>
      </c>
      <c r="H46" s="195">
        <f t="shared" si="6"/>
        <v>0</v>
      </c>
      <c r="I46" s="139"/>
      <c r="J46" s="178">
        <f t="shared" si="15"/>
        <v>0</v>
      </c>
      <c r="K46" s="162">
        <f t="shared" si="16"/>
        <v>1</v>
      </c>
      <c r="L46" s="162">
        <f t="shared" si="17"/>
        <v>0</v>
      </c>
      <c r="M46" s="139"/>
      <c r="N46" s="139"/>
      <c r="O46" s="178"/>
      <c r="P46" s="190"/>
      <c r="Q46" s="178">
        <f t="shared" si="7"/>
        <v>0</v>
      </c>
      <c r="R46" s="162">
        <f t="shared" si="8"/>
        <v>1</v>
      </c>
      <c r="S46" s="162">
        <f t="shared" si="9"/>
        <v>0</v>
      </c>
      <c r="T46" s="191">
        <f t="shared" si="10"/>
        <v>0</v>
      </c>
      <c r="U46" s="178">
        <f t="shared" ref="U46:V46" si="29">C46/100</f>
        <v>0</v>
      </c>
      <c r="V46" s="178">
        <f t="shared" si="29"/>
        <v>0</v>
      </c>
      <c r="W46" s="178">
        <f t="shared" si="12"/>
        <v>0</v>
      </c>
      <c r="X46" s="192">
        <f t="shared" si="13"/>
        <v>0</v>
      </c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</row>
    <row r="47" ht="27.0" customHeight="1">
      <c r="A47" s="162">
        <v>16.0</v>
      </c>
      <c r="B47" s="193"/>
      <c r="C47" s="193"/>
      <c r="D47" s="193"/>
      <c r="E47" s="193"/>
      <c r="F47" s="194">
        <f t="shared" si="5"/>
        <v>0</v>
      </c>
      <c r="G47" s="193">
        <v>1.0</v>
      </c>
      <c r="H47" s="195">
        <f t="shared" si="6"/>
        <v>0</v>
      </c>
      <c r="I47" s="139"/>
      <c r="J47" s="178">
        <f t="shared" si="15"/>
        <v>0</v>
      </c>
      <c r="K47" s="162">
        <f t="shared" si="16"/>
        <v>1</v>
      </c>
      <c r="L47" s="162">
        <f t="shared" si="17"/>
        <v>0</v>
      </c>
      <c r="M47" s="139"/>
      <c r="N47" s="139"/>
      <c r="O47" s="178"/>
      <c r="P47" s="190"/>
      <c r="Q47" s="178">
        <f t="shared" si="7"/>
        <v>0</v>
      </c>
      <c r="R47" s="162">
        <f t="shared" si="8"/>
        <v>1</v>
      </c>
      <c r="S47" s="162">
        <f t="shared" si="9"/>
        <v>0</v>
      </c>
      <c r="T47" s="191">
        <f t="shared" si="10"/>
        <v>0</v>
      </c>
      <c r="U47" s="178">
        <f t="shared" ref="U47:V47" si="30">C47/100</f>
        <v>0</v>
      </c>
      <c r="V47" s="178">
        <f t="shared" si="30"/>
        <v>0</v>
      </c>
      <c r="W47" s="178">
        <f t="shared" si="12"/>
        <v>0</v>
      </c>
      <c r="X47" s="192">
        <f t="shared" si="13"/>
        <v>0</v>
      </c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</row>
    <row r="48" ht="27.0" customHeight="1">
      <c r="A48" s="162">
        <v>17.0</v>
      </c>
      <c r="B48" s="193"/>
      <c r="C48" s="193"/>
      <c r="D48" s="193"/>
      <c r="E48" s="193"/>
      <c r="F48" s="194">
        <f t="shared" si="5"/>
        <v>0</v>
      </c>
      <c r="G48" s="193">
        <v>1.0</v>
      </c>
      <c r="H48" s="195">
        <f t="shared" si="6"/>
        <v>0</v>
      </c>
      <c r="I48" s="139"/>
      <c r="J48" s="178">
        <f t="shared" si="15"/>
        <v>0</v>
      </c>
      <c r="K48" s="162">
        <f t="shared" si="16"/>
        <v>1</v>
      </c>
      <c r="L48" s="162">
        <f t="shared" si="17"/>
        <v>0</v>
      </c>
      <c r="M48" s="139"/>
      <c r="N48" s="139"/>
      <c r="O48" s="178"/>
      <c r="P48" s="190"/>
      <c r="Q48" s="178">
        <f t="shared" si="7"/>
        <v>0</v>
      </c>
      <c r="R48" s="162">
        <f t="shared" si="8"/>
        <v>1</v>
      </c>
      <c r="S48" s="162">
        <f t="shared" si="9"/>
        <v>0</v>
      </c>
      <c r="T48" s="191">
        <f t="shared" si="10"/>
        <v>0</v>
      </c>
      <c r="U48" s="178">
        <f t="shared" ref="U48:V48" si="31">C48/100</f>
        <v>0</v>
      </c>
      <c r="V48" s="178">
        <f t="shared" si="31"/>
        <v>0</v>
      </c>
      <c r="W48" s="178">
        <f t="shared" si="12"/>
        <v>0</v>
      </c>
      <c r="X48" s="192">
        <f t="shared" si="13"/>
        <v>0</v>
      </c>
      <c r="Y48" s="139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</row>
    <row r="49" ht="27.0" customHeight="1">
      <c r="A49" s="162">
        <v>18.0</v>
      </c>
      <c r="B49" s="193"/>
      <c r="C49" s="193"/>
      <c r="D49" s="193"/>
      <c r="E49" s="193"/>
      <c r="F49" s="194">
        <f t="shared" si="5"/>
        <v>0</v>
      </c>
      <c r="G49" s="193">
        <v>1.0</v>
      </c>
      <c r="H49" s="195">
        <f t="shared" si="6"/>
        <v>0</v>
      </c>
      <c r="I49" s="139"/>
      <c r="J49" s="178">
        <f t="shared" si="15"/>
        <v>0</v>
      </c>
      <c r="K49" s="162">
        <f t="shared" si="16"/>
        <v>1</v>
      </c>
      <c r="L49" s="162">
        <f t="shared" si="17"/>
        <v>0</v>
      </c>
      <c r="M49" s="139"/>
      <c r="N49" s="139"/>
      <c r="O49" s="178"/>
      <c r="P49" s="190"/>
      <c r="Q49" s="178">
        <f t="shared" si="7"/>
        <v>0</v>
      </c>
      <c r="R49" s="162">
        <f t="shared" si="8"/>
        <v>1</v>
      </c>
      <c r="S49" s="162">
        <f t="shared" si="9"/>
        <v>0</v>
      </c>
      <c r="T49" s="191">
        <f t="shared" si="10"/>
        <v>0</v>
      </c>
      <c r="U49" s="178">
        <f t="shared" ref="U49:V49" si="32">C49/100</f>
        <v>0</v>
      </c>
      <c r="V49" s="178">
        <f t="shared" si="32"/>
        <v>0</v>
      </c>
      <c r="W49" s="178">
        <f t="shared" si="12"/>
        <v>0</v>
      </c>
      <c r="X49" s="192">
        <f t="shared" si="13"/>
        <v>0</v>
      </c>
      <c r="Y49" s="139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</row>
    <row r="50" ht="27.0" customHeight="1">
      <c r="A50" s="162">
        <v>19.0</v>
      </c>
      <c r="B50" s="193"/>
      <c r="C50" s="193"/>
      <c r="D50" s="193"/>
      <c r="E50" s="193"/>
      <c r="F50" s="194">
        <f t="shared" si="5"/>
        <v>0</v>
      </c>
      <c r="G50" s="193">
        <v>1.0</v>
      </c>
      <c r="H50" s="195">
        <f t="shared" si="6"/>
        <v>0</v>
      </c>
      <c r="I50" s="139"/>
      <c r="J50" s="178">
        <f t="shared" si="15"/>
        <v>0</v>
      </c>
      <c r="K50" s="162">
        <f t="shared" si="16"/>
        <v>1</v>
      </c>
      <c r="L50" s="162">
        <f t="shared" si="17"/>
        <v>0</v>
      </c>
      <c r="M50" s="139"/>
      <c r="N50" s="139"/>
      <c r="O50" s="178"/>
      <c r="P50" s="190"/>
      <c r="Q50" s="178">
        <f t="shared" si="7"/>
        <v>0</v>
      </c>
      <c r="R50" s="162">
        <f t="shared" si="8"/>
        <v>1</v>
      </c>
      <c r="S50" s="162">
        <f t="shared" si="9"/>
        <v>0</v>
      </c>
      <c r="T50" s="191">
        <f t="shared" si="10"/>
        <v>0</v>
      </c>
      <c r="U50" s="178">
        <f t="shared" ref="U50:V50" si="33">C50/100</f>
        <v>0</v>
      </c>
      <c r="V50" s="178">
        <f t="shared" si="33"/>
        <v>0</v>
      </c>
      <c r="W50" s="178">
        <f t="shared" si="12"/>
        <v>0</v>
      </c>
      <c r="X50" s="192">
        <f t="shared" si="13"/>
        <v>0</v>
      </c>
      <c r="Y50" s="139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</row>
    <row r="51" ht="27.0" customHeight="1">
      <c r="A51" s="162">
        <v>20.0</v>
      </c>
      <c r="B51" s="193"/>
      <c r="C51" s="193"/>
      <c r="D51" s="193"/>
      <c r="E51" s="193"/>
      <c r="F51" s="194">
        <f t="shared" si="5"/>
        <v>0</v>
      </c>
      <c r="G51" s="193">
        <v>1.0</v>
      </c>
      <c r="H51" s="195">
        <f t="shared" si="6"/>
        <v>0</v>
      </c>
      <c r="I51" s="139"/>
      <c r="J51" s="178">
        <f t="shared" si="15"/>
        <v>0</v>
      </c>
      <c r="K51" s="162">
        <f t="shared" si="16"/>
        <v>1</v>
      </c>
      <c r="L51" s="162">
        <f t="shared" si="17"/>
        <v>0</v>
      </c>
      <c r="M51" s="139"/>
      <c r="N51" s="139"/>
      <c r="O51" s="178"/>
      <c r="P51" s="190"/>
      <c r="Q51" s="178">
        <f t="shared" si="7"/>
        <v>0</v>
      </c>
      <c r="R51" s="162">
        <f t="shared" si="8"/>
        <v>1</v>
      </c>
      <c r="S51" s="162">
        <f t="shared" si="9"/>
        <v>0</v>
      </c>
      <c r="T51" s="191">
        <f t="shared" si="10"/>
        <v>0</v>
      </c>
      <c r="U51" s="178">
        <f t="shared" ref="U51:V51" si="34">C51/100</f>
        <v>0</v>
      </c>
      <c r="V51" s="178">
        <f t="shared" si="34"/>
        <v>0</v>
      </c>
      <c r="W51" s="178">
        <f t="shared" si="12"/>
        <v>0</v>
      </c>
      <c r="X51" s="192">
        <f t="shared" si="13"/>
        <v>0</v>
      </c>
      <c r="Y51" s="139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</row>
    <row r="52" ht="27.0" customHeight="1">
      <c r="A52" s="162">
        <v>21.0</v>
      </c>
      <c r="B52" s="193"/>
      <c r="C52" s="193"/>
      <c r="D52" s="193"/>
      <c r="E52" s="193"/>
      <c r="F52" s="194">
        <f t="shared" si="5"/>
        <v>0</v>
      </c>
      <c r="G52" s="193">
        <v>1.0</v>
      </c>
      <c r="H52" s="195">
        <f t="shared" si="6"/>
        <v>0</v>
      </c>
      <c r="I52" s="139"/>
      <c r="J52" s="178">
        <f t="shared" si="15"/>
        <v>0</v>
      </c>
      <c r="K52" s="162">
        <f t="shared" si="16"/>
        <v>1</v>
      </c>
      <c r="L52" s="162">
        <f t="shared" si="17"/>
        <v>0</v>
      </c>
      <c r="M52" s="139"/>
      <c r="N52" s="139"/>
      <c r="O52" s="178"/>
      <c r="P52" s="190"/>
      <c r="Q52" s="178">
        <f t="shared" si="7"/>
        <v>0</v>
      </c>
      <c r="R52" s="162">
        <f t="shared" si="8"/>
        <v>1</v>
      </c>
      <c r="S52" s="162">
        <f t="shared" si="9"/>
        <v>0</v>
      </c>
      <c r="T52" s="191">
        <f t="shared" si="10"/>
        <v>0</v>
      </c>
      <c r="U52" s="178">
        <f t="shared" ref="U52:V52" si="35">C52/100</f>
        <v>0</v>
      </c>
      <c r="V52" s="178">
        <f t="shared" si="35"/>
        <v>0</v>
      </c>
      <c r="W52" s="178">
        <f t="shared" si="12"/>
        <v>0</v>
      </c>
      <c r="X52" s="192">
        <f t="shared" si="13"/>
        <v>0</v>
      </c>
      <c r="Y52" s="139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</row>
    <row r="53" ht="27.0" customHeight="1">
      <c r="A53" s="162">
        <v>22.0</v>
      </c>
      <c r="B53" s="193"/>
      <c r="C53" s="193"/>
      <c r="D53" s="193"/>
      <c r="E53" s="193"/>
      <c r="F53" s="194">
        <f t="shared" si="5"/>
        <v>0</v>
      </c>
      <c r="G53" s="193">
        <v>1.0</v>
      </c>
      <c r="H53" s="195">
        <f t="shared" si="6"/>
        <v>0</v>
      </c>
      <c r="I53" s="139"/>
      <c r="J53" s="178">
        <f t="shared" si="15"/>
        <v>0</v>
      </c>
      <c r="K53" s="162">
        <f t="shared" si="16"/>
        <v>1</v>
      </c>
      <c r="L53" s="162">
        <f t="shared" si="17"/>
        <v>0</v>
      </c>
      <c r="M53" s="139"/>
      <c r="N53" s="139"/>
      <c r="O53" s="178"/>
      <c r="P53" s="190"/>
      <c r="Q53" s="178">
        <f t="shared" si="7"/>
        <v>0</v>
      </c>
      <c r="R53" s="162">
        <f t="shared" si="8"/>
        <v>1</v>
      </c>
      <c r="S53" s="162">
        <f t="shared" si="9"/>
        <v>0</v>
      </c>
      <c r="T53" s="191">
        <f t="shared" si="10"/>
        <v>0</v>
      </c>
      <c r="U53" s="178">
        <f t="shared" ref="U53:V53" si="36">C53/100</f>
        <v>0</v>
      </c>
      <c r="V53" s="178">
        <f t="shared" si="36"/>
        <v>0</v>
      </c>
      <c r="W53" s="178">
        <f t="shared" si="12"/>
        <v>0</v>
      </c>
      <c r="X53" s="192">
        <f t="shared" si="13"/>
        <v>0</v>
      </c>
      <c r="Y53" s="139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</row>
    <row r="54" ht="27.0" customHeight="1">
      <c r="A54" s="162">
        <v>23.0</v>
      </c>
      <c r="B54" s="193"/>
      <c r="C54" s="193"/>
      <c r="D54" s="193"/>
      <c r="E54" s="193"/>
      <c r="F54" s="194">
        <f t="shared" si="5"/>
        <v>0</v>
      </c>
      <c r="G54" s="193">
        <v>1.0</v>
      </c>
      <c r="H54" s="195">
        <f t="shared" si="6"/>
        <v>0</v>
      </c>
      <c r="I54" s="139"/>
      <c r="J54" s="178">
        <f t="shared" si="15"/>
        <v>0</v>
      </c>
      <c r="K54" s="162">
        <f t="shared" si="16"/>
        <v>1</v>
      </c>
      <c r="L54" s="162">
        <f t="shared" si="17"/>
        <v>0</v>
      </c>
      <c r="M54" s="139"/>
      <c r="N54" s="139"/>
      <c r="O54" s="178"/>
      <c r="P54" s="190"/>
      <c r="Q54" s="178">
        <f t="shared" si="7"/>
        <v>0</v>
      </c>
      <c r="R54" s="162">
        <f t="shared" si="8"/>
        <v>1</v>
      </c>
      <c r="S54" s="162">
        <f t="shared" si="9"/>
        <v>0</v>
      </c>
      <c r="T54" s="191">
        <f t="shared" si="10"/>
        <v>0</v>
      </c>
      <c r="U54" s="178">
        <f t="shared" ref="U54:V54" si="37">C54/100</f>
        <v>0</v>
      </c>
      <c r="V54" s="178">
        <f t="shared" si="37"/>
        <v>0</v>
      </c>
      <c r="W54" s="178">
        <f t="shared" si="12"/>
        <v>0</v>
      </c>
      <c r="X54" s="192">
        <f t="shared" si="13"/>
        <v>0</v>
      </c>
      <c r="Y54" s="139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</row>
    <row r="55" ht="27.0" customHeight="1">
      <c r="A55" s="162">
        <v>24.0</v>
      </c>
      <c r="B55" s="193"/>
      <c r="C55" s="193"/>
      <c r="D55" s="193"/>
      <c r="E55" s="193"/>
      <c r="F55" s="194">
        <f t="shared" si="5"/>
        <v>0</v>
      </c>
      <c r="G55" s="193">
        <v>1.0</v>
      </c>
      <c r="H55" s="195">
        <f t="shared" si="6"/>
        <v>0</v>
      </c>
      <c r="I55" s="139"/>
      <c r="J55" s="178">
        <f t="shared" si="15"/>
        <v>0</v>
      </c>
      <c r="K55" s="162">
        <f t="shared" si="16"/>
        <v>1</v>
      </c>
      <c r="L55" s="162">
        <f t="shared" si="17"/>
        <v>0</v>
      </c>
      <c r="M55" s="139"/>
      <c r="N55" s="139"/>
      <c r="O55" s="178"/>
      <c r="P55" s="190"/>
      <c r="Q55" s="178">
        <f t="shared" si="7"/>
        <v>0</v>
      </c>
      <c r="R55" s="162">
        <f t="shared" si="8"/>
        <v>1</v>
      </c>
      <c r="S55" s="162">
        <f t="shared" si="9"/>
        <v>0</v>
      </c>
      <c r="T55" s="191">
        <f t="shared" si="10"/>
        <v>0</v>
      </c>
      <c r="U55" s="178">
        <f t="shared" ref="U55:V55" si="38">C55/100</f>
        <v>0</v>
      </c>
      <c r="V55" s="178">
        <f t="shared" si="38"/>
        <v>0</v>
      </c>
      <c r="W55" s="178">
        <f t="shared" si="12"/>
        <v>0</v>
      </c>
      <c r="X55" s="192">
        <f t="shared" si="13"/>
        <v>0</v>
      </c>
      <c r="Y55" s="139"/>
      <c r="Z55" s="139"/>
      <c r="AA55" s="139"/>
      <c r="AB55" s="139"/>
      <c r="AC55" s="139"/>
      <c r="AD55" s="139"/>
      <c r="AE55" s="139"/>
      <c r="AF55" s="139"/>
      <c r="AG55" s="139"/>
      <c r="AH55" s="139"/>
      <c r="AI55" s="139"/>
    </row>
    <row r="56" ht="27.0" customHeight="1">
      <c r="A56" s="162">
        <v>25.0</v>
      </c>
      <c r="B56" s="193"/>
      <c r="C56" s="193"/>
      <c r="D56" s="193"/>
      <c r="E56" s="193"/>
      <c r="F56" s="194">
        <f t="shared" si="5"/>
        <v>0</v>
      </c>
      <c r="G56" s="193">
        <v>1.0</v>
      </c>
      <c r="H56" s="195">
        <f t="shared" si="6"/>
        <v>0</v>
      </c>
      <c r="I56" s="139"/>
      <c r="J56" s="178">
        <f t="shared" si="15"/>
        <v>0</v>
      </c>
      <c r="K56" s="162">
        <f t="shared" si="16"/>
        <v>1</v>
      </c>
      <c r="L56" s="162">
        <f t="shared" si="17"/>
        <v>0</v>
      </c>
      <c r="M56" s="139"/>
      <c r="N56" s="139"/>
      <c r="O56" s="178"/>
      <c r="P56" s="190"/>
      <c r="Q56" s="178">
        <f t="shared" si="7"/>
        <v>0</v>
      </c>
      <c r="R56" s="162">
        <f t="shared" si="8"/>
        <v>1</v>
      </c>
      <c r="S56" s="162">
        <f t="shared" si="9"/>
        <v>0</v>
      </c>
      <c r="T56" s="191">
        <f t="shared" si="10"/>
        <v>0</v>
      </c>
      <c r="U56" s="178">
        <f t="shared" ref="U56:V56" si="39">C56/100</f>
        <v>0</v>
      </c>
      <c r="V56" s="178">
        <f t="shared" si="39"/>
        <v>0</v>
      </c>
      <c r="W56" s="178">
        <f t="shared" si="12"/>
        <v>0</v>
      </c>
      <c r="X56" s="192">
        <f t="shared" si="13"/>
        <v>0</v>
      </c>
      <c r="Y56" s="139"/>
      <c r="Z56" s="139"/>
      <c r="AA56" s="139"/>
      <c r="AB56" s="139"/>
      <c r="AC56" s="139"/>
      <c r="AD56" s="139"/>
      <c r="AE56" s="139"/>
      <c r="AF56" s="139"/>
      <c r="AG56" s="139"/>
      <c r="AH56" s="139"/>
      <c r="AI56" s="139"/>
    </row>
    <row r="57" ht="27.0" customHeight="1">
      <c r="A57" s="162">
        <v>26.0</v>
      </c>
      <c r="B57" s="193"/>
      <c r="C57" s="193"/>
      <c r="D57" s="193"/>
      <c r="E57" s="193"/>
      <c r="F57" s="194">
        <f t="shared" si="5"/>
        <v>0</v>
      </c>
      <c r="G57" s="193">
        <v>1.0</v>
      </c>
      <c r="H57" s="195">
        <f t="shared" si="6"/>
        <v>0</v>
      </c>
      <c r="I57" s="139"/>
      <c r="J57" s="197"/>
      <c r="K57" s="198">
        <f t="shared" si="16"/>
        <v>1</v>
      </c>
      <c r="L57" s="198"/>
      <c r="M57" s="139"/>
      <c r="N57" s="139"/>
      <c r="O57" s="178"/>
      <c r="P57" s="190"/>
      <c r="Q57" s="178">
        <f t="shared" si="7"/>
        <v>0</v>
      </c>
      <c r="R57" s="162">
        <f t="shared" si="8"/>
        <v>1</v>
      </c>
      <c r="S57" s="162">
        <f t="shared" si="9"/>
        <v>0</v>
      </c>
      <c r="T57" s="191">
        <f t="shared" si="10"/>
        <v>0</v>
      </c>
      <c r="U57" s="178">
        <f t="shared" ref="U57:V57" si="40">C57/100</f>
        <v>0</v>
      </c>
      <c r="V57" s="178">
        <f t="shared" si="40"/>
        <v>0</v>
      </c>
      <c r="W57" s="178">
        <f t="shared" si="12"/>
        <v>0</v>
      </c>
      <c r="X57" s="192">
        <f t="shared" si="13"/>
        <v>0</v>
      </c>
      <c r="Y57" s="139"/>
      <c r="Z57" s="139"/>
      <c r="AA57" s="139"/>
      <c r="AB57" s="139"/>
      <c r="AC57" s="139"/>
      <c r="AD57" s="139"/>
      <c r="AE57" s="139"/>
      <c r="AF57" s="139"/>
      <c r="AG57" s="139"/>
      <c r="AH57" s="139"/>
      <c r="AI57" s="139"/>
    </row>
    <row r="58" ht="27.0" customHeight="1">
      <c r="A58" s="162">
        <v>27.0</v>
      </c>
      <c r="B58" s="193"/>
      <c r="C58" s="193"/>
      <c r="D58" s="193"/>
      <c r="E58" s="193"/>
      <c r="F58" s="194">
        <f t="shared" si="5"/>
        <v>0</v>
      </c>
      <c r="G58" s="193">
        <v>1.0</v>
      </c>
      <c r="H58" s="195">
        <f t="shared" si="6"/>
        <v>0</v>
      </c>
      <c r="I58" s="139"/>
      <c r="J58" s="197"/>
      <c r="K58" s="198">
        <f t="shared" si="16"/>
        <v>1</v>
      </c>
      <c r="L58" s="198"/>
      <c r="M58" s="139"/>
      <c r="N58" s="139"/>
      <c r="O58" s="178"/>
      <c r="P58" s="190"/>
      <c r="Q58" s="178">
        <f t="shared" si="7"/>
        <v>0</v>
      </c>
      <c r="R58" s="162">
        <f t="shared" si="8"/>
        <v>1</v>
      </c>
      <c r="S58" s="162">
        <f t="shared" si="9"/>
        <v>0</v>
      </c>
      <c r="T58" s="191">
        <f t="shared" si="10"/>
        <v>0</v>
      </c>
      <c r="U58" s="178">
        <f t="shared" ref="U58:V58" si="41">C58/100</f>
        <v>0</v>
      </c>
      <c r="V58" s="178">
        <f t="shared" si="41"/>
        <v>0</v>
      </c>
      <c r="W58" s="178">
        <f t="shared" si="12"/>
        <v>0</v>
      </c>
      <c r="X58" s="192">
        <f t="shared" si="13"/>
        <v>0</v>
      </c>
      <c r="Y58" s="139"/>
      <c r="Z58" s="139"/>
      <c r="AA58" s="139"/>
      <c r="AB58" s="139"/>
      <c r="AC58" s="139"/>
      <c r="AD58" s="139"/>
      <c r="AE58" s="139"/>
      <c r="AF58" s="139"/>
      <c r="AG58" s="139"/>
      <c r="AH58" s="139"/>
      <c r="AI58" s="139"/>
    </row>
    <row r="59" ht="27.0" customHeight="1">
      <c r="A59" s="162">
        <v>28.0</v>
      </c>
      <c r="B59" s="193"/>
      <c r="C59" s="193"/>
      <c r="D59" s="193"/>
      <c r="E59" s="193"/>
      <c r="F59" s="194">
        <f t="shared" si="5"/>
        <v>0</v>
      </c>
      <c r="G59" s="193">
        <v>1.0</v>
      </c>
      <c r="H59" s="195">
        <f t="shared" si="6"/>
        <v>0</v>
      </c>
      <c r="I59" s="139"/>
      <c r="J59" s="197"/>
      <c r="K59" s="198">
        <f t="shared" si="16"/>
        <v>1</v>
      </c>
      <c r="L59" s="198"/>
      <c r="M59" s="139"/>
      <c r="N59" s="139"/>
      <c r="O59" s="178"/>
      <c r="P59" s="190"/>
      <c r="Q59" s="178">
        <f t="shared" si="7"/>
        <v>0</v>
      </c>
      <c r="R59" s="162">
        <f t="shared" si="8"/>
        <v>1</v>
      </c>
      <c r="S59" s="162">
        <f t="shared" si="9"/>
        <v>0</v>
      </c>
      <c r="T59" s="191">
        <f t="shared" si="10"/>
        <v>0</v>
      </c>
      <c r="U59" s="178">
        <f t="shared" ref="U59:V59" si="42">C59/100</f>
        <v>0</v>
      </c>
      <c r="V59" s="178">
        <f t="shared" si="42"/>
        <v>0</v>
      </c>
      <c r="W59" s="178">
        <f t="shared" si="12"/>
        <v>0</v>
      </c>
      <c r="X59" s="192">
        <f t="shared" si="13"/>
        <v>0</v>
      </c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</row>
    <row r="60" ht="27.0" customHeight="1">
      <c r="A60" s="162">
        <v>29.0</v>
      </c>
      <c r="B60" s="193"/>
      <c r="C60" s="193"/>
      <c r="D60" s="193"/>
      <c r="E60" s="193"/>
      <c r="F60" s="194">
        <f t="shared" si="5"/>
        <v>0</v>
      </c>
      <c r="G60" s="193">
        <v>1.0</v>
      </c>
      <c r="H60" s="195">
        <f t="shared" si="6"/>
        <v>0</v>
      </c>
      <c r="I60" s="139"/>
      <c r="J60" s="197"/>
      <c r="K60" s="198">
        <f t="shared" si="16"/>
        <v>1</v>
      </c>
      <c r="L60" s="198"/>
      <c r="M60" s="139"/>
      <c r="N60" s="139"/>
      <c r="O60" s="178"/>
      <c r="P60" s="190"/>
      <c r="Q60" s="178">
        <f t="shared" si="7"/>
        <v>0</v>
      </c>
      <c r="R60" s="162">
        <f t="shared" si="8"/>
        <v>1</v>
      </c>
      <c r="S60" s="162">
        <f t="shared" si="9"/>
        <v>0</v>
      </c>
      <c r="T60" s="191">
        <f t="shared" si="10"/>
        <v>0</v>
      </c>
      <c r="U60" s="178">
        <f t="shared" ref="U60:V60" si="43">C60/100</f>
        <v>0</v>
      </c>
      <c r="V60" s="178">
        <f t="shared" si="43"/>
        <v>0</v>
      </c>
      <c r="W60" s="178">
        <f t="shared" si="12"/>
        <v>0</v>
      </c>
      <c r="X60" s="192">
        <f t="shared" si="13"/>
        <v>0</v>
      </c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</row>
    <row r="61" ht="27.0" customHeight="1">
      <c r="A61" s="162">
        <v>30.0</v>
      </c>
      <c r="B61" s="193"/>
      <c r="C61" s="193"/>
      <c r="D61" s="193"/>
      <c r="E61" s="193"/>
      <c r="F61" s="194">
        <f t="shared" si="5"/>
        <v>0</v>
      </c>
      <c r="G61" s="193">
        <v>1.0</v>
      </c>
      <c r="H61" s="195">
        <f t="shared" si="6"/>
        <v>0</v>
      </c>
      <c r="I61" s="139"/>
      <c r="J61" s="197"/>
      <c r="K61" s="198">
        <f t="shared" si="16"/>
        <v>1</v>
      </c>
      <c r="L61" s="198"/>
      <c r="M61" s="139"/>
      <c r="N61" s="139"/>
      <c r="O61" s="178"/>
      <c r="P61" s="190"/>
      <c r="Q61" s="178">
        <f t="shared" si="7"/>
        <v>0</v>
      </c>
      <c r="R61" s="162">
        <f t="shared" si="8"/>
        <v>1</v>
      </c>
      <c r="S61" s="162">
        <f t="shared" si="9"/>
        <v>0</v>
      </c>
      <c r="T61" s="191">
        <f t="shared" si="10"/>
        <v>0</v>
      </c>
      <c r="U61" s="178">
        <f t="shared" ref="U61:V61" si="44">C61/100</f>
        <v>0</v>
      </c>
      <c r="V61" s="178">
        <f t="shared" si="44"/>
        <v>0</v>
      </c>
      <c r="W61" s="178">
        <f t="shared" si="12"/>
        <v>0</v>
      </c>
      <c r="X61" s="192">
        <f t="shared" si="13"/>
        <v>0</v>
      </c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</row>
    <row r="62" ht="27.0" customHeight="1">
      <c r="A62" s="162">
        <v>31.0</v>
      </c>
      <c r="B62" s="193"/>
      <c r="C62" s="193"/>
      <c r="D62" s="193"/>
      <c r="E62" s="193"/>
      <c r="F62" s="194">
        <f t="shared" si="5"/>
        <v>0</v>
      </c>
      <c r="G62" s="193">
        <v>1.0</v>
      </c>
      <c r="H62" s="195">
        <f t="shared" si="6"/>
        <v>0</v>
      </c>
      <c r="I62" s="139"/>
      <c r="J62" s="197"/>
      <c r="K62" s="198">
        <f t="shared" si="16"/>
        <v>1</v>
      </c>
      <c r="L62" s="198"/>
      <c r="M62" s="139"/>
      <c r="N62" s="139"/>
      <c r="O62" s="178"/>
      <c r="P62" s="190"/>
      <c r="Q62" s="178">
        <f t="shared" si="7"/>
        <v>0</v>
      </c>
      <c r="R62" s="162">
        <f t="shared" si="8"/>
        <v>1</v>
      </c>
      <c r="S62" s="162">
        <f t="shared" si="9"/>
        <v>0</v>
      </c>
      <c r="T62" s="191">
        <f t="shared" si="10"/>
        <v>0</v>
      </c>
      <c r="U62" s="178">
        <f t="shared" ref="U62:V62" si="45">C62/100</f>
        <v>0</v>
      </c>
      <c r="V62" s="178">
        <f t="shared" si="45"/>
        <v>0</v>
      </c>
      <c r="W62" s="178">
        <f t="shared" si="12"/>
        <v>0</v>
      </c>
      <c r="X62" s="192">
        <f t="shared" si="13"/>
        <v>0</v>
      </c>
      <c r="Y62" s="139"/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</row>
    <row r="63" ht="27.0" customHeight="1">
      <c r="A63" s="162">
        <v>32.0</v>
      </c>
      <c r="B63" s="193"/>
      <c r="C63" s="193"/>
      <c r="D63" s="193"/>
      <c r="E63" s="193"/>
      <c r="F63" s="194">
        <f t="shared" si="5"/>
        <v>0</v>
      </c>
      <c r="G63" s="193">
        <v>1.0</v>
      </c>
      <c r="H63" s="195">
        <f t="shared" si="6"/>
        <v>0</v>
      </c>
      <c r="I63" s="139"/>
      <c r="J63" s="197"/>
      <c r="K63" s="198">
        <f t="shared" si="16"/>
        <v>1</v>
      </c>
      <c r="L63" s="198"/>
      <c r="M63" s="139"/>
      <c r="N63" s="139"/>
      <c r="O63" s="178"/>
      <c r="P63" s="190"/>
      <c r="Q63" s="178">
        <f t="shared" si="7"/>
        <v>0</v>
      </c>
      <c r="R63" s="162">
        <f t="shared" si="8"/>
        <v>1</v>
      </c>
      <c r="S63" s="162">
        <f t="shared" si="9"/>
        <v>0</v>
      </c>
      <c r="T63" s="191">
        <f t="shared" si="10"/>
        <v>0</v>
      </c>
      <c r="U63" s="178">
        <f t="shared" ref="U63:V63" si="46">C63/100</f>
        <v>0</v>
      </c>
      <c r="V63" s="178">
        <f t="shared" si="46"/>
        <v>0</v>
      </c>
      <c r="W63" s="178">
        <f t="shared" si="12"/>
        <v>0</v>
      </c>
      <c r="X63" s="192">
        <f t="shared" si="13"/>
        <v>0</v>
      </c>
      <c r="Y63" s="139"/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</row>
    <row r="64" ht="27.0" customHeight="1">
      <c r="A64" s="162">
        <v>33.0</v>
      </c>
      <c r="B64" s="193"/>
      <c r="C64" s="193"/>
      <c r="D64" s="193"/>
      <c r="E64" s="193"/>
      <c r="F64" s="194">
        <f t="shared" si="5"/>
        <v>0</v>
      </c>
      <c r="G64" s="193">
        <v>1.0</v>
      </c>
      <c r="H64" s="195">
        <f t="shared" si="6"/>
        <v>0</v>
      </c>
      <c r="I64" s="139"/>
      <c r="J64" s="197"/>
      <c r="K64" s="198">
        <f t="shared" si="16"/>
        <v>1</v>
      </c>
      <c r="L64" s="198"/>
      <c r="M64" s="139"/>
      <c r="N64" s="139"/>
      <c r="O64" s="178"/>
      <c r="P64" s="190"/>
      <c r="Q64" s="178">
        <f t="shared" si="7"/>
        <v>0</v>
      </c>
      <c r="R64" s="162">
        <f t="shared" si="8"/>
        <v>1</v>
      </c>
      <c r="S64" s="162">
        <f t="shared" si="9"/>
        <v>0</v>
      </c>
      <c r="T64" s="191">
        <f t="shared" si="10"/>
        <v>0</v>
      </c>
      <c r="U64" s="178">
        <f t="shared" ref="U64:V64" si="47">C64/100</f>
        <v>0</v>
      </c>
      <c r="V64" s="178">
        <f t="shared" si="47"/>
        <v>0</v>
      </c>
      <c r="W64" s="178">
        <f t="shared" si="12"/>
        <v>0</v>
      </c>
      <c r="X64" s="192">
        <f t="shared" si="13"/>
        <v>0</v>
      </c>
      <c r="Y64" s="139"/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</row>
    <row r="65" ht="27.0" customHeight="1">
      <c r="A65" s="162">
        <v>34.0</v>
      </c>
      <c r="B65" s="193"/>
      <c r="C65" s="193"/>
      <c r="D65" s="193"/>
      <c r="E65" s="193"/>
      <c r="F65" s="194">
        <f t="shared" si="5"/>
        <v>0</v>
      </c>
      <c r="G65" s="193">
        <v>1.0</v>
      </c>
      <c r="H65" s="195">
        <f t="shared" si="6"/>
        <v>0</v>
      </c>
      <c r="I65" s="139"/>
      <c r="J65" s="197"/>
      <c r="K65" s="198">
        <f t="shared" si="16"/>
        <v>1</v>
      </c>
      <c r="L65" s="198"/>
      <c r="M65" s="139"/>
      <c r="N65" s="139"/>
      <c r="O65" s="178"/>
      <c r="P65" s="190"/>
      <c r="Q65" s="178">
        <f t="shared" si="7"/>
        <v>0</v>
      </c>
      <c r="R65" s="162">
        <f t="shared" si="8"/>
        <v>1</v>
      </c>
      <c r="S65" s="162">
        <f t="shared" si="9"/>
        <v>0</v>
      </c>
      <c r="T65" s="191">
        <f t="shared" si="10"/>
        <v>0</v>
      </c>
      <c r="U65" s="178">
        <f t="shared" ref="U65:V65" si="48">C65/100</f>
        <v>0</v>
      </c>
      <c r="V65" s="178">
        <f t="shared" si="48"/>
        <v>0</v>
      </c>
      <c r="W65" s="178">
        <f t="shared" si="12"/>
        <v>0</v>
      </c>
      <c r="X65" s="192">
        <f t="shared" si="13"/>
        <v>0</v>
      </c>
      <c r="Y65" s="139"/>
      <c r="Z65" s="139"/>
      <c r="AA65" s="139"/>
      <c r="AB65" s="139"/>
      <c r="AC65" s="139"/>
      <c r="AD65" s="139"/>
      <c r="AE65" s="139"/>
      <c r="AF65" s="139"/>
      <c r="AG65" s="139"/>
      <c r="AH65" s="139"/>
      <c r="AI65" s="139"/>
    </row>
    <row r="66" ht="27.0" customHeight="1">
      <c r="A66" s="162">
        <v>35.0</v>
      </c>
      <c r="B66" s="193"/>
      <c r="C66" s="193"/>
      <c r="D66" s="193"/>
      <c r="E66" s="193"/>
      <c r="F66" s="194">
        <f t="shared" si="5"/>
        <v>0</v>
      </c>
      <c r="G66" s="193">
        <v>1.0</v>
      </c>
      <c r="H66" s="195">
        <f t="shared" si="6"/>
        <v>0</v>
      </c>
      <c r="I66" s="139"/>
      <c r="J66" s="197"/>
      <c r="K66" s="198">
        <f t="shared" si="16"/>
        <v>1</v>
      </c>
      <c r="L66" s="198"/>
      <c r="M66" s="139"/>
      <c r="N66" s="139"/>
      <c r="O66" s="178"/>
      <c r="P66" s="190"/>
      <c r="Q66" s="178">
        <f t="shared" si="7"/>
        <v>0</v>
      </c>
      <c r="R66" s="162">
        <f t="shared" si="8"/>
        <v>1</v>
      </c>
      <c r="S66" s="162">
        <f t="shared" si="9"/>
        <v>0</v>
      </c>
      <c r="T66" s="191">
        <f t="shared" si="10"/>
        <v>0</v>
      </c>
      <c r="U66" s="178">
        <f t="shared" ref="U66:V66" si="49">C66/100</f>
        <v>0</v>
      </c>
      <c r="V66" s="178">
        <f t="shared" si="49"/>
        <v>0</v>
      </c>
      <c r="W66" s="178">
        <f t="shared" si="12"/>
        <v>0</v>
      </c>
      <c r="X66" s="192">
        <f t="shared" si="13"/>
        <v>0</v>
      </c>
      <c r="Y66" s="139"/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</row>
    <row r="67" ht="27.0" customHeight="1">
      <c r="A67" s="162">
        <v>36.0</v>
      </c>
      <c r="B67" s="193"/>
      <c r="C67" s="193"/>
      <c r="D67" s="193"/>
      <c r="E67" s="193"/>
      <c r="F67" s="194">
        <f t="shared" si="5"/>
        <v>0</v>
      </c>
      <c r="G67" s="193">
        <v>1.0</v>
      </c>
      <c r="H67" s="195">
        <f t="shared" si="6"/>
        <v>0</v>
      </c>
      <c r="I67" s="139"/>
      <c r="J67" s="197"/>
      <c r="K67" s="198">
        <f t="shared" si="16"/>
        <v>1</v>
      </c>
      <c r="L67" s="198"/>
      <c r="M67" s="139"/>
      <c r="N67" s="139"/>
      <c r="O67" s="178"/>
      <c r="P67" s="190"/>
      <c r="Q67" s="178">
        <f t="shared" si="7"/>
        <v>0</v>
      </c>
      <c r="R67" s="162">
        <f t="shared" si="8"/>
        <v>1</v>
      </c>
      <c r="S67" s="162">
        <f t="shared" si="9"/>
        <v>0</v>
      </c>
      <c r="T67" s="191">
        <f t="shared" si="10"/>
        <v>0</v>
      </c>
      <c r="U67" s="178">
        <f t="shared" ref="U67:V67" si="50">C67/100</f>
        <v>0</v>
      </c>
      <c r="V67" s="178">
        <f t="shared" si="50"/>
        <v>0</v>
      </c>
      <c r="W67" s="178">
        <f t="shared" si="12"/>
        <v>0</v>
      </c>
      <c r="X67" s="192">
        <f t="shared" si="13"/>
        <v>0</v>
      </c>
      <c r="Y67" s="139"/>
      <c r="Z67" s="139"/>
      <c r="AA67" s="139"/>
      <c r="AB67" s="139"/>
      <c r="AC67" s="139"/>
      <c r="AD67" s="139"/>
      <c r="AE67" s="139"/>
      <c r="AF67" s="139"/>
      <c r="AG67" s="139"/>
      <c r="AH67" s="139"/>
      <c r="AI67" s="139"/>
    </row>
    <row r="68" ht="27.0" customHeight="1">
      <c r="A68" s="162">
        <v>37.0</v>
      </c>
      <c r="B68" s="193"/>
      <c r="C68" s="193"/>
      <c r="D68" s="193"/>
      <c r="E68" s="193"/>
      <c r="F68" s="194">
        <f t="shared" si="5"/>
        <v>0</v>
      </c>
      <c r="G68" s="193">
        <v>1.0</v>
      </c>
      <c r="H68" s="195">
        <f t="shared" si="6"/>
        <v>0</v>
      </c>
      <c r="I68" s="139"/>
      <c r="J68" s="197"/>
      <c r="K68" s="198">
        <f t="shared" si="16"/>
        <v>1</v>
      </c>
      <c r="L68" s="198"/>
      <c r="M68" s="139"/>
      <c r="N68" s="139"/>
      <c r="O68" s="178"/>
      <c r="P68" s="190"/>
      <c r="Q68" s="178">
        <f t="shared" si="7"/>
        <v>0</v>
      </c>
      <c r="R68" s="162">
        <f t="shared" si="8"/>
        <v>1</v>
      </c>
      <c r="S68" s="162">
        <f t="shared" si="9"/>
        <v>0</v>
      </c>
      <c r="T68" s="191">
        <f t="shared" si="10"/>
        <v>0</v>
      </c>
      <c r="U68" s="178">
        <f t="shared" ref="U68:V68" si="51">C68/100</f>
        <v>0</v>
      </c>
      <c r="V68" s="178">
        <f t="shared" si="51"/>
        <v>0</v>
      </c>
      <c r="W68" s="178">
        <f t="shared" si="12"/>
        <v>0</v>
      </c>
      <c r="X68" s="192">
        <f t="shared" si="13"/>
        <v>0</v>
      </c>
      <c r="Y68" s="139"/>
      <c r="Z68" s="139"/>
      <c r="AA68" s="139"/>
      <c r="AB68" s="139"/>
      <c r="AC68" s="139"/>
      <c r="AD68" s="139"/>
      <c r="AE68" s="139"/>
      <c r="AF68" s="139"/>
      <c r="AG68" s="139"/>
      <c r="AH68" s="139"/>
      <c r="AI68" s="139"/>
    </row>
    <row r="69" ht="27.0" customHeight="1">
      <c r="A69" s="162">
        <v>38.0</v>
      </c>
      <c r="B69" s="193"/>
      <c r="C69" s="193"/>
      <c r="D69" s="193"/>
      <c r="E69" s="193"/>
      <c r="F69" s="194">
        <f t="shared" si="5"/>
        <v>0</v>
      </c>
      <c r="G69" s="193">
        <v>1.0</v>
      </c>
      <c r="H69" s="195">
        <f t="shared" si="6"/>
        <v>0</v>
      </c>
      <c r="I69" s="139"/>
      <c r="J69" s="197"/>
      <c r="K69" s="198">
        <f t="shared" si="16"/>
        <v>1</v>
      </c>
      <c r="L69" s="198"/>
      <c r="M69" s="139"/>
      <c r="N69" s="139"/>
      <c r="O69" s="178"/>
      <c r="P69" s="190"/>
      <c r="Q69" s="178">
        <f t="shared" si="7"/>
        <v>0</v>
      </c>
      <c r="R69" s="162">
        <f t="shared" si="8"/>
        <v>1</v>
      </c>
      <c r="S69" s="162">
        <f t="shared" si="9"/>
        <v>0</v>
      </c>
      <c r="T69" s="191">
        <f t="shared" si="10"/>
        <v>0</v>
      </c>
      <c r="U69" s="178">
        <f t="shared" ref="U69:V69" si="52">C69/100</f>
        <v>0</v>
      </c>
      <c r="V69" s="178">
        <f t="shared" si="52"/>
        <v>0</v>
      </c>
      <c r="W69" s="178">
        <f t="shared" si="12"/>
        <v>0</v>
      </c>
      <c r="X69" s="192">
        <f t="shared" si="13"/>
        <v>0</v>
      </c>
      <c r="Y69" s="139"/>
      <c r="Z69" s="139"/>
      <c r="AA69" s="139"/>
      <c r="AB69" s="139"/>
      <c r="AC69" s="139"/>
      <c r="AD69" s="139"/>
      <c r="AE69" s="139"/>
      <c r="AF69" s="139"/>
      <c r="AG69" s="139"/>
      <c r="AH69" s="139"/>
      <c r="AI69" s="139"/>
    </row>
    <row r="70" ht="27.0" customHeight="1">
      <c r="A70" s="162">
        <v>39.0</v>
      </c>
      <c r="B70" s="193"/>
      <c r="C70" s="193"/>
      <c r="D70" s="193"/>
      <c r="E70" s="193"/>
      <c r="F70" s="194">
        <f t="shared" si="5"/>
        <v>0</v>
      </c>
      <c r="G70" s="193">
        <v>1.0</v>
      </c>
      <c r="H70" s="195">
        <f t="shared" si="6"/>
        <v>0</v>
      </c>
      <c r="I70" s="139"/>
      <c r="J70" s="197"/>
      <c r="K70" s="198"/>
      <c r="L70" s="198"/>
      <c r="M70" s="139"/>
      <c r="N70" s="139"/>
      <c r="O70" s="178"/>
      <c r="P70" s="190"/>
      <c r="Q70" s="178">
        <f t="shared" si="7"/>
        <v>0</v>
      </c>
      <c r="R70" s="162">
        <f t="shared" si="8"/>
        <v>1</v>
      </c>
      <c r="S70" s="162">
        <f t="shared" si="9"/>
        <v>0</v>
      </c>
      <c r="T70" s="191">
        <f t="shared" si="10"/>
        <v>0</v>
      </c>
      <c r="U70" s="178">
        <f t="shared" ref="U70:V70" si="53">C70/100</f>
        <v>0</v>
      </c>
      <c r="V70" s="178">
        <f t="shared" si="53"/>
        <v>0</v>
      </c>
      <c r="W70" s="178">
        <f t="shared" si="12"/>
        <v>0</v>
      </c>
      <c r="X70" s="192">
        <f t="shared" si="13"/>
        <v>0</v>
      </c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</row>
    <row r="71" ht="27.0" customHeight="1">
      <c r="A71" s="162">
        <v>40.0</v>
      </c>
      <c r="B71" s="193"/>
      <c r="C71" s="193"/>
      <c r="D71" s="193"/>
      <c r="E71" s="193"/>
      <c r="F71" s="194">
        <f t="shared" si="5"/>
        <v>0</v>
      </c>
      <c r="G71" s="193">
        <v>1.0</v>
      </c>
      <c r="H71" s="195">
        <f t="shared" si="6"/>
        <v>0</v>
      </c>
      <c r="I71" s="139"/>
      <c r="J71" s="197"/>
      <c r="K71" s="198"/>
      <c r="L71" s="198"/>
      <c r="M71" s="139"/>
      <c r="N71" s="139"/>
      <c r="O71" s="178"/>
      <c r="P71" s="190"/>
      <c r="Q71" s="178">
        <f t="shared" si="7"/>
        <v>0</v>
      </c>
      <c r="R71" s="162">
        <f t="shared" si="8"/>
        <v>1</v>
      </c>
      <c r="S71" s="162">
        <f t="shared" si="9"/>
        <v>0</v>
      </c>
      <c r="T71" s="191">
        <f t="shared" si="10"/>
        <v>0</v>
      </c>
      <c r="U71" s="178">
        <f t="shared" ref="U71:V71" si="54">C71/100</f>
        <v>0</v>
      </c>
      <c r="V71" s="178">
        <f t="shared" si="54"/>
        <v>0</v>
      </c>
      <c r="W71" s="178">
        <f t="shared" si="12"/>
        <v>0</v>
      </c>
      <c r="X71" s="192">
        <f t="shared" si="13"/>
        <v>0</v>
      </c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</row>
    <row r="72" ht="27.0" customHeight="1">
      <c r="A72" s="162">
        <v>41.0</v>
      </c>
      <c r="B72" s="193"/>
      <c r="C72" s="193"/>
      <c r="D72" s="193"/>
      <c r="E72" s="193"/>
      <c r="F72" s="194">
        <f t="shared" si="5"/>
        <v>0</v>
      </c>
      <c r="G72" s="193">
        <v>1.0</v>
      </c>
      <c r="H72" s="195">
        <f t="shared" si="6"/>
        <v>0</v>
      </c>
      <c r="I72" s="139"/>
      <c r="J72" s="197"/>
      <c r="K72" s="198"/>
      <c r="L72" s="198"/>
      <c r="M72" s="139"/>
      <c r="N72" s="139"/>
      <c r="O72" s="178"/>
      <c r="P72" s="190"/>
      <c r="Q72" s="178">
        <f t="shared" si="7"/>
        <v>0</v>
      </c>
      <c r="R72" s="162">
        <f t="shared" si="8"/>
        <v>1</v>
      </c>
      <c r="S72" s="162">
        <f t="shared" si="9"/>
        <v>0</v>
      </c>
      <c r="T72" s="191">
        <f t="shared" si="10"/>
        <v>0</v>
      </c>
      <c r="U72" s="178">
        <f t="shared" ref="U72:V72" si="55">C72/100</f>
        <v>0</v>
      </c>
      <c r="V72" s="178">
        <f t="shared" si="55"/>
        <v>0</v>
      </c>
      <c r="W72" s="178">
        <f t="shared" si="12"/>
        <v>0</v>
      </c>
      <c r="X72" s="192">
        <f t="shared" si="13"/>
        <v>0</v>
      </c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</row>
    <row r="73" ht="27.0" customHeight="1">
      <c r="A73" s="162">
        <v>42.0</v>
      </c>
      <c r="B73" s="193"/>
      <c r="C73" s="193"/>
      <c r="D73" s="193"/>
      <c r="E73" s="193"/>
      <c r="F73" s="194">
        <f t="shared" si="5"/>
        <v>0</v>
      </c>
      <c r="G73" s="193">
        <v>1.0</v>
      </c>
      <c r="H73" s="195">
        <f t="shared" si="6"/>
        <v>0</v>
      </c>
      <c r="I73" s="139"/>
      <c r="J73" s="197"/>
      <c r="K73" s="198"/>
      <c r="L73" s="198"/>
      <c r="M73" s="139"/>
      <c r="N73" s="139"/>
      <c r="O73" s="178"/>
      <c r="P73" s="190"/>
      <c r="Q73" s="178">
        <f t="shared" si="7"/>
        <v>0</v>
      </c>
      <c r="R73" s="162">
        <f t="shared" si="8"/>
        <v>1</v>
      </c>
      <c r="S73" s="162">
        <f t="shared" si="9"/>
        <v>0</v>
      </c>
      <c r="T73" s="191">
        <f t="shared" si="10"/>
        <v>0</v>
      </c>
      <c r="U73" s="178">
        <f t="shared" ref="U73:V73" si="56">C73/100</f>
        <v>0</v>
      </c>
      <c r="V73" s="178">
        <f t="shared" si="56"/>
        <v>0</v>
      </c>
      <c r="W73" s="178">
        <f t="shared" si="12"/>
        <v>0</v>
      </c>
      <c r="X73" s="192">
        <f t="shared" si="13"/>
        <v>0</v>
      </c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</row>
    <row r="74" ht="27.0" customHeight="1">
      <c r="A74" s="162">
        <v>43.0</v>
      </c>
      <c r="B74" s="193"/>
      <c r="C74" s="193"/>
      <c r="D74" s="193"/>
      <c r="E74" s="193"/>
      <c r="F74" s="194">
        <f t="shared" si="5"/>
        <v>0</v>
      </c>
      <c r="G74" s="193">
        <v>1.0</v>
      </c>
      <c r="H74" s="195">
        <f t="shared" si="6"/>
        <v>0</v>
      </c>
      <c r="I74" s="139"/>
      <c r="J74" s="197"/>
      <c r="K74" s="198"/>
      <c r="L74" s="198"/>
      <c r="M74" s="139"/>
      <c r="N74" s="139"/>
      <c r="O74" s="178"/>
      <c r="P74" s="141"/>
      <c r="Q74" s="178">
        <f t="shared" si="7"/>
        <v>0</v>
      </c>
      <c r="R74" s="162">
        <f t="shared" si="8"/>
        <v>1</v>
      </c>
      <c r="S74" s="162">
        <f t="shared" si="9"/>
        <v>0</v>
      </c>
      <c r="T74" s="191">
        <f t="shared" si="10"/>
        <v>0</v>
      </c>
      <c r="U74" s="178">
        <f t="shared" ref="U74:V74" si="57">C74/100</f>
        <v>0</v>
      </c>
      <c r="V74" s="178">
        <f t="shared" si="57"/>
        <v>0</v>
      </c>
      <c r="W74" s="178">
        <f t="shared" si="12"/>
        <v>0</v>
      </c>
      <c r="X74" s="192">
        <f t="shared" si="13"/>
        <v>0</v>
      </c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</row>
    <row r="75" ht="27.0" customHeight="1">
      <c r="A75" s="162">
        <v>44.0</v>
      </c>
      <c r="B75" s="193"/>
      <c r="C75" s="193"/>
      <c r="D75" s="193"/>
      <c r="E75" s="193"/>
      <c r="F75" s="194">
        <f t="shared" si="5"/>
        <v>0</v>
      </c>
      <c r="G75" s="193">
        <v>1.0</v>
      </c>
      <c r="H75" s="195">
        <f t="shared" si="6"/>
        <v>0</v>
      </c>
      <c r="I75" s="139"/>
      <c r="J75" s="197"/>
      <c r="K75" s="198"/>
      <c r="L75" s="198"/>
      <c r="M75" s="139"/>
      <c r="N75" s="139"/>
      <c r="O75" s="178"/>
      <c r="P75" s="141"/>
      <c r="Q75" s="178">
        <f t="shared" si="7"/>
        <v>0</v>
      </c>
      <c r="R75" s="162">
        <f t="shared" si="8"/>
        <v>1</v>
      </c>
      <c r="S75" s="162">
        <f t="shared" si="9"/>
        <v>0</v>
      </c>
      <c r="T75" s="191">
        <f t="shared" si="10"/>
        <v>0</v>
      </c>
      <c r="U75" s="178">
        <f t="shared" ref="U75:V75" si="58">C75/100</f>
        <v>0</v>
      </c>
      <c r="V75" s="178">
        <f t="shared" si="58"/>
        <v>0</v>
      </c>
      <c r="W75" s="178">
        <f t="shared" si="12"/>
        <v>0</v>
      </c>
      <c r="X75" s="192">
        <f t="shared" si="13"/>
        <v>0</v>
      </c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</row>
    <row r="76" ht="27.0" customHeight="1">
      <c r="A76" s="162">
        <v>45.0</v>
      </c>
      <c r="B76" s="193"/>
      <c r="C76" s="193"/>
      <c r="D76" s="193"/>
      <c r="E76" s="193"/>
      <c r="F76" s="194">
        <f t="shared" si="5"/>
        <v>0</v>
      </c>
      <c r="G76" s="193">
        <v>1.0</v>
      </c>
      <c r="H76" s="195">
        <f t="shared" si="6"/>
        <v>0</v>
      </c>
      <c r="I76" s="139"/>
      <c r="J76" s="197"/>
      <c r="K76" s="198"/>
      <c r="L76" s="198"/>
      <c r="M76" s="139"/>
      <c r="N76" s="139"/>
      <c r="O76" s="178"/>
      <c r="P76" s="141"/>
      <c r="Q76" s="178">
        <f t="shared" si="7"/>
        <v>0</v>
      </c>
      <c r="R76" s="162">
        <f t="shared" si="8"/>
        <v>1</v>
      </c>
      <c r="S76" s="162">
        <f t="shared" si="9"/>
        <v>0</v>
      </c>
      <c r="T76" s="191">
        <f t="shared" si="10"/>
        <v>0</v>
      </c>
      <c r="U76" s="178">
        <f t="shared" ref="U76:V76" si="59">C76/100</f>
        <v>0</v>
      </c>
      <c r="V76" s="178">
        <f t="shared" si="59"/>
        <v>0</v>
      </c>
      <c r="W76" s="178">
        <f t="shared" si="12"/>
        <v>0</v>
      </c>
      <c r="X76" s="192">
        <f t="shared" si="13"/>
        <v>0</v>
      </c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</row>
    <row r="77" ht="27.0" customHeight="1">
      <c r="A77" s="162">
        <v>46.0</v>
      </c>
      <c r="B77" s="193"/>
      <c r="C77" s="193"/>
      <c r="D77" s="193"/>
      <c r="E77" s="193"/>
      <c r="F77" s="194">
        <f t="shared" si="5"/>
        <v>0</v>
      </c>
      <c r="G77" s="193">
        <v>1.0</v>
      </c>
      <c r="H77" s="195">
        <f t="shared" si="6"/>
        <v>0</v>
      </c>
      <c r="I77" s="139"/>
      <c r="J77" s="197"/>
      <c r="K77" s="198"/>
      <c r="L77" s="198"/>
      <c r="M77" s="139"/>
      <c r="N77" s="139"/>
      <c r="O77" s="178"/>
      <c r="P77" s="141"/>
      <c r="Q77" s="178">
        <f t="shared" si="7"/>
        <v>0</v>
      </c>
      <c r="R77" s="162">
        <f t="shared" si="8"/>
        <v>1</v>
      </c>
      <c r="S77" s="162">
        <f t="shared" si="9"/>
        <v>0</v>
      </c>
      <c r="T77" s="191">
        <f t="shared" si="10"/>
        <v>0</v>
      </c>
      <c r="U77" s="178">
        <f t="shared" ref="U77:V77" si="60">C77/100</f>
        <v>0</v>
      </c>
      <c r="V77" s="178">
        <f t="shared" si="60"/>
        <v>0</v>
      </c>
      <c r="W77" s="178">
        <f t="shared" si="12"/>
        <v>0</v>
      </c>
      <c r="X77" s="192">
        <f t="shared" si="13"/>
        <v>0</v>
      </c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</row>
    <row r="78" ht="27.0" customHeight="1">
      <c r="A78" s="162">
        <v>47.0</v>
      </c>
      <c r="B78" s="193"/>
      <c r="C78" s="193"/>
      <c r="D78" s="193"/>
      <c r="E78" s="193"/>
      <c r="F78" s="194">
        <f t="shared" si="5"/>
        <v>0</v>
      </c>
      <c r="G78" s="193">
        <v>1.0</v>
      </c>
      <c r="H78" s="195">
        <f t="shared" si="6"/>
        <v>0</v>
      </c>
      <c r="I78" s="139"/>
      <c r="J78" s="197"/>
      <c r="K78" s="198"/>
      <c r="L78" s="198"/>
      <c r="M78" s="139"/>
      <c r="N78" s="139"/>
      <c r="O78" s="178"/>
      <c r="P78" s="141"/>
      <c r="Q78" s="178">
        <f t="shared" si="7"/>
        <v>0</v>
      </c>
      <c r="R78" s="162">
        <f t="shared" si="8"/>
        <v>1</v>
      </c>
      <c r="S78" s="162">
        <f t="shared" si="9"/>
        <v>0</v>
      </c>
      <c r="T78" s="191">
        <f t="shared" si="10"/>
        <v>0</v>
      </c>
      <c r="U78" s="178">
        <f t="shared" ref="U78:V78" si="61">C78/100</f>
        <v>0</v>
      </c>
      <c r="V78" s="178">
        <f t="shared" si="61"/>
        <v>0</v>
      </c>
      <c r="W78" s="178">
        <f t="shared" si="12"/>
        <v>0</v>
      </c>
      <c r="X78" s="192">
        <f t="shared" si="13"/>
        <v>0</v>
      </c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</row>
    <row r="79" ht="27.0" customHeight="1">
      <c r="A79" s="162">
        <v>48.0</v>
      </c>
      <c r="B79" s="193"/>
      <c r="C79" s="193"/>
      <c r="D79" s="193"/>
      <c r="E79" s="193"/>
      <c r="F79" s="194">
        <f t="shared" si="5"/>
        <v>0</v>
      </c>
      <c r="G79" s="193">
        <v>1.0</v>
      </c>
      <c r="H79" s="195">
        <f t="shared" si="6"/>
        <v>0</v>
      </c>
      <c r="I79" s="139"/>
      <c r="J79" s="197"/>
      <c r="K79" s="198"/>
      <c r="L79" s="198"/>
      <c r="M79" s="139"/>
      <c r="N79" s="139"/>
      <c r="O79" s="178"/>
      <c r="P79" s="141"/>
      <c r="Q79" s="178">
        <f t="shared" si="7"/>
        <v>0</v>
      </c>
      <c r="R79" s="162">
        <f t="shared" si="8"/>
        <v>1</v>
      </c>
      <c r="S79" s="162">
        <f t="shared" si="9"/>
        <v>0</v>
      </c>
      <c r="T79" s="191">
        <f t="shared" si="10"/>
        <v>0</v>
      </c>
      <c r="U79" s="178">
        <f t="shared" ref="U79:V79" si="62">C79/100</f>
        <v>0</v>
      </c>
      <c r="V79" s="178">
        <f t="shared" si="62"/>
        <v>0</v>
      </c>
      <c r="W79" s="178">
        <f t="shared" si="12"/>
        <v>0</v>
      </c>
      <c r="X79" s="192">
        <f t="shared" si="13"/>
        <v>0</v>
      </c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</row>
    <row r="80" ht="27.0" customHeight="1">
      <c r="A80" s="162">
        <v>49.0</v>
      </c>
      <c r="B80" s="193"/>
      <c r="C80" s="193"/>
      <c r="D80" s="193"/>
      <c r="E80" s="193"/>
      <c r="F80" s="194">
        <f t="shared" si="5"/>
        <v>0</v>
      </c>
      <c r="G80" s="193">
        <v>1.0</v>
      </c>
      <c r="H80" s="195">
        <f t="shared" si="6"/>
        <v>0</v>
      </c>
      <c r="I80" s="139"/>
      <c r="J80" s="197"/>
      <c r="K80" s="198"/>
      <c r="L80" s="198"/>
      <c r="M80" s="139"/>
      <c r="N80" s="139"/>
      <c r="O80" s="178"/>
      <c r="P80" s="141"/>
      <c r="Q80" s="178">
        <f t="shared" si="7"/>
        <v>0</v>
      </c>
      <c r="R80" s="162">
        <f t="shared" si="8"/>
        <v>1</v>
      </c>
      <c r="S80" s="162">
        <f t="shared" si="9"/>
        <v>0</v>
      </c>
      <c r="T80" s="191">
        <f t="shared" si="10"/>
        <v>0</v>
      </c>
      <c r="U80" s="178">
        <f t="shared" ref="U80:V80" si="63">C80/100</f>
        <v>0</v>
      </c>
      <c r="V80" s="178">
        <f t="shared" si="63"/>
        <v>0</v>
      </c>
      <c r="W80" s="178">
        <f t="shared" si="12"/>
        <v>0</v>
      </c>
      <c r="X80" s="192">
        <f t="shared" si="13"/>
        <v>0</v>
      </c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</row>
    <row r="81" ht="27.0" customHeight="1">
      <c r="A81" s="162">
        <v>50.0</v>
      </c>
      <c r="B81" s="193"/>
      <c r="C81" s="193"/>
      <c r="D81" s="193"/>
      <c r="E81" s="193"/>
      <c r="F81" s="194">
        <f t="shared" si="5"/>
        <v>0</v>
      </c>
      <c r="G81" s="193">
        <v>1.0</v>
      </c>
      <c r="H81" s="195">
        <f t="shared" si="6"/>
        <v>0</v>
      </c>
      <c r="I81" s="139"/>
      <c r="J81" s="197"/>
      <c r="K81" s="198"/>
      <c r="L81" s="198"/>
      <c r="M81" s="139"/>
      <c r="N81" s="139"/>
      <c r="O81" s="178"/>
      <c r="P81" s="141"/>
      <c r="Q81" s="178">
        <f t="shared" si="7"/>
        <v>0</v>
      </c>
      <c r="R81" s="162">
        <f t="shared" si="8"/>
        <v>1</v>
      </c>
      <c r="S81" s="162">
        <f t="shared" si="9"/>
        <v>0</v>
      </c>
      <c r="T81" s="191">
        <f t="shared" si="10"/>
        <v>0</v>
      </c>
      <c r="U81" s="178">
        <f t="shared" ref="U81:V81" si="64">C81/100</f>
        <v>0</v>
      </c>
      <c r="V81" s="178">
        <f t="shared" si="64"/>
        <v>0</v>
      </c>
      <c r="W81" s="178">
        <f t="shared" si="12"/>
        <v>0</v>
      </c>
      <c r="X81" s="192">
        <f t="shared" si="13"/>
        <v>0</v>
      </c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</row>
    <row r="82" ht="27.0" customHeight="1">
      <c r="A82" s="162">
        <v>51.0</v>
      </c>
      <c r="B82" s="193"/>
      <c r="C82" s="193"/>
      <c r="D82" s="193"/>
      <c r="E82" s="193"/>
      <c r="F82" s="194">
        <f t="shared" si="5"/>
        <v>0</v>
      </c>
      <c r="G82" s="193">
        <v>1.0</v>
      </c>
      <c r="H82" s="195">
        <f t="shared" si="6"/>
        <v>0</v>
      </c>
      <c r="I82" s="139"/>
      <c r="J82" s="197"/>
      <c r="K82" s="198"/>
      <c r="L82" s="198"/>
      <c r="M82" s="139"/>
      <c r="N82" s="139"/>
      <c r="O82" s="178"/>
      <c r="P82" s="141"/>
      <c r="Q82" s="178">
        <f t="shared" si="7"/>
        <v>0</v>
      </c>
      <c r="R82" s="162">
        <f t="shared" si="8"/>
        <v>1</v>
      </c>
      <c r="S82" s="162">
        <f t="shared" si="9"/>
        <v>0</v>
      </c>
      <c r="T82" s="191">
        <f t="shared" si="10"/>
        <v>0</v>
      </c>
      <c r="U82" s="178">
        <f t="shared" ref="U82:V82" si="65">C82/100</f>
        <v>0</v>
      </c>
      <c r="V82" s="178">
        <f t="shared" si="65"/>
        <v>0</v>
      </c>
      <c r="W82" s="178">
        <f t="shared" si="12"/>
        <v>0</v>
      </c>
      <c r="X82" s="192">
        <f t="shared" si="13"/>
        <v>0</v>
      </c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</row>
    <row r="83" ht="27.0" customHeight="1">
      <c r="A83" s="162">
        <v>52.0</v>
      </c>
      <c r="B83" s="193"/>
      <c r="C83" s="193"/>
      <c r="D83" s="193"/>
      <c r="E83" s="193"/>
      <c r="F83" s="194">
        <f t="shared" si="5"/>
        <v>0</v>
      </c>
      <c r="G83" s="193">
        <v>1.0</v>
      </c>
      <c r="H83" s="195">
        <f t="shared" si="6"/>
        <v>0</v>
      </c>
      <c r="I83" s="139"/>
      <c r="J83" s="197"/>
      <c r="K83" s="198"/>
      <c r="L83" s="198"/>
      <c r="M83" s="139"/>
      <c r="N83" s="139"/>
      <c r="O83" s="178"/>
      <c r="P83" s="141"/>
      <c r="Q83" s="178">
        <f t="shared" si="7"/>
        <v>0</v>
      </c>
      <c r="R83" s="162">
        <f t="shared" si="8"/>
        <v>1</v>
      </c>
      <c r="S83" s="162">
        <f t="shared" si="9"/>
        <v>0</v>
      </c>
      <c r="T83" s="191">
        <f t="shared" si="10"/>
        <v>0</v>
      </c>
      <c r="U83" s="178">
        <f t="shared" ref="U83:V83" si="66">C83/100</f>
        <v>0</v>
      </c>
      <c r="V83" s="178">
        <f t="shared" si="66"/>
        <v>0</v>
      </c>
      <c r="W83" s="178">
        <f t="shared" si="12"/>
        <v>0</v>
      </c>
      <c r="X83" s="192">
        <f t="shared" si="13"/>
        <v>0</v>
      </c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</row>
    <row r="84" ht="27.0" customHeight="1">
      <c r="A84" s="162">
        <v>53.0</v>
      </c>
      <c r="B84" s="193"/>
      <c r="C84" s="193"/>
      <c r="D84" s="193"/>
      <c r="E84" s="193"/>
      <c r="F84" s="194">
        <f t="shared" si="5"/>
        <v>0</v>
      </c>
      <c r="G84" s="193">
        <v>1.0</v>
      </c>
      <c r="H84" s="195">
        <f t="shared" si="6"/>
        <v>0</v>
      </c>
      <c r="I84" s="139"/>
      <c r="J84" s="197"/>
      <c r="K84" s="198"/>
      <c r="L84" s="198"/>
      <c r="M84" s="139"/>
      <c r="N84" s="139"/>
      <c r="O84" s="178"/>
      <c r="P84" s="141"/>
      <c r="Q84" s="178">
        <f t="shared" si="7"/>
        <v>0</v>
      </c>
      <c r="R84" s="162">
        <f t="shared" si="8"/>
        <v>1</v>
      </c>
      <c r="S84" s="162">
        <f t="shared" si="9"/>
        <v>0</v>
      </c>
      <c r="T84" s="191">
        <f t="shared" si="10"/>
        <v>0</v>
      </c>
      <c r="U84" s="178">
        <f t="shared" ref="U84:V84" si="67">C84/100</f>
        <v>0</v>
      </c>
      <c r="V84" s="178">
        <f t="shared" si="67"/>
        <v>0</v>
      </c>
      <c r="W84" s="178">
        <f t="shared" si="12"/>
        <v>0</v>
      </c>
      <c r="X84" s="192">
        <f t="shared" si="13"/>
        <v>0</v>
      </c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</row>
    <row r="85" ht="27.0" customHeight="1">
      <c r="A85" s="162">
        <v>54.0</v>
      </c>
      <c r="B85" s="193"/>
      <c r="C85" s="193"/>
      <c r="D85" s="193"/>
      <c r="E85" s="193"/>
      <c r="F85" s="194">
        <f t="shared" si="5"/>
        <v>0</v>
      </c>
      <c r="G85" s="193">
        <v>1.0</v>
      </c>
      <c r="H85" s="195">
        <f t="shared" si="6"/>
        <v>0</v>
      </c>
      <c r="I85" s="139"/>
      <c r="J85" s="197"/>
      <c r="K85" s="198"/>
      <c r="L85" s="198"/>
      <c r="M85" s="139"/>
      <c r="N85" s="139"/>
      <c r="O85" s="178"/>
      <c r="P85" s="141"/>
      <c r="Q85" s="178">
        <f t="shared" si="7"/>
        <v>0</v>
      </c>
      <c r="R85" s="162">
        <f t="shared" si="8"/>
        <v>1</v>
      </c>
      <c r="S85" s="162">
        <f t="shared" si="9"/>
        <v>0</v>
      </c>
      <c r="T85" s="191">
        <f t="shared" si="10"/>
        <v>0</v>
      </c>
      <c r="U85" s="178">
        <f t="shared" ref="U85:V85" si="68">C85/100</f>
        <v>0</v>
      </c>
      <c r="V85" s="178">
        <f t="shared" si="68"/>
        <v>0</v>
      </c>
      <c r="W85" s="178">
        <f t="shared" si="12"/>
        <v>0</v>
      </c>
      <c r="X85" s="192">
        <f t="shared" si="13"/>
        <v>0</v>
      </c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</row>
    <row r="86" ht="27.0" customHeight="1">
      <c r="A86" s="162">
        <v>55.0</v>
      </c>
      <c r="B86" s="193"/>
      <c r="C86" s="193"/>
      <c r="D86" s="193"/>
      <c r="E86" s="193"/>
      <c r="F86" s="194">
        <f t="shared" si="5"/>
        <v>0</v>
      </c>
      <c r="G86" s="193">
        <v>1.0</v>
      </c>
      <c r="H86" s="195">
        <f t="shared" si="6"/>
        <v>0</v>
      </c>
      <c r="I86" s="139"/>
      <c r="J86" s="197"/>
      <c r="K86" s="198"/>
      <c r="L86" s="198"/>
      <c r="M86" s="139"/>
      <c r="N86" s="139"/>
      <c r="O86" s="178"/>
      <c r="P86" s="141"/>
      <c r="Q86" s="178">
        <f t="shared" si="7"/>
        <v>0</v>
      </c>
      <c r="R86" s="162">
        <f t="shared" si="8"/>
        <v>1</v>
      </c>
      <c r="S86" s="162">
        <f t="shared" si="9"/>
        <v>0</v>
      </c>
      <c r="T86" s="191">
        <f t="shared" si="10"/>
        <v>0</v>
      </c>
      <c r="U86" s="178">
        <f t="shared" ref="U86:V86" si="69">C86/100</f>
        <v>0</v>
      </c>
      <c r="V86" s="178">
        <f t="shared" si="69"/>
        <v>0</v>
      </c>
      <c r="W86" s="178">
        <f t="shared" si="12"/>
        <v>0</v>
      </c>
      <c r="X86" s="192">
        <f t="shared" si="13"/>
        <v>0</v>
      </c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</row>
    <row r="87" ht="27.0" customHeight="1">
      <c r="A87" s="162">
        <v>56.0</v>
      </c>
      <c r="B87" s="193"/>
      <c r="C87" s="193"/>
      <c r="D87" s="193"/>
      <c r="E87" s="193"/>
      <c r="F87" s="194">
        <f t="shared" si="5"/>
        <v>0</v>
      </c>
      <c r="G87" s="193">
        <v>1.0</v>
      </c>
      <c r="H87" s="195">
        <f t="shared" si="6"/>
        <v>0</v>
      </c>
      <c r="I87" s="139"/>
      <c r="J87" s="197"/>
      <c r="K87" s="198"/>
      <c r="L87" s="198"/>
      <c r="M87" s="139"/>
      <c r="N87" s="139"/>
      <c r="O87" s="178"/>
      <c r="P87" s="141"/>
      <c r="Q87" s="178">
        <f t="shared" si="7"/>
        <v>0</v>
      </c>
      <c r="R87" s="162">
        <f t="shared" si="8"/>
        <v>1</v>
      </c>
      <c r="S87" s="162">
        <f t="shared" si="9"/>
        <v>0</v>
      </c>
      <c r="T87" s="191">
        <f t="shared" si="10"/>
        <v>0</v>
      </c>
      <c r="U87" s="178">
        <f t="shared" ref="U87:V87" si="70">C87/100</f>
        <v>0</v>
      </c>
      <c r="V87" s="178">
        <f t="shared" si="70"/>
        <v>0</v>
      </c>
      <c r="W87" s="178">
        <f t="shared" si="12"/>
        <v>0</v>
      </c>
      <c r="X87" s="192">
        <f t="shared" si="13"/>
        <v>0</v>
      </c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</row>
    <row r="88" ht="27.0" customHeight="1">
      <c r="A88" s="162">
        <v>57.0</v>
      </c>
      <c r="B88" s="193"/>
      <c r="C88" s="193"/>
      <c r="D88" s="193"/>
      <c r="E88" s="193"/>
      <c r="F88" s="194">
        <f t="shared" si="5"/>
        <v>0</v>
      </c>
      <c r="G88" s="193">
        <v>1.0</v>
      </c>
      <c r="H88" s="195">
        <f t="shared" si="6"/>
        <v>0</v>
      </c>
      <c r="I88" s="139"/>
      <c r="J88" s="197"/>
      <c r="K88" s="198"/>
      <c r="L88" s="198"/>
      <c r="M88" s="139"/>
      <c r="N88" s="139"/>
      <c r="O88" s="178"/>
      <c r="P88" s="141"/>
      <c r="Q88" s="178">
        <f t="shared" si="7"/>
        <v>0</v>
      </c>
      <c r="R88" s="162">
        <f t="shared" si="8"/>
        <v>1</v>
      </c>
      <c r="S88" s="162">
        <f t="shared" si="9"/>
        <v>0</v>
      </c>
      <c r="T88" s="191">
        <f t="shared" si="10"/>
        <v>0</v>
      </c>
      <c r="U88" s="178">
        <f t="shared" ref="U88:V88" si="71">C88/100</f>
        <v>0</v>
      </c>
      <c r="V88" s="178">
        <f t="shared" si="71"/>
        <v>0</v>
      </c>
      <c r="W88" s="178">
        <f t="shared" si="12"/>
        <v>0</v>
      </c>
      <c r="X88" s="192">
        <f t="shared" si="13"/>
        <v>0</v>
      </c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</row>
    <row r="89" ht="27.0" customHeight="1">
      <c r="A89" s="162">
        <v>58.0</v>
      </c>
      <c r="B89" s="193"/>
      <c r="C89" s="193"/>
      <c r="D89" s="193"/>
      <c r="E89" s="193"/>
      <c r="F89" s="194">
        <f t="shared" si="5"/>
        <v>0</v>
      </c>
      <c r="G89" s="193">
        <v>1.0</v>
      </c>
      <c r="H89" s="195">
        <f t="shared" si="6"/>
        <v>0</v>
      </c>
      <c r="I89" s="139"/>
      <c r="J89" s="197"/>
      <c r="K89" s="198"/>
      <c r="L89" s="198"/>
      <c r="M89" s="139"/>
      <c r="N89" s="139"/>
      <c r="O89" s="178"/>
      <c r="P89" s="141"/>
      <c r="Q89" s="178">
        <f t="shared" si="7"/>
        <v>0</v>
      </c>
      <c r="R89" s="162">
        <f t="shared" si="8"/>
        <v>1</v>
      </c>
      <c r="S89" s="162">
        <f t="shared" si="9"/>
        <v>0</v>
      </c>
      <c r="T89" s="191">
        <f t="shared" si="10"/>
        <v>0</v>
      </c>
      <c r="U89" s="178">
        <f t="shared" ref="U89:V89" si="72">C89/100</f>
        <v>0</v>
      </c>
      <c r="V89" s="178">
        <f t="shared" si="72"/>
        <v>0</v>
      </c>
      <c r="W89" s="178">
        <f t="shared" si="12"/>
        <v>0</v>
      </c>
      <c r="X89" s="192">
        <f t="shared" si="13"/>
        <v>0</v>
      </c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</row>
    <row r="90" ht="27.0" customHeight="1">
      <c r="A90" s="162">
        <v>59.0</v>
      </c>
      <c r="B90" s="193"/>
      <c r="C90" s="193"/>
      <c r="D90" s="193"/>
      <c r="E90" s="193"/>
      <c r="F90" s="194">
        <f t="shared" si="5"/>
        <v>0</v>
      </c>
      <c r="G90" s="193">
        <v>1.0</v>
      </c>
      <c r="H90" s="195">
        <f t="shared" si="6"/>
        <v>0</v>
      </c>
      <c r="I90" s="139"/>
      <c r="J90" s="197"/>
      <c r="K90" s="198"/>
      <c r="L90" s="198"/>
      <c r="M90" s="139"/>
      <c r="N90" s="139"/>
      <c r="O90" s="178"/>
      <c r="P90" s="141"/>
      <c r="Q90" s="178">
        <f t="shared" si="7"/>
        <v>0</v>
      </c>
      <c r="R90" s="162">
        <f t="shared" si="8"/>
        <v>1</v>
      </c>
      <c r="S90" s="162">
        <f t="shared" si="9"/>
        <v>0</v>
      </c>
      <c r="T90" s="191">
        <f t="shared" si="10"/>
        <v>0</v>
      </c>
      <c r="U90" s="178">
        <f t="shared" ref="U90:V90" si="73">C90/100</f>
        <v>0</v>
      </c>
      <c r="V90" s="178">
        <f t="shared" si="73"/>
        <v>0</v>
      </c>
      <c r="W90" s="178">
        <f t="shared" si="12"/>
        <v>0</v>
      </c>
      <c r="X90" s="192">
        <f t="shared" si="13"/>
        <v>0</v>
      </c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</row>
    <row r="91" ht="27.0" customHeight="1">
      <c r="A91" s="162">
        <v>60.0</v>
      </c>
      <c r="B91" s="193"/>
      <c r="C91" s="193"/>
      <c r="D91" s="193"/>
      <c r="E91" s="193"/>
      <c r="F91" s="194">
        <f t="shared" si="5"/>
        <v>0</v>
      </c>
      <c r="G91" s="193">
        <v>1.0</v>
      </c>
      <c r="H91" s="195">
        <f t="shared" si="6"/>
        <v>0</v>
      </c>
      <c r="I91" s="139"/>
      <c r="J91" s="178">
        <f t="shared" ref="J91:J92" si="75">D91*25.4/1000</f>
        <v>0</v>
      </c>
      <c r="K91" s="162">
        <f t="shared" ref="K91:K106" si="76">+G91</f>
        <v>1</v>
      </c>
      <c r="L91" s="162">
        <f t="shared" ref="L91:L92" si="77">K91*J91</f>
        <v>0</v>
      </c>
      <c r="M91" s="139"/>
      <c r="N91" s="139"/>
      <c r="O91" s="178"/>
      <c r="P91" s="141"/>
      <c r="Q91" s="178">
        <f t="shared" si="7"/>
        <v>0</v>
      </c>
      <c r="R91" s="162">
        <f t="shared" si="8"/>
        <v>1</v>
      </c>
      <c r="S91" s="162">
        <f t="shared" si="9"/>
        <v>0</v>
      </c>
      <c r="T91" s="191">
        <f t="shared" si="10"/>
        <v>0</v>
      </c>
      <c r="U91" s="178">
        <f t="shared" ref="U91:V91" si="74">C91/100</f>
        <v>0</v>
      </c>
      <c r="V91" s="178">
        <f t="shared" si="74"/>
        <v>0</v>
      </c>
      <c r="W91" s="178">
        <f t="shared" si="12"/>
        <v>0</v>
      </c>
      <c r="X91" s="192">
        <f t="shared" si="13"/>
        <v>0</v>
      </c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</row>
    <row r="92" ht="27.0" customHeight="1">
      <c r="A92" s="162">
        <v>61.0</v>
      </c>
      <c r="B92" s="193"/>
      <c r="C92" s="193"/>
      <c r="D92" s="193"/>
      <c r="E92" s="193"/>
      <c r="F92" s="194">
        <f t="shared" si="5"/>
        <v>0</v>
      </c>
      <c r="G92" s="193">
        <v>1.0</v>
      </c>
      <c r="H92" s="195">
        <f t="shared" si="6"/>
        <v>0</v>
      </c>
      <c r="I92" s="139"/>
      <c r="J92" s="197">
        <f t="shared" si="75"/>
        <v>0</v>
      </c>
      <c r="K92" s="198">
        <f t="shared" si="76"/>
        <v>1</v>
      </c>
      <c r="L92" s="198">
        <f t="shared" si="77"/>
        <v>0</v>
      </c>
      <c r="M92" s="139"/>
      <c r="N92" s="139"/>
      <c r="O92" s="178"/>
      <c r="P92" s="141"/>
      <c r="Q92" s="178">
        <f t="shared" si="7"/>
        <v>0</v>
      </c>
      <c r="R92" s="162">
        <f t="shared" si="8"/>
        <v>1</v>
      </c>
      <c r="S92" s="162">
        <f t="shared" si="9"/>
        <v>0</v>
      </c>
      <c r="T92" s="191">
        <f t="shared" si="10"/>
        <v>0</v>
      </c>
      <c r="U92" s="178">
        <f t="shared" ref="U92:V92" si="78">C92/100</f>
        <v>0</v>
      </c>
      <c r="V92" s="178">
        <f t="shared" si="78"/>
        <v>0</v>
      </c>
      <c r="W92" s="178">
        <f t="shared" si="12"/>
        <v>0</v>
      </c>
      <c r="X92" s="192">
        <f t="shared" si="13"/>
        <v>0</v>
      </c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</row>
    <row r="93" ht="27.0" customHeight="1">
      <c r="A93" s="162">
        <v>62.0</v>
      </c>
      <c r="B93" s="193"/>
      <c r="C93" s="193"/>
      <c r="D93" s="193"/>
      <c r="E93" s="193"/>
      <c r="F93" s="194">
        <f t="shared" si="5"/>
        <v>0</v>
      </c>
      <c r="G93" s="193">
        <v>1.0</v>
      </c>
      <c r="H93" s="195">
        <f t="shared" si="6"/>
        <v>0</v>
      </c>
      <c r="I93" s="139"/>
      <c r="J93" s="197"/>
      <c r="K93" s="198">
        <f t="shared" si="76"/>
        <v>1</v>
      </c>
      <c r="L93" s="198"/>
      <c r="M93" s="139"/>
      <c r="N93" s="139"/>
      <c r="O93" s="178"/>
      <c r="P93" s="141"/>
      <c r="Q93" s="178">
        <f t="shared" si="7"/>
        <v>0</v>
      </c>
      <c r="R93" s="162">
        <f t="shared" si="8"/>
        <v>1</v>
      </c>
      <c r="S93" s="162">
        <f t="shared" si="9"/>
        <v>0</v>
      </c>
      <c r="T93" s="191">
        <f t="shared" si="10"/>
        <v>0</v>
      </c>
      <c r="U93" s="178">
        <f t="shared" ref="U93:V93" si="79">C93/100</f>
        <v>0</v>
      </c>
      <c r="V93" s="178">
        <f t="shared" si="79"/>
        <v>0</v>
      </c>
      <c r="W93" s="178">
        <f t="shared" si="12"/>
        <v>0</v>
      </c>
      <c r="X93" s="192">
        <f t="shared" si="13"/>
        <v>0</v>
      </c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</row>
    <row r="94" ht="27.0" customHeight="1">
      <c r="A94" s="162">
        <v>63.0</v>
      </c>
      <c r="B94" s="193"/>
      <c r="C94" s="193"/>
      <c r="D94" s="193"/>
      <c r="E94" s="193"/>
      <c r="F94" s="194">
        <f t="shared" si="5"/>
        <v>0</v>
      </c>
      <c r="G94" s="193">
        <v>1.0</v>
      </c>
      <c r="H94" s="195">
        <f t="shared" si="6"/>
        <v>0</v>
      </c>
      <c r="I94" s="139"/>
      <c r="J94" s="197"/>
      <c r="K94" s="198">
        <f t="shared" si="76"/>
        <v>1</v>
      </c>
      <c r="L94" s="198"/>
      <c r="M94" s="139"/>
      <c r="N94" s="139"/>
      <c r="O94" s="178"/>
      <c r="P94" s="141"/>
      <c r="Q94" s="178">
        <f t="shared" si="7"/>
        <v>0</v>
      </c>
      <c r="R94" s="162">
        <f t="shared" si="8"/>
        <v>1</v>
      </c>
      <c r="S94" s="162">
        <f t="shared" si="9"/>
        <v>0</v>
      </c>
      <c r="T94" s="191">
        <f t="shared" si="10"/>
        <v>0</v>
      </c>
      <c r="U94" s="178">
        <f t="shared" ref="U94:V94" si="80">C94/100</f>
        <v>0</v>
      </c>
      <c r="V94" s="178">
        <f t="shared" si="80"/>
        <v>0</v>
      </c>
      <c r="W94" s="178">
        <f t="shared" si="12"/>
        <v>0</v>
      </c>
      <c r="X94" s="192">
        <f t="shared" si="13"/>
        <v>0</v>
      </c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</row>
    <row r="95" ht="27.0" customHeight="1">
      <c r="A95" s="162">
        <v>64.0</v>
      </c>
      <c r="B95" s="193"/>
      <c r="C95" s="193"/>
      <c r="D95" s="193"/>
      <c r="E95" s="193"/>
      <c r="F95" s="194">
        <f t="shared" si="5"/>
        <v>0</v>
      </c>
      <c r="G95" s="193">
        <v>1.0</v>
      </c>
      <c r="H95" s="195">
        <f t="shared" si="6"/>
        <v>0</v>
      </c>
      <c r="I95" s="139"/>
      <c r="J95" s="197"/>
      <c r="K95" s="198">
        <f t="shared" si="76"/>
        <v>1</v>
      </c>
      <c r="L95" s="198"/>
      <c r="M95" s="139"/>
      <c r="N95" s="139"/>
      <c r="O95" s="178"/>
      <c r="P95" s="141"/>
      <c r="Q95" s="178">
        <f t="shared" si="7"/>
        <v>0</v>
      </c>
      <c r="R95" s="162">
        <f t="shared" si="8"/>
        <v>1</v>
      </c>
      <c r="S95" s="162">
        <f t="shared" si="9"/>
        <v>0</v>
      </c>
      <c r="T95" s="191">
        <f t="shared" si="10"/>
        <v>0</v>
      </c>
      <c r="U95" s="178">
        <f t="shared" ref="U95:V95" si="81">C95/100</f>
        <v>0</v>
      </c>
      <c r="V95" s="178">
        <f t="shared" si="81"/>
        <v>0</v>
      </c>
      <c r="W95" s="178">
        <f t="shared" si="12"/>
        <v>0</v>
      </c>
      <c r="X95" s="192">
        <f t="shared" si="13"/>
        <v>0</v>
      </c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</row>
    <row r="96" ht="27.0" customHeight="1">
      <c r="A96" s="162">
        <v>65.0</v>
      </c>
      <c r="B96" s="193"/>
      <c r="C96" s="193"/>
      <c r="D96" s="193"/>
      <c r="E96" s="193"/>
      <c r="F96" s="194">
        <f t="shared" si="5"/>
        <v>0</v>
      </c>
      <c r="G96" s="193">
        <v>1.0</v>
      </c>
      <c r="H96" s="195">
        <f t="shared" si="6"/>
        <v>0</v>
      </c>
      <c r="I96" s="139"/>
      <c r="J96" s="197"/>
      <c r="K96" s="198">
        <f t="shared" si="76"/>
        <v>1</v>
      </c>
      <c r="L96" s="198"/>
      <c r="M96" s="139"/>
      <c r="N96" s="139"/>
      <c r="O96" s="178"/>
      <c r="P96" s="141"/>
      <c r="Q96" s="178">
        <f t="shared" si="7"/>
        <v>0</v>
      </c>
      <c r="R96" s="162">
        <f t="shared" si="8"/>
        <v>1</v>
      </c>
      <c r="S96" s="162">
        <f t="shared" si="9"/>
        <v>0</v>
      </c>
      <c r="T96" s="191">
        <f t="shared" si="10"/>
        <v>0</v>
      </c>
      <c r="U96" s="178">
        <f t="shared" ref="U96:V96" si="82">C96/100</f>
        <v>0</v>
      </c>
      <c r="V96" s="178">
        <f t="shared" si="82"/>
        <v>0</v>
      </c>
      <c r="W96" s="178">
        <f t="shared" si="12"/>
        <v>0</v>
      </c>
      <c r="X96" s="192">
        <f t="shared" si="13"/>
        <v>0</v>
      </c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</row>
    <row r="97" ht="27.0" customHeight="1">
      <c r="A97" s="162">
        <v>66.0</v>
      </c>
      <c r="B97" s="193"/>
      <c r="C97" s="193"/>
      <c r="D97" s="193"/>
      <c r="E97" s="193"/>
      <c r="F97" s="194">
        <f t="shared" si="5"/>
        <v>0</v>
      </c>
      <c r="G97" s="193">
        <v>1.0</v>
      </c>
      <c r="H97" s="195">
        <f t="shared" si="6"/>
        <v>0</v>
      </c>
      <c r="I97" s="139"/>
      <c r="J97" s="197"/>
      <c r="K97" s="198">
        <f t="shared" si="76"/>
        <v>1</v>
      </c>
      <c r="L97" s="198"/>
      <c r="M97" s="139"/>
      <c r="N97" s="139"/>
      <c r="O97" s="178"/>
      <c r="P97" s="141"/>
      <c r="Q97" s="178">
        <f t="shared" si="7"/>
        <v>0</v>
      </c>
      <c r="R97" s="162">
        <f t="shared" si="8"/>
        <v>1</v>
      </c>
      <c r="S97" s="162">
        <f t="shared" si="9"/>
        <v>0</v>
      </c>
      <c r="T97" s="191">
        <f t="shared" si="10"/>
        <v>0</v>
      </c>
      <c r="U97" s="178">
        <f t="shared" ref="U97:V97" si="83">C97/100</f>
        <v>0</v>
      </c>
      <c r="V97" s="178">
        <f t="shared" si="83"/>
        <v>0</v>
      </c>
      <c r="W97" s="178">
        <f t="shared" si="12"/>
        <v>0</v>
      </c>
      <c r="X97" s="192">
        <f t="shared" si="13"/>
        <v>0</v>
      </c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</row>
    <row r="98" ht="27.0" customHeight="1">
      <c r="A98" s="162">
        <v>67.0</v>
      </c>
      <c r="B98" s="193"/>
      <c r="C98" s="193"/>
      <c r="D98" s="193"/>
      <c r="E98" s="193"/>
      <c r="F98" s="194">
        <f t="shared" si="5"/>
        <v>0</v>
      </c>
      <c r="G98" s="193">
        <v>1.0</v>
      </c>
      <c r="H98" s="195">
        <f t="shared" si="6"/>
        <v>0</v>
      </c>
      <c r="I98" s="139"/>
      <c r="J98" s="197"/>
      <c r="K98" s="198">
        <f t="shared" si="76"/>
        <v>1</v>
      </c>
      <c r="L98" s="198"/>
      <c r="M98" s="139"/>
      <c r="N98" s="139"/>
      <c r="O98" s="178"/>
      <c r="P98" s="141"/>
      <c r="Q98" s="178">
        <f t="shared" si="7"/>
        <v>0</v>
      </c>
      <c r="R98" s="162">
        <f t="shared" si="8"/>
        <v>1</v>
      </c>
      <c r="S98" s="162">
        <f t="shared" si="9"/>
        <v>0</v>
      </c>
      <c r="T98" s="191">
        <f t="shared" si="10"/>
        <v>0</v>
      </c>
      <c r="U98" s="178">
        <f t="shared" ref="U98:V98" si="84">C98/100</f>
        <v>0</v>
      </c>
      <c r="V98" s="178">
        <f t="shared" si="84"/>
        <v>0</v>
      </c>
      <c r="W98" s="178">
        <f t="shared" si="12"/>
        <v>0</v>
      </c>
      <c r="X98" s="192">
        <f t="shared" si="13"/>
        <v>0</v>
      </c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</row>
    <row r="99" ht="27.0" customHeight="1">
      <c r="A99" s="162">
        <v>68.0</v>
      </c>
      <c r="B99" s="193"/>
      <c r="C99" s="193"/>
      <c r="D99" s="193"/>
      <c r="E99" s="193"/>
      <c r="F99" s="194">
        <f t="shared" si="5"/>
        <v>0</v>
      </c>
      <c r="G99" s="193">
        <v>1.0</v>
      </c>
      <c r="H99" s="195">
        <f t="shared" si="6"/>
        <v>0</v>
      </c>
      <c r="I99" s="139"/>
      <c r="J99" s="197"/>
      <c r="K99" s="198">
        <f t="shared" si="76"/>
        <v>1</v>
      </c>
      <c r="L99" s="198"/>
      <c r="M99" s="139"/>
      <c r="N99" s="139"/>
      <c r="O99" s="178"/>
      <c r="P99" s="141"/>
      <c r="Q99" s="178">
        <f t="shared" si="7"/>
        <v>0</v>
      </c>
      <c r="R99" s="162">
        <f t="shared" si="8"/>
        <v>1</v>
      </c>
      <c r="S99" s="162">
        <f t="shared" si="9"/>
        <v>0</v>
      </c>
      <c r="T99" s="191">
        <f t="shared" si="10"/>
        <v>0</v>
      </c>
      <c r="U99" s="178">
        <f t="shared" ref="U99:V99" si="85">C99/100</f>
        <v>0</v>
      </c>
      <c r="V99" s="178">
        <f t="shared" si="85"/>
        <v>0</v>
      </c>
      <c r="W99" s="178">
        <f t="shared" si="12"/>
        <v>0</v>
      </c>
      <c r="X99" s="192">
        <f t="shared" si="13"/>
        <v>0</v>
      </c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</row>
    <row r="100" ht="27.0" customHeight="1">
      <c r="A100" s="162">
        <v>69.0</v>
      </c>
      <c r="B100" s="193"/>
      <c r="C100" s="193"/>
      <c r="D100" s="193"/>
      <c r="E100" s="193"/>
      <c r="F100" s="194">
        <f t="shared" si="5"/>
        <v>0</v>
      </c>
      <c r="G100" s="193">
        <v>1.0</v>
      </c>
      <c r="H100" s="195">
        <f t="shared" si="6"/>
        <v>0</v>
      </c>
      <c r="I100" s="139"/>
      <c r="J100" s="197"/>
      <c r="K100" s="198">
        <f t="shared" si="76"/>
        <v>1</v>
      </c>
      <c r="L100" s="198"/>
      <c r="M100" s="139"/>
      <c r="N100" s="139"/>
      <c r="O100" s="178"/>
      <c r="P100" s="141"/>
      <c r="Q100" s="178">
        <f t="shared" si="7"/>
        <v>0</v>
      </c>
      <c r="R100" s="162">
        <f t="shared" si="8"/>
        <v>1</v>
      </c>
      <c r="S100" s="162">
        <f t="shared" si="9"/>
        <v>0</v>
      </c>
      <c r="T100" s="191">
        <f t="shared" si="10"/>
        <v>0</v>
      </c>
      <c r="U100" s="178">
        <f t="shared" ref="U100:V100" si="86">C100/100</f>
        <v>0</v>
      </c>
      <c r="V100" s="178">
        <f t="shared" si="86"/>
        <v>0</v>
      </c>
      <c r="W100" s="178">
        <f t="shared" si="12"/>
        <v>0</v>
      </c>
      <c r="X100" s="192">
        <f t="shared" si="13"/>
        <v>0</v>
      </c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</row>
    <row r="101" ht="27.0" customHeight="1">
      <c r="A101" s="162">
        <v>70.0</v>
      </c>
      <c r="B101" s="193"/>
      <c r="C101" s="193"/>
      <c r="D101" s="193"/>
      <c r="E101" s="193"/>
      <c r="F101" s="194">
        <f t="shared" si="5"/>
        <v>0</v>
      </c>
      <c r="G101" s="193">
        <v>1.0</v>
      </c>
      <c r="H101" s="195">
        <f t="shared" si="6"/>
        <v>0</v>
      </c>
      <c r="I101" s="139"/>
      <c r="J101" s="197"/>
      <c r="K101" s="198">
        <f t="shared" si="76"/>
        <v>1</v>
      </c>
      <c r="L101" s="198"/>
      <c r="M101" s="139"/>
      <c r="N101" s="139"/>
      <c r="O101" s="178"/>
      <c r="P101" s="141"/>
      <c r="Q101" s="178">
        <f t="shared" si="7"/>
        <v>0</v>
      </c>
      <c r="R101" s="162">
        <f t="shared" si="8"/>
        <v>1</v>
      </c>
      <c r="S101" s="162">
        <f t="shared" si="9"/>
        <v>0</v>
      </c>
      <c r="T101" s="191">
        <f t="shared" si="10"/>
        <v>0</v>
      </c>
      <c r="U101" s="178">
        <f t="shared" ref="U101:V101" si="87">C101/100</f>
        <v>0</v>
      </c>
      <c r="V101" s="178">
        <f t="shared" si="87"/>
        <v>0</v>
      </c>
      <c r="W101" s="178">
        <f t="shared" si="12"/>
        <v>0</v>
      </c>
      <c r="X101" s="192">
        <f t="shared" si="13"/>
        <v>0</v>
      </c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</row>
    <row r="102" ht="27.0" customHeight="1">
      <c r="A102" s="162">
        <v>71.0</v>
      </c>
      <c r="B102" s="193"/>
      <c r="C102" s="193"/>
      <c r="D102" s="193"/>
      <c r="E102" s="193"/>
      <c r="F102" s="194">
        <f t="shared" si="5"/>
        <v>0</v>
      </c>
      <c r="G102" s="193">
        <v>1.0</v>
      </c>
      <c r="H102" s="195">
        <f t="shared" si="6"/>
        <v>0</v>
      </c>
      <c r="I102" s="139"/>
      <c r="J102" s="197"/>
      <c r="K102" s="198">
        <f t="shared" si="76"/>
        <v>1</v>
      </c>
      <c r="L102" s="198"/>
      <c r="M102" s="139"/>
      <c r="N102" s="139"/>
      <c r="O102" s="178"/>
      <c r="P102" s="141"/>
      <c r="Q102" s="178">
        <f t="shared" si="7"/>
        <v>0</v>
      </c>
      <c r="R102" s="162">
        <f t="shared" si="8"/>
        <v>1</v>
      </c>
      <c r="S102" s="162">
        <f t="shared" si="9"/>
        <v>0</v>
      </c>
      <c r="T102" s="191">
        <f t="shared" si="10"/>
        <v>0</v>
      </c>
      <c r="U102" s="178">
        <f t="shared" ref="U102:V102" si="88">C102/100</f>
        <v>0</v>
      </c>
      <c r="V102" s="178">
        <f t="shared" si="88"/>
        <v>0</v>
      </c>
      <c r="W102" s="178">
        <f t="shared" si="12"/>
        <v>0</v>
      </c>
      <c r="X102" s="192">
        <f t="shared" si="13"/>
        <v>0</v>
      </c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</row>
    <row r="103" ht="27.0" customHeight="1">
      <c r="A103" s="162">
        <v>72.0</v>
      </c>
      <c r="B103" s="193"/>
      <c r="C103" s="193"/>
      <c r="D103" s="193"/>
      <c r="E103" s="193"/>
      <c r="F103" s="194">
        <f t="shared" si="5"/>
        <v>0</v>
      </c>
      <c r="G103" s="193">
        <v>1.0</v>
      </c>
      <c r="H103" s="195">
        <f t="shared" si="6"/>
        <v>0</v>
      </c>
      <c r="I103" s="139"/>
      <c r="J103" s="197"/>
      <c r="K103" s="198">
        <f t="shared" si="76"/>
        <v>1</v>
      </c>
      <c r="L103" s="198"/>
      <c r="M103" s="139"/>
      <c r="N103" s="139"/>
      <c r="O103" s="178"/>
      <c r="P103" s="141"/>
      <c r="Q103" s="199">
        <f t="shared" si="7"/>
        <v>0</v>
      </c>
      <c r="R103" s="200">
        <f t="shared" si="8"/>
        <v>1</v>
      </c>
      <c r="S103" s="200">
        <f t="shared" si="9"/>
        <v>0</v>
      </c>
      <c r="T103" s="201">
        <f t="shared" si="10"/>
        <v>0</v>
      </c>
      <c r="U103" s="199">
        <f t="shared" ref="U103:V103" si="89">C103/100</f>
        <v>0</v>
      </c>
      <c r="V103" s="199">
        <f t="shared" si="89"/>
        <v>0</v>
      </c>
      <c r="W103" s="199">
        <f t="shared" si="12"/>
        <v>0</v>
      </c>
      <c r="X103" s="202">
        <f t="shared" si="13"/>
        <v>0</v>
      </c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</row>
    <row r="104" ht="27.0" customHeight="1">
      <c r="A104" s="162">
        <v>73.0</v>
      </c>
      <c r="B104" s="193"/>
      <c r="C104" s="193"/>
      <c r="D104" s="193"/>
      <c r="E104" s="193"/>
      <c r="F104" s="194">
        <f t="shared" si="5"/>
        <v>0</v>
      </c>
      <c r="G104" s="193">
        <v>1.0</v>
      </c>
      <c r="H104" s="195">
        <f t="shared" si="6"/>
        <v>0</v>
      </c>
      <c r="I104" s="139"/>
      <c r="J104" s="197"/>
      <c r="K104" s="198">
        <f t="shared" si="76"/>
        <v>1</v>
      </c>
      <c r="L104" s="198"/>
      <c r="M104" s="139"/>
      <c r="N104" s="139"/>
      <c r="O104" s="178"/>
      <c r="P104" s="141"/>
      <c r="Q104" s="199">
        <f t="shared" si="7"/>
        <v>0</v>
      </c>
      <c r="R104" s="200">
        <f t="shared" si="8"/>
        <v>1</v>
      </c>
      <c r="S104" s="200">
        <f t="shared" si="9"/>
        <v>0</v>
      </c>
      <c r="T104" s="201">
        <f t="shared" si="10"/>
        <v>0</v>
      </c>
      <c r="U104" s="199">
        <f t="shared" ref="U104:V104" si="90">C104/100</f>
        <v>0</v>
      </c>
      <c r="V104" s="199">
        <f t="shared" si="90"/>
        <v>0</v>
      </c>
      <c r="W104" s="199">
        <f t="shared" si="12"/>
        <v>0</v>
      </c>
      <c r="X104" s="202">
        <f t="shared" si="13"/>
        <v>0</v>
      </c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</row>
    <row r="105" ht="27.0" customHeight="1">
      <c r="A105" s="162">
        <v>74.0</v>
      </c>
      <c r="B105" s="193"/>
      <c r="C105" s="193"/>
      <c r="D105" s="193"/>
      <c r="E105" s="193"/>
      <c r="F105" s="194">
        <f t="shared" si="5"/>
        <v>0</v>
      </c>
      <c r="G105" s="193">
        <v>1.0</v>
      </c>
      <c r="H105" s="195">
        <f t="shared" si="6"/>
        <v>0</v>
      </c>
      <c r="I105" s="139"/>
      <c r="J105" s="197"/>
      <c r="K105" s="198">
        <f t="shared" si="76"/>
        <v>1</v>
      </c>
      <c r="L105" s="198"/>
      <c r="M105" s="139"/>
      <c r="N105" s="139"/>
      <c r="O105" s="178"/>
      <c r="P105" s="141"/>
      <c r="Q105" s="199">
        <f t="shared" si="7"/>
        <v>0</v>
      </c>
      <c r="R105" s="200">
        <f t="shared" si="8"/>
        <v>1</v>
      </c>
      <c r="S105" s="200">
        <f t="shared" si="9"/>
        <v>0</v>
      </c>
      <c r="T105" s="201">
        <f t="shared" si="10"/>
        <v>0</v>
      </c>
      <c r="U105" s="199">
        <f t="shared" ref="U105:V105" si="91">C105/100</f>
        <v>0</v>
      </c>
      <c r="V105" s="199">
        <f t="shared" si="91"/>
        <v>0</v>
      </c>
      <c r="W105" s="199">
        <f t="shared" si="12"/>
        <v>0</v>
      </c>
      <c r="X105" s="202">
        <f t="shared" si="13"/>
        <v>0</v>
      </c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</row>
    <row r="106" ht="27.0" customHeight="1">
      <c r="A106" s="162">
        <v>75.0</v>
      </c>
      <c r="B106" s="193"/>
      <c r="C106" s="193"/>
      <c r="D106" s="193"/>
      <c r="E106" s="193"/>
      <c r="F106" s="194">
        <f t="shared" si="5"/>
        <v>0</v>
      </c>
      <c r="G106" s="193">
        <v>1.0</v>
      </c>
      <c r="H106" s="195">
        <f t="shared" si="6"/>
        <v>0</v>
      </c>
      <c r="I106" s="139"/>
      <c r="J106" s="197"/>
      <c r="K106" s="198">
        <f t="shared" si="76"/>
        <v>1</v>
      </c>
      <c r="L106" s="198"/>
      <c r="M106" s="139"/>
      <c r="N106" s="139"/>
      <c r="O106" s="178"/>
      <c r="P106" s="141"/>
      <c r="Q106" s="199">
        <f t="shared" si="7"/>
        <v>0</v>
      </c>
      <c r="R106" s="200">
        <f t="shared" si="8"/>
        <v>1</v>
      </c>
      <c r="S106" s="200">
        <f t="shared" si="9"/>
        <v>0</v>
      </c>
      <c r="T106" s="201">
        <f t="shared" si="10"/>
        <v>0</v>
      </c>
      <c r="U106" s="199">
        <f t="shared" ref="U106:V106" si="92">C106/100</f>
        <v>0</v>
      </c>
      <c r="V106" s="199">
        <f t="shared" si="92"/>
        <v>0</v>
      </c>
      <c r="W106" s="199">
        <f t="shared" si="12"/>
        <v>0</v>
      </c>
      <c r="X106" s="202">
        <f t="shared" si="13"/>
        <v>0</v>
      </c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</row>
    <row r="107" ht="27.0" customHeight="1">
      <c r="A107" s="162">
        <v>76.0</v>
      </c>
      <c r="B107" s="193"/>
      <c r="C107" s="193"/>
      <c r="D107" s="193"/>
      <c r="E107" s="193"/>
      <c r="F107" s="194" t="str">
        <f t="shared" si="5"/>
        <v/>
      </c>
      <c r="G107" s="193">
        <v>1.0</v>
      </c>
      <c r="H107" s="195">
        <f t="shared" si="6"/>
        <v>0</v>
      </c>
      <c r="I107" s="139"/>
      <c r="J107" s="197"/>
      <c r="K107" s="198"/>
      <c r="L107" s="198"/>
      <c r="M107" s="139"/>
      <c r="N107" s="139"/>
      <c r="O107" s="195"/>
      <c r="P107" s="141"/>
      <c r="Q107" s="199">
        <f t="shared" si="7"/>
        <v>0</v>
      </c>
      <c r="R107" s="200">
        <f t="shared" si="8"/>
        <v>1</v>
      </c>
      <c r="S107" s="200">
        <f t="shared" si="9"/>
        <v>0</v>
      </c>
      <c r="T107" s="203"/>
      <c r="U107" s="199">
        <f t="shared" ref="U107:V107" si="93">C107/100</f>
        <v>0</v>
      </c>
      <c r="V107" s="199">
        <f t="shared" si="93"/>
        <v>0</v>
      </c>
      <c r="W107" s="199">
        <f t="shared" si="12"/>
        <v>0</v>
      </c>
      <c r="X107" s="202">
        <f t="shared" si="13"/>
        <v>0</v>
      </c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</row>
    <row r="108" ht="27.0" customHeight="1">
      <c r="A108" s="162">
        <v>77.0</v>
      </c>
      <c r="B108" s="193"/>
      <c r="C108" s="193"/>
      <c r="D108" s="193"/>
      <c r="E108" s="193"/>
      <c r="F108" s="194" t="str">
        <f t="shared" si="5"/>
        <v/>
      </c>
      <c r="G108" s="193">
        <v>1.0</v>
      </c>
      <c r="H108" s="195">
        <f t="shared" si="6"/>
        <v>0</v>
      </c>
      <c r="I108" s="139"/>
      <c r="J108" s="197"/>
      <c r="K108" s="198"/>
      <c r="L108" s="198"/>
      <c r="M108" s="139"/>
      <c r="N108" s="139"/>
      <c r="O108" s="195"/>
      <c r="P108" s="141"/>
      <c r="Q108" s="199">
        <f t="shared" si="7"/>
        <v>0</v>
      </c>
      <c r="R108" s="200">
        <f t="shared" si="8"/>
        <v>1</v>
      </c>
      <c r="S108" s="200">
        <f t="shared" si="9"/>
        <v>0</v>
      </c>
      <c r="T108" s="203"/>
      <c r="U108" s="199">
        <f t="shared" ref="U108:V108" si="94">C108/100</f>
        <v>0</v>
      </c>
      <c r="V108" s="199">
        <f t="shared" si="94"/>
        <v>0</v>
      </c>
      <c r="W108" s="199">
        <f t="shared" si="12"/>
        <v>0</v>
      </c>
      <c r="X108" s="202">
        <f t="shared" si="13"/>
        <v>0</v>
      </c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</row>
    <row r="109" ht="27.0" customHeight="1">
      <c r="A109" s="162">
        <v>78.0</v>
      </c>
      <c r="B109" s="193"/>
      <c r="C109" s="193"/>
      <c r="D109" s="193"/>
      <c r="E109" s="193"/>
      <c r="F109" s="194" t="str">
        <f t="shared" si="5"/>
        <v/>
      </c>
      <c r="G109" s="193">
        <v>1.0</v>
      </c>
      <c r="H109" s="195">
        <f t="shared" si="6"/>
        <v>0</v>
      </c>
      <c r="I109" s="139"/>
      <c r="J109" s="197"/>
      <c r="K109" s="198"/>
      <c r="L109" s="198"/>
      <c r="M109" s="139"/>
      <c r="N109" s="139"/>
      <c r="O109" s="195"/>
      <c r="P109" s="141"/>
      <c r="Q109" s="199">
        <f t="shared" si="7"/>
        <v>0</v>
      </c>
      <c r="R109" s="200">
        <f t="shared" si="8"/>
        <v>1</v>
      </c>
      <c r="S109" s="200">
        <f t="shared" si="9"/>
        <v>0</v>
      </c>
      <c r="T109" s="203"/>
      <c r="U109" s="199">
        <f t="shared" ref="U109:V109" si="95">C109/100</f>
        <v>0</v>
      </c>
      <c r="V109" s="199">
        <f t="shared" si="95"/>
        <v>0</v>
      </c>
      <c r="W109" s="199">
        <f t="shared" si="12"/>
        <v>0</v>
      </c>
      <c r="X109" s="202">
        <f t="shared" si="13"/>
        <v>0</v>
      </c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</row>
    <row r="110" ht="27.0" customHeight="1">
      <c r="A110" s="162">
        <v>79.0</v>
      </c>
      <c r="B110" s="193"/>
      <c r="C110" s="193"/>
      <c r="D110" s="193"/>
      <c r="E110" s="193"/>
      <c r="F110" s="194" t="str">
        <f t="shared" si="5"/>
        <v/>
      </c>
      <c r="G110" s="193">
        <v>1.0</v>
      </c>
      <c r="H110" s="195">
        <f t="shared" si="6"/>
        <v>0</v>
      </c>
      <c r="I110" s="139"/>
      <c r="J110" s="197"/>
      <c r="K110" s="198"/>
      <c r="L110" s="198"/>
      <c r="M110" s="139"/>
      <c r="N110" s="139"/>
      <c r="O110" s="195"/>
      <c r="P110" s="141"/>
      <c r="Q110" s="199">
        <f t="shared" si="7"/>
        <v>0</v>
      </c>
      <c r="R110" s="200">
        <f t="shared" si="8"/>
        <v>1</v>
      </c>
      <c r="S110" s="200">
        <f t="shared" si="9"/>
        <v>0</v>
      </c>
      <c r="T110" s="203"/>
      <c r="U110" s="199">
        <f t="shared" ref="U110:V110" si="96">C110/100</f>
        <v>0</v>
      </c>
      <c r="V110" s="199">
        <f t="shared" si="96"/>
        <v>0</v>
      </c>
      <c r="W110" s="199">
        <f t="shared" si="12"/>
        <v>0</v>
      </c>
      <c r="X110" s="202">
        <f t="shared" si="13"/>
        <v>0</v>
      </c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</row>
    <row r="111" ht="27.0" customHeight="1">
      <c r="A111" s="162">
        <v>80.0</v>
      </c>
      <c r="B111" s="193"/>
      <c r="C111" s="193"/>
      <c r="D111" s="193"/>
      <c r="E111" s="193"/>
      <c r="F111" s="194" t="str">
        <f t="shared" si="5"/>
        <v/>
      </c>
      <c r="G111" s="193">
        <v>1.0</v>
      </c>
      <c r="H111" s="195">
        <f t="shared" si="6"/>
        <v>0</v>
      </c>
      <c r="I111" s="139"/>
      <c r="J111" s="197"/>
      <c r="K111" s="198"/>
      <c r="L111" s="198"/>
      <c r="M111" s="139"/>
      <c r="N111" s="139"/>
      <c r="O111" s="195"/>
      <c r="P111" s="141"/>
      <c r="Q111" s="199">
        <f t="shared" si="7"/>
        <v>0</v>
      </c>
      <c r="R111" s="200">
        <f t="shared" si="8"/>
        <v>1</v>
      </c>
      <c r="S111" s="200">
        <f t="shared" si="9"/>
        <v>0</v>
      </c>
      <c r="T111" s="203"/>
      <c r="U111" s="199">
        <f t="shared" ref="U111:V111" si="97">C111/100</f>
        <v>0</v>
      </c>
      <c r="V111" s="199">
        <f t="shared" si="97"/>
        <v>0</v>
      </c>
      <c r="W111" s="199">
        <f t="shared" si="12"/>
        <v>0</v>
      </c>
      <c r="X111" s="202">
        <f t="shared" si="13"/>
        <v>0</v>
      </c>
      <c r="Y111" s="139"/>
      <c r="Z111" s="139"/>
      <c r="AA111" s="139"/>
      <c r="AB111" s="139"/>
      <c r="AC111" s="139"/>
      <c r="AD111" s="139"/>
      <c r="AE111" s="139"/>
      <c r="AF111" s="139"/>
      <c r="AG111" s="139"/>
      <c r="AH111" s="139"/>
      <c r="AI111" s="139"/>
    </row>
    <row r="112" ht="27.0" customHeight="1">
      <c r="A112" s="162">
        <v>81.0</v>
      </c>
      <c r="B112" s="193"/>
      <c r="C112" s="193"/>
      <c r="D112" s="193"/>
      <c r="E112" s="193"/>
      <c r="F112" s="194" t="str">
        <f t="shared" si="5"/>
        <v/>
      </c>
      <c r="G112" s="193">
        <v>1.0</v>
      </c>
      <c r="H112" s="195">
        <f t="shared" si="6"/>
        <v>0</v>
      </c>
      <c r="I112" s="139"/>
      <c r="J112" s="197"/>
      <c r="K112" s="198"/>
      <c r="L112" s="198"/>
      <c r="M112" s="139"/>
      <c r="N112" s="139"/>
      <c r="O112" s="195"/>
      <c r="P112" s="141"/>
      <c r="Q112" s="199">
        <f t="shared" si="7"/>
        <v>0</v>
      </c>
      <c r="R112" s="200">
        <f t="shared" si="8"/>
        <v>1</v>
      </c>
      <c r="S112" s="200">
        <f t="shared" si="9"/>
        <v>0</v>
      </c>
      <c r="T112" s="203"/>
      <c r="U112" s="199">
        <f t="shared" ref="U112:V112" si="98">C112/100</f>
        <v>0</v>
      </c>
      <c r="V112" s="199">
        <f t="shared" si="98"/>
        <v>0</v>
      </c>
      <c r="W112" s="199">
        <f t="shared" si="12"/>
        <v>0</v>
      </c>
      <c r="X112" s="202">
        <f t="shared" si="13"/>
        <v>0</v>
      </c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</row>
    <row r="113" ht="27.0" customHeight="1">
      <c r="A113" s="162">
        <v>82.0</v>
      </c>
      <c r="B113" s="193"/>
      <c r="C113" s="193"/>
      <c r="D113" s="193"/>
      <c r="E113" s="193"/>
      <c r="F113" s="194" t="str">
        <f t="shared" si="5"/>
        <v/>
      </c>
      <c r="G113" s="193">
        <v>1.0</v>
      </c>
      <c r="H113" s="195">
        <f t="shared" si="6"/>
        <v>0</v>
      </c>
      <c r="I113" s="139"/>
      <c r="J113" s="197"/>
      <c r="K113" s="198"/>
      <c r="L113" s="198"/>
      <c r="M113" s="139"/>
      <c r="N113" s="139"/>
      <c r="O113" s="195"/>
      <c r="P113" s="141"/>
      <c r="Q113" s="199">
        <f t="shared" si="7"/>
        <v>0</v>
      </c>
      <c r="R113" s="200">
        <f t="shared" si="8"/>
        <v>1</v>
      </c>
      <c r="S113" s="200">
        <f t="shared" si="9"/>
        <v>0</v>
      </c>
      <c r="T113" s="203"/>
      <c r="U113" s="199">
        <f t="shared" ref="U113:V113" si="99">C113/100</f>
        <v>0</v>
      </c>
      <c r="V113" s="199">
        <f t="shared" si="99"/>
        <v>0</v>
      </c>
      <c r="W113" s="199">
        <f t="shared" si="12"/>
        <v>0</v>
      </c>
      <c r="X113" s="202">
        <f t="shared" si="13"/>
        <v>0</v>
      </c>
      <c r="Y113" s="139"/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</row>
    <row r="114" ht="27.0" customHeight="1">
      <c r="A114" s="162">
        <v>83.0</v>
      </c>
      <c r="B114" s="193"/>
      <c r="C114" s="193"/>
      <c r="D114" s="193"/>
      <c r="E114" s="193"/>
      <c r="F114" s="194" t="str">
        <f t="shared" si="5"/>
        <v/>
      </c>
      <c r="G114" s="193">
        <v>1.0</v>
      </c>
      <c r="H114" s="195">
        <f t="shared" si="6"/>
        <v>0</v>
      </c>
      <c r="I114" s="139"/>
      <c r="J114" s="197"/>
      <c r="K114" s="198"/>
      <c r="L114" s="198"/>
      <c r="M114" s="139"/>
      <c r="N114" s="139"/>
      <c r="O114" s="195"/>
      <c r="P114" s="141"/>
      <c r="Q114" s="199">
        <f t="shared" si="7"/>
        <v>0</v>
      </c>
      <c r="R114" s="200">
        <f t="shared" si="8"/>
        <v>1</v>
      </c>
      <c r="S114" s="200">
        <f t="shared" si="9"/>
        <v>0</v>
      </c>
      <c r="T114" s="203"/>
      <c r="U114" s="199">
        <f t="shared" ref="U114:V114" si="100">C114/100</f>
        <v>0</v>
      </c>
      <c r="V114" s="199">
        <f t="shared" si="100"/>
        <v>0</v>
      </c>
      <c r="W114" s="199">
        <f t="shared" si="12"/>
        <v>0</v>
      </c>
      <c r="X114" s="202">
        <f t="shared" si="13"/>
        <v>0</v>
      </c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</row>
    <row r="115" ht="27.0" customHeight="1">
      <c r="A115" s="162">
        <v>84.0</v>
      </c>
      <c r="B115" s="193"/>
      <c r="C115" s="193"/>
      <c r="D115" s="193"/>
      <c r="E115" s="193"/>
      <c r="F115" s="194" t="str">
        <f t="shared" si="5"/>
        <v/>
      </c>
      <c r="G115" s="193">
        <v>1.0</v>
      </c>
      <c r="H115" s="195">
        <f t="shared" si="6"/>
        <v>0</v>
      </c>
      <c r="I115" s="139"/>
      <c r="J115" s="197"/>
      <c r="K115" s="198"/>
      <c r="L115" s="198"/>
      <c r="M115" s="139"/>
      <c r="N115" s="139"/>
      <c r="O115" s="195"/>
      <c r="P115" s="141"/>
      <c r="Q115" s="199">
        <f t="shared" si="7"/>
        <v>0</v>
      </c>
      <c r="R115" s="200">
        <f t="shared" si="8"/>
        <v>1</v>
      </c>
      <c r="S115" s="200">
        <f t="shared" si="9"/>
        <v>0</v>
      </c>
      <c r="T115" s="203"/>
      <c r="U115" s="199">
        <f t="shared" ref="U115:V115" si="101">C115/100</f>
        <v>0</v>
      </c>
      <c r="V115" s="199">
        <f t="shared" si="101"/>
        <v>0</v>
      </c>
      <c r="W115" s="199">
        <f t="shared" si="12"/>
        <v>0</v>
      </c>
      <c r="X115" s="202">
        <f t="shared" si="13"/>
        <v>0</v>
      </c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</row>
    <row r="116" ht="27.0" customHeight="1">
      <c r="A116" s="162">
        <v>85.0</v>
      </c>
      <c r="B116" s="193"/>
      <c r="C116" s="193"/>
      <c r="D116" s="193"/>
      <c r="E116" s="193"/>
      <c r="F116" s="194" t="str">
        <f t="shared" si="5"/>
        <v/>
      </c>
      <c r="G116" s="193">
        <v>1.0</v>
      </c>
      <c r="H116" s="195">
        <f t="shared" si="6"/>
        <v>0</v>
      </c>
      <c r="I116" s="139"/>
      <c r="J116" s="197"/>
      <c r="K116" s="198"/>
      <c r="L116" s="198"/>
      <c r="M116" s="139"/>
      <c r="N116" s="139"/>
      <c r="O116" s="195"/>
      <c r="P116" s="141"/>
      <c r="Q116" s="199">
        <f t="shared" si="7"/>
        <v>0</v>
      </c>
      <c r="R116" s="200">
        <f t="shared" si="8"/>
        <v>1</v>
      </c>
      <c r="S116" s="200">
        <f t="shared" si="9"/>
        <v>0</v>
      </c>
      <c r="T116" s="203"/>
      <c r="U116" s="199">
        <f t="shared" ref="U116:V116" si="102">C116/100</f>
        <v>0</v>
      </c>
      <c r="V116" s="199">
        <f t="shared" si="102"/>
        <v>0</v>
      </c>
      <c r="W116" s="199">
        <f t="shared" si="12"/>
        <v>0</v>
      </c>
      <c r="X116" s="202">
        <f t="shared" si="13"/>
        <v>0</v>
      </c>
      <c r="Y116" s="139"/>
      <c r="Z116" s="139"/>
      <c r="AA116" s="139"/>
      <c r="AB116" s="139"/>
      <c r="AC116" s="139"/>
      <c r="AD116" s="139"/>
      <c r="AE116" s="139"/>
      <c r="AF116" s="139"/>
      <c r="AG116" s="139"/>
      <c r="AH116" s="139"/>
      <c r="AI116" s="139"/>
    </row>
    <row r="117" ht="27.0" customHeight="1">
      <c r="A117" s="162">
        <v>86.0</v>
      </c>
      <c r="B117" s="193"/>
      <c r="C117" s="193"/>
      <c r="D117" s="193"/>
      <c r="E117" s="193"/>
      <c r="F117" s="194" t="str">
        <f t="shared" si="5"/>
        <v/>
      </c>
      <c r="G117" s="193">
        <v>1.0</v>
      </c>
      <c r="H117" s="195">
        <f t="shared" si="6"/>
        <v>0</v>
      </c>
      <c r="I117" s="139"/>
      <c r="J117" s="197"/>
      <c r="K117" s="198"/>
      <c r="L117" s="198"/>
      <c r="M117" s="139"/>
      <c r="N117" s="139"/>
      <c r="O117" s="195"/>
      <c r="P117" s="141"/>
      <c r="Q117" s="199">
        <f t="shared" si="7"/>
        <v>0</v>
      </c>
      <c r="R117" s="200">
        <f t="shared" si="8"/>
        <v>1</v>
      </c>
      <c r="S117" s="200">
        <f t="shared" si="9"/>
        <v>0</v>
      </c>
      <c r="T117" s="203"/>
      <c r="U117" s="199">
        <f t="shared" ref="U117:V117" si="103">C117/100</f>
        <v>0</v>
      </c>
      <c r="V117" s="199">
        <f t="shared" si="103"/>
        <v>0</v>
      </c>
      <c r="W117" s="199">
        <f t="shared" si="12"/>
        <v>0</v>
      </c>
      <c r="X117" s="202">
        <f t="shared" si="13"/>
        <v>0</v>
      </c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</row>
    <row r="118" ht="27.0" customHeight="1">
      <c r="A118" s="162">
        <v>87.0</v>
      </c>
      <c r="B118" s="193"/>
      <c r="C118" s="193"/>
      <c r="D118" s="193"/>
      <c r="E118" s="193"/>
      <c r="F118" s="194" t="str">
        <f t="shared" si="5"/>
        <v/>
      </c>
      <c r="G118" s="193">
        <v>1.0</v>
      </c>
      <c r="H118" s="195">
        <f t="shared" si="6"/>
        <v>0</v>
      </c>
      <c r="I118" s="139"/>
      <c r="J118" s="197"/>
      <c r="K118" s="198"/>
      <c r="L118" s="198"/>
      <c r="M118" s="139"/>
      <c r="N118" s="139"/>
      <c r="O118" s="195"/>
      <c r="P118" s="141"/>
      <c r="Q118" s="199">
        <f t="shared" si="7"/>
        <v>0</v>
      </c>
      <c r="R118" s="200">
        <f t="shared" si="8"/>
        <v>1</v>
      </c>
      <c r="S118" s="200">
        <f t="shared" si="9"/>
        <v>0</v>
      </c>
      <c r="T118" s="203"/>
      <c r="U118" s="199">
        <f t="shared" ref="U118:V118" si="104">C118/100</f>
        <v>0</v>
      </c>
      <c r="V118" s="199">
        <f t="shared" si="104"/>
        <v>0</v>
      </c>
      <c r="W118" s="199">
        <f t="shared" si="12"/>
        <v>0</v>
      </c>
      <c r="X118" s="202">
        <f t="shared" si="13"/>
        <v>0</v>
      </c>
      <c r="Y118" s="139"/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</row>
    <row r="119" ht="27.0" customHeight="1">
      <c r="A119" s="162">
        <v>88.0</v>
      </c>
      <c r="B119" s="193"/>
      <c r="C119" s="193"/>
      <c r="D119" s="193"/>
      <c r="E119" s="193"/>
      <c r="F119" s="194" t="str">
        <f t="shared" si="5"/>
        <v/>
      </c>
      <c r="G119" s="193">
        <v>1.0</v>
      </c>
      <c r="H119" s="195">
        <f t="shared" si="6"/>
        <v>0</v>
      </c>
      <c r="I119" s="139"/>
      <c r="J119" s="197"/>
      <c r="K119" s="198"/>
      <c r="L119" s="198"/>
      <c r="M119" s="139"/>
      <c r="N119" s="139"/>
      <c r="O119" s="195"/>
      <c r="P119" s="141"/>
      <c r="Q119" s="199">
        <f t="shared" si="7"/>
        <v>0</v>
      </c>
      <c r="R119" s="200">
        <f t="shared" si="8"/>
        <v>1</v>
      </c>
      <c r="S119" s="200">
        <f t="shared" si="9"/>
        <v>0</v>
      </c>
      <c r="T119" s="203"/>
      <c r="U119" s="199">
        <f t="shared" ref="U119:V119" si="105">C119/100</f>
        <v>0</v>
      </c>
      <c r="V119" s="199">
        <f t="shared" si="105"/>
        <v>0</v>
      </c>
      <c r="W119" s="199">
        <f t="shared" si="12"/>
        <v>0</v>
      </c>
      <c r="X119" s="202">
        <f t="shared" si="13"/>
        <v>0</v>
      </c>
      <c r="Y119" s="139"/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</row>
    <row r="120" ht="27.0" customHeight="1">
      <c r="A120" s="162">
        <v>89.0</v>
      </c>
      <c r="B120" s="193"/>
      <c r="C120" s="193"/>
      <c r="D120" s="193"/>
      <c r="E120" s="193"/>
      <c r="F120" s="194" t="str">
        <f t="shared" si="5"/>
        <v/>
      </c>
      <c r="G120" s="193">
        <v>1.0</v>
      </c>
      <c r="H120" s="195">
        <f t="shared" si="6"/>
        <v>0</v>
      </c>
      <c r="I120" s="139"/>
      <c r="J120" s="197"/>
      <c r="K120" s="198"/>
      <c r="L120" s="198"/>
      <c r="M120" s="139"/>
      <c r="N120" s="139"/>
      <c r="O120" s="195"/>
      <c r="P120" s="141"/>
      <c r="Q120" s="199">
        <f t="shared" si="7"/>
        <v>0</v>
      </c>
      <c r="R120" s="200">
        <f t="shared" si="8"/>
        <v>1</v>
      </c>
      <c r="S120" s="200">
        <f t="shared" si="9"/>
        <v>0</v>
      </c>
      <c r="T120" s="203"/>
      <c r="U120" s="199">
        <f t="shared" ref="U120:V120" si="106">C120/100</f>
        <v>0</v>
      </c>
      <c r="V120" s="199">
        <f t="shared" si="106"/>
        <v>0</v>
      </c>
      <c r="W120" s="199">
        <f t="shared" si="12"/>
        <v>0</v>
      </c>
      <c r="X120" s="202">
        <f t="shared" si="13"/>
        <v>0</v>
      </c>
      <c r="Y120" s="139"/>
      <c r="Z120" s="139"/>
      <c r="AA120" s="139"/>
      <c r="AB120" s="139"/>
      <c r="AC120" s="139"/>
      <c r="AD120" s="139"/>
      <c r="AE120" s="139"/>
      <c r="AF120" s="139"/>
      <c r="AG120" s="139"/>
      <c r="AH120" s="139"/>
      <c r="AI120" s="139"/>
    </row>
    <row r="121" ht="27.0" customHeight="1">
      <c r="A121" s="162">
        <v>90.0</v>
      </c>
      <c r="B121" s="193"/>
      <c r="C121" s="193"/>
      <c r="D121" s="193"/>
      <c r="E121" s="193"/>
      <c r="F121" s="194" t="str">
        <f t="shared" si="5"/>
        <v/>
      </c>
      <c r="G121" s="193">
        <v>1.0</v>
      </c>
      <c r="H121" s="195">
        <f t="shared" si="6"/>
        <v>0</v>
      </c>
      <c r="I121" s="139"/>
      <c r="J121" s="197"/>
      <c r="K121" s="198"/>
      <c r="L121" s="198"/>
      <c r="M121" s="139"/>
      <c r="N121" s="139"/>
      <c r="O121" s="195"/>
      <c r="P121" s="141"/>
      <c r="Q121" s="199">
        <f t="shared" si="7"/>
        <v>0</v>
      </c>
      <c r="R121" s="200">
        <f t="shared" si="8"/>
        <v>1</v>
      </c>
      <c r="S121" s="200">
        <f t="shared" si="9"/>
        <v>0</v>
      </c>
      <c r="T121" s="203"/>
      <c r="U121" s="199">
        <f t="shared" ref="U121:V121" si="107">C121/100</f>
        <v>0</v>
      </c>
      <c r="V121" s="199">
        <f t="shared" si="107"/>
        <v>0</v>
      </c>
      <c r="W121" s="199">
        <f t="shared" si="12"/>
        <v>0</v>
      </c>
      <c r="X121" s="202">
        <f t="shared" si="13"/>
        <v>0</v>
      </c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</row>
    <row r="122" ht="27.0" customHeight="1">
      <c r="A122" s="162">
        <v>91.0</v>
      </c>
      <c r="B122" s="193"/>
      <c r="C122" s="193"/>
      <c r="D122" s="193"/>
      <c r="E122" s="193"/>
      <c r="F122" s="194" t="str">
        <f t="shared" si="5"/>
        <v/>
      </c>
      <c r="G122" s="193">
        <v>1.0</v>
      </c>
      <c r="H122" s="195">
        <f t="shared" si="6"/>
        <v>0</v>
      </c>
      <c r="I122" s="139"/>
      <c r="J122" s="197"/>
      <c r="K122" s="198"/>
      <c r="L122" s="198"/>
      <c r="M122" s="139"/>
      <c r="N122" s="139"/>
      <c r="O122" s="195"/>
      <c r="P122" s="141"/>
      <c r="Q122" s="199">
        <f t="shared" si="7"/>
        <v>0</v>
      </c>
      <c r="R122" s="200">
        <f t="shared" si="8"/>
        <v>1</v>
      </c>
      <c r="S122" s="200">
        <f t="shared" si="9"/>
        <v>0</v>
      </c>
      <c r="T122" s="203"/>
      <c r="U122" s="199">
        <f t="shared" ref="U122:V122" si="108">C122/100</f>
        <v>0</v>
      </c>
      <c r="V122" s="199">
        <f t="shared" si="108"/>
        <v>0</v>
      </c>
      <c r="W122" s="199">
        <f t="shared" si="12"/>
        <v>0</v>
      </c>
      <c r="X122" s="202">
        <f t="shared" si="13"/>
        <v>0</v>
      </c>
      <c r="Y122" s="139"/>
      <c r="Z122" s="139"/>
      <c r="AA122" s="139"/>
      <c r="AB122" s="139"/>
      <c r="AC122" s="139"/>
      <c r="AD122" s="139"/>
      <c r="AE122" s="139"/>
      <c r="AF122" s="139"/>
      <c r="AG122" s="139"/>
      <c r="AH122" s="139"/>
      <c r="AI122" s="139"/>
    </row>
    <row r="123" ht="27.0" customHeight="1">
      <c r="A123" s="162">
        <v>92.0</v>
      </c>
      <c r="B123" s="193"/>
      <c r="C123" s="193"/>
      <c r="D123" s="193"/>
      <c r="E123" s="193"/>
      <c r="F123" s="194" t="str">
        <f t="shared" si="5"/>
        <v/>
      </c>
      <c r="G123" s="193">
        <v>1.0</v>
      </c>
      <c r="H123" s="195">
        <f t="shared" si="6"/>
        <v>0</v>
      </c>
      <c r="I123" s="139"/>
      <c r="J123" s="197"/>
      <c r="K123" s="198"/>
      <c r="L123" s="198"/>
      <c r="M123" s="139"/>
      <c r="N123" s="139"/>
      <c r="O123" s="195"/>
      <c r="P123" s="141"/>
      <c r="Q123" s="199">
        <f t="shared" si="7"/>
        <v>0</v>
      </c>
      <c r="R123" s="200">
        <f t="shared" si="8"/>
        <v>1</v>
      </c>
      <c r="S123" s="200">
        <f t="shared" si="9"/>
        <v>0</v>
      </c>
      <c r="T123" s="203"/>
      <c r="U123" s="199">
        <f t="shared" ref="U123:V123" si="109">C123/100</f>
        <v>0</v>
      </c>
      <c r="V123" s="199">
        <f t="shared" si="109"/>
        <v>0</v>
      </c>
      <c r="W123" s="199">
        <f t="shared" si="12"/>
        <v>0</v>
      </c>
      <c r="X123" s="202">
        <f t="shared" si="13"/>
        <v>0</v>
      </c>
      <c r="Y123" s="139"/>
      <c r="Z123" s="139"/>
      <c r="AA123" s="139"/>
      <c r="AB123" s="139"/>
      <c r="AC123" s="139"/>
      <c r="AD123" s="139"/>
      <c r="AE123" s="139"/>
      <c r="AF123" s="139"/>
      <c r="AG123" s="139"/>
      <c r="AH123" s="139"/>
      <c r="AI123" s="139"/>
    </row>
    <row r="124" ht="27.0" customHeight="1">
      <c r="A124" s="162">
        <v>93.0</v>
      </c>
      <c r="B124" s="193"/>
      <c r="C124" s="193"/>
      <c r="D124" s="193"/>
      <c r="E124" s="193"/>
      <c r="F124" s="194" t="str">
        <f t="shared" si="5"/>
        <v/>
      </c>
      <c r="G124" s="193">
        <v>1.0</v>
      </c>
      <c r="H124" s="195">
        <f t="shared" si="6"/>
        <v>0</v>
      </c>
      <c r="I124" s="139"/>
      <c r="J124" s="197"/>
      <c r="K124" s="198"/>
      <c r="L124" s="198"/>
      <c r="M124" s="139"/>
      <c r="N124" s="139"/>
      <c r="O124" s="195"/>
      <c r="P124" s="141"/>
      <c r="Q124" s="199">
        <f t="shared" si="7"/>
        <v>0</v>
      </c>
      <c r="R124" s="200">
        <f t="shared" si="8"/>
        <v>1</v>
      </c>
      <c r="S124" s="200">
        <f t="shared" si="9"/>
        <v>0</v>
      </c>
      <c r="T124" s="203"/>
      <c r="U124" s="199">
        <f t="shared" ref="U124:V124" si="110">C124/100</f>
        <v>0</v>
      </c>
      <c r="V124" s="199">
        <f t="shared" si="110"/>
        <v>0</v>
      </c>
      <c r="W124" s="199">
        <f t="shared" si="12"/>
        <v>0</v>
      </c>
      <c r="X124" s="202">
        <f t="shared" si="13"/>
        <v>0</v>
      </c>
      <c r="Y124" s="139"/>
      <c r="Z124" s="139"/>
      <c r="AA124" s="139"/>
      <c r="AB124" s="139"/>
      <c r="AC124" s="139"/>
      <c r="AD124" s="139"/>
      <c r="AE124" s="139"/>
      <c r="AF124" s="139"/>
      <c r="AG124" s="139"/>
      <c r="AH124" s="139"/>
      <c r="AI124" s="139"/>
    </row>
    <row r="125" ht="27.0" customHeight="1">
      <c r="A125" s="162">
        <v>94.0</v>
      </c>
      <c r="B125" s="193"/>
      <c r="C125" s="193"/>
      <c r="D125" s="193"/>
      <c r="E125" s="193"/>
      <c r="F125" s="194" t="str">
        <f t="shared" si="5"/>
        <v/>
      </c>
      <c r="G125" s="193">
        <v>1.0</v>
      </c>
      <c r="H125" s="195">
        <f t="shared" si="6"/>
        <v>0</v>
      </c>
      <c r="I125" s="139"/>
      <c r="J125" s="197"/>
      <c r="K125" s="198"/>
      <c r="L125" s="198"/>
      <c r="M125" s="139"/>
      <c r="N125" s="139"/>
      <c r="O125" s="195"/>
      <c r="P125" s="141"/>
      <c r="Q125" s="199">
        <f t="shared" si="7"/>
        <v>0</v>
      </c>
      <c r="R125" s="200">
        <f t="shared" si="8"/>
        <v>1</v>
      </c>
      <c r="S125" s="200">
        <f t="shared" si="9"/>
        <v>0</v>
      </c>
      <c r="T125" s="203"/>
      <c r="U125" s="199">
        <f t="shared" ref="U125:V125" si="111">C125/100</f>
        <v>0</v>
      </c>
      <c r="V125" s="199">
        <f t="shared" si="111"/>
        <v>0</v>
      </c>
      <c r="W125" s="199">
        <f t="shared" si="12"/>
        <v>0</v>
      </c>
      <c r="X125" s="202">
        <f t="shared" si="13"/>
        <v>0</v>
      </c>
      <c r="Y125" s="139"/>
      <c r="Z125" s="139"/>
      <c r="AA125" s="139"/>
      <c r="AB125" s="139"/>
      <c r="AC125" s="139"/>
      <c r="AD125" s="139"/>
      <c r="AE125" s="139"/>
      <c r="AF125" s="139"/>
      <c r="AG125" s="139"/>
      <c r="AH125" s="139"/>
      <c r="AI125" s="139"/>
    </row>
    <row r="126" ht="27.0" customHeight="1">
      <c r="A126" s="162">
        <v>95.0</v>
      </c>
      <c r="B126" s="193"/>
      <c r="C126" s="193"/>
      <c r="D126" s="193"/>
      <c r="E126" s="193"/>
      <c r="F126" s="194" t="str">
        <f t="shared" si="5"/>
        <v/>
      </c>
      <c r="G126" s="193">
        <v>1.0</v>
      </c>
      <c r="H126" s="195">
        <f t="shared" si="6"/>
        <v>0</v>
      </c>
      <c r="I126" s="139"/>
      <c r="J126" s="197"/>
      <c r="K126" s="198"/>
      <c r="L126" s="198"/>
      <c r="M126" s="139"/>
      <c r="N126" s="139"/>
      <c r="O126" s="195"/>
      <c r="P126" s="141"/>
      <c r="Q126" s="199">
        <f t="shared" si="7"/>
        <v>0</v>
      </c>
      <c r="R126" s="200">
        <f t="shared" si="8"/>
        <v>1</v>
      </c>
      <c r="S126" s="200">
        <f t="shared" si="9"/>
        <v>0</v>
      </c>
      <c r="T126" s="203"/>
      <c r="U126" s="199">
        <f t="shared" ref="U126:V126" si="112">C126/100</f>
        <v>0</v>
      </c>
      <c r="V126" s="199">
        <f t="shared" si="112"/>
        <v>0</v>
      </c>
      <c r="W126" s="199">
        <f t="shared" si="12"/>
        <v>0</v>
      </c>
      <c r="X126" s="202">
        <f t="shared" si="13"/>
        <v>0</v>
      </c>
      <c r="Y126" s="139"/>
      <c r="Z126" s="139"/>
      <c r="AA126" s="139"/>
      <c r="AB126" s="139"/>
      <c r="AC126" s="139"/>
      <c r="AD126" s="139"/>
      <c r="AE126" s="139"/>
      <c r="AF126" s="139"/>
      <c r="AG126" s="139"/>
      <c r="AH126" s="139"/>
      <c r="AI126" s="139"/>
    </row>
    <row r="127" ht="27.0" customHeight="1">
      <c r="A127" s="162">
        <v>96.0</v>
      </c>
      <c r="B127" s="193"/>
      <c r="C127" s="193"/>
      <c r="D127" s="193"/>
      <c r="E127" s="193"/>
      <c r="F127" s="194" t="str">
        <f t="shared" si="5"/>
        <v/>
      </c>
      <c r="G127" s="193">
        <v>1.0</v>
      </c>
      <c r="H127" s="195">
        <f t="shared" si="6"/>
        <v>0</v>
      </c>
      <c r="I127" s="139"/>
      <c r="J127" s="197"/>
      <c r="K127" s="198"/>
      <c r="L127" s="198"/>
      <c r="M127" s="139"/>
      <c r="N127" s="139"/>
      <c r="O127" s="195"/>
      <c r="P127" s="141"/>
      <c r="Q127" s="199">
        <f t="shared" si="7"/>
        <v>0</v>
      </c>
      <c r="R127" s="200">
        <f t="shared" si="8"/>
        <v>1</v>
      </c>
      <c r="S127" s="200">
        <f t="shared" si="9"/>
        <v>0</v>
      </c>
      <c r="T127" s="203"/>
      <c r="U127" s="199">
        <f t="shared" ref="U127:V127" si="113">C127/100</f>
        <v>0</v>
      </c>
      <c r="V127" s="199">
        <f t="shared" si="113"/>
        <v>0</v>
      </c>
      <c r="W127" s="199">
        <f t="shared" si="12"/>
        <v>0</v>
      </c>
      <c r="X127" s="202">
        <f t="shared" si="13"/>
        <v>0</v>
      </c>
      <c r="Y127" s="139"/>
      <c r="Z127" s="139"/>
      <c r="AA127" s="139"/>
      <c r="AB127" s="139"/>
      <c r="AC127" s="139"/>
      <c r="AD127" s="139"/>
      <c r="AE127" s="139"/>
      <c r="AF127" s="139"/>
      <c r="AG127" s="139"/>
      <c r="AH127" s="139"/>
      <c r="AI127" s="139"/>
    </row>
    <row r="128" ht="27.0" customHeight="1">
      <c r="A128" s="162">
        <v>97.0</v>
      </c>
      <c r="B128" s="193"/>
      <c r="C128" s="193"/>
      <c r="D128" s="193"/>
      <c r="E128" s="193"/>
      <c r="F128" s="194" t="str">
        <f t="shared" si="5"/>
        <v/>
      </c>
      <c r="G128" s="193">
        <v>1.0</v>
      </c>
      <c r="H128" s="195">
        <f t="shared" si="6"/>
        <v>0</v>
      </c>
      <c r="I128" s="139"/>
      <c r="J128" s="197"/>
      <c r="K128" s="198"/>
      <c r="L128" s="198"/>
      <c r="M128" s="139"/>
      <c r="N128" s="139"/>
      <c r="O128" s="195"/>
      <c r="P128" s="141"/>
      <c r="Q128" s="199">
        <f t="shared" si="7"/>
        <v>0</v>
      </c>
      <c r="R128" s="200">
        <f t="shared" si="8"/>
        <v>1</v>
      </c>
      <c r="S128" s="200">
        <f t="shared" si="9"/>
        <v>0</v>
      </c>
      <c r="T128" s="203"/>
      <c r="U128" s="199">
        <f t="shared" ref="U128:V128" si="114">C128/100</f>
        <v>0</v>
      </c>
      <c r="V128" s="199">
        <f t="shared" si="114"/>
        <v>0</v>
      </c>
      <c r="W128" s="199">
        <f t="shared" si="12"/>
        <v>0</v>
      </c>
      <c r="X128" s="202">
        <f t="shared" si="13"/>
        <v>0</v>
      </c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</row>
    <row r="129" ht="27.0" customHeight="1">
      <c r="A129" s="162">
        <v>98.0</v>
      </c>
      <c r="B129" s="193"/>
      <c r="C129" s="193"/>
      <c r="D129" s="193"/>
      <c r="E129" s="193"/>
      <c r="F129" s="194" t="str">
        <f t="shared" si="5"/>
        <v/>
      </c>
      <c r="G129" s="193">
        <v>1.0</v>
      </c>
      <c r="H129" s="195">
        <f t="shared" si="6"/>
        <v>0</v>
      </c>
      <c r="I129" s="139"/>
      <c r="J129" s="197"/>
      <c r="K129" s="198"/>
      <c r="L129" s="198"/>
      <c r="M129" s="139"/>
      <c r="N129" s="139"/>
      <c r="O129" s="195"/>
      <c r="P129" s="141"/>
      <c r="Q129" s="199">
        <f t="shared" si="7"/>
        <v>0</v>
      </c>
      <c r="R129" s="200">
        <f t="shared" si="8"/>
        <v>1</v>
      </c>
      <c r="S129" s="200">
        <f t="shared" si="9"/>
        <v>0</v>
      </c>
      <c r="T129" s="203"/>
      <c r="U129" s="199">
        <f t="shared" ref="U129:V129" si="115">C129/100</f>
        <v>0</v>
      </c>
      <c r="V129" s="199">
        <f t="shared" si="115"/>
        <v>0</v>
      </c>
      <c r="W129" s="199">
        <f t="shared" si="12"/>
        <v>0</v>
      </c>
      <c r="X129" s="202">
        <f t="shared" si="13"/>
        <v>0</v>
      </c>
      <c r="Y129" s="139"/>
      <c r="Z129" s="139"/>
      <c r="AA129" s="139"/>
      <c r="AB129" s="139"/>
      <c r="AC129" s="139"/>
      <c r="AD129" s="139"/>
      <c r="AE129" s="139"/>
      <c r="AF129" s="139"/>
      <c r="AG129" s="139"/>
      <c r="AH129" s="139"/>
      <c r="AI129" s="139"/>
    </row>
    <row r="130" ht="27.0" customHeight="1">
      <c r="A130" s="162">
        <v>99.0</v>
      </c>
      <c r="B130" s="193"/>
      <c r="C130" s="193"/>
      <c r="D130" s="193"/>
      <c r="E130" s="193"/>
      <c r="F130" s="194" t="str">
        <f t="shared" si="5"/>
        <v/>
      </c>
      <c r="G130" s="193">
        <v>1.0</v>
      </c>
      <c r="H130" s="195">
        <f t="shared" si="6"/>
        <v>0</v>
      </c>
      <c r="I130" s="139"/>
      <c r="J130" s="197"/>
      <c r="K130" s="198"/>
      <c r="L130" s="198"/>
      <c r="M130" s="139"/>
      <c r="N130" s="139"/>
      <c r="O130" s="195"/>
      <c r="P130" s="141"/>
      <c r="Q130" s="199">
        <f t="shared" si="7"/>
        <v>0</v>
      </c>
      <c r="R130" s="200">
        <f t="shared" si="8"/>
        <v>1</v>
      </c>
      <c r="S130" s="200">
        <f t="shared" si="9"/>
        <v>0</v>
      </c>
      <c r="T130" s="203"/>
      <c r="U130" s="199">
        <f t="shared" ref="U130:V130" si="116">C130/100</f>
        <v>0</v>
      </c>
      <c r="V130" s="199">
        <f t="shared" si="116"/>
        <v>0</v>
      </c>
      <c r="W130" s="199">
        <f t="shared" si="12"/>
        <v>0</v>
      </c>
      <c r="X130" s="202">
        <f t="shared" si="13"/>
        <v>0</v>
      </c>
      <c r="Y130" s="139"/>
      <c r="Z130" s="139"/>
      <c r="AA130" s="139"/>
      <c r="AB130" s="139"/>
      <c r="AC130" s="139"/>
      <c r="AD130" s="139"/>
      <c r="AE130" s="139"/>
      <c r="AF130" s="139"/>
      <c r="AG130" s="139"/>
      <c r="AH130" s="139"/>
      <c r="AI130" s="139"/>
    </row>
    <row r="131" ht="27.0" customHeight="1">
      <c r="A131" s="162">
        <v>100.0</v>
      </c>
      <c r="B131" s="193"/>
      <c r="C131" s="193"/>
      <c r="D131" s="193"/>
      <c r="E131" s="193"/>
      <c r="F131" s="194" t="str">
        <f t="shared" si="5"/>
        <v/>
      </c>
      <c r="G131" s="193">
        <v>1.0</v>
      </c>
      <c r="H131" s="195">
        <f t="shared" si="6"/>
        <v>0</v>
      </c>
      <c r="I131" s="139"/>
      <c r="J131" s="197"/>
      <c r="K131" s="198"/>
      <c r="L131" s="198"/>
      <c r="M131" s="139"/>
      <c r="N131" s="139"/>
      <c r="O131" s="195"/>
      <c r="P131" s="141"/>
      <c r="Q131" s="199">
        <f t="shared" si="7"/>
        <v>0</v>
      </c>
      <c r="R131" s="200">
        <f t="shared" si="8"/>
        <v>1</v>
      </c>
      <c r="S131" s="200">
        <f t="shared" si="9"/>
        <v>0</v>
      </c>
      <c r="T131" s="203"/>
      <c r="U131" s="199">
        <f t="shared" ref="U131:V131" si="117">C131/100</f>
        <v>0</v>
      </c>
      <c r="V131" s="199">
        <f t="shared" si="117"/>
        <v>0</v>
      </c>
      <c r="W131" s="199">
        <f t="shared" si="12"/>
        <v>0</v>
      </c>
      <c r="X131" s="202">
        <f t="shared" si="13"/>
        <v>0</v>
      </c>
      <c r="Y131" s="139"/>
      <c r="Z131" s="139"/>
      <c r="AA131" s="139"/>
      <c r="AB131" s="139"/>
      <c r="AC131" s="139"/>
      <c r="AD131" s="139"/>
      <c r="AE131" s="139"/>
      <c r="AF131" s="139"/>
      <c r="AG131" s="139"/>
      <c r="AH131" s="139"/>
      <c r="AI131" s="139"/>
    </row>
    <row r="132" ht="27.0" hidden="1" customHeight="1">
      <c r="A132" s="162">
        <v>101.0</v>
      </c>
      <c r="B132" s="193"/>
      <c r="C132" s="193"/>
      <c r="D132" s="193"/>
      <c r="E132" s="193"/>
      <c r="F132" s="194" t="str">
        <f t="shared" si="5"/>
        <v/>
      </c>
      <c r="G132" s="193"/>
      <c r="H132" s="195">
        <f t="shared" si="6"/>
        <v>0</v>
      </c>
      <c r="I132" s="139"/>
      <c r="J132" s="197"/>
      <c r="K132" s="198"/>
      <c r="L132" s="198"/>
      <c r="M132" s="139"/>
      <c r="N132" s="139"/>
      <c r="O132" s="195"/>
      <c r="P132" s="141"/>
      <c r="Q132" s="199">
        <f t="shared" si="7"/>
        <v>0</v>
      </c>
      <c r="R132" s="200" t="str">
        <f t="shared" si="8"/>
        <v/>
      </c>
      <c r="S132" s="200">
        <f t="shared" si="9"/>
        <v>0</v>
      </c>
      <c r="T132" s="203"/>
      <c r="U132" s="199">
        <f t="shared" ref="U132:V132" si="118">C132/100</f>
        <v>0</v>
      </c>
      <c r="V132" s="199">
        <f t="shared" si="118"/>
        <v>0</v>
      </c>
      <c r="W132" s="199">
        <f t="shared" si="12"/>
        <v>0</v>
      </c>
      <c r="X132" s="202">
        <f t="shared" si="13"/>
        <v>0</v>
      </c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</row>
    <row r="133" ht="27.0" hidden="1" customHeight="1">
      <c r="A133" s="162">
        <v>102.0</v>
      </c>
      <c r="B133" s="193"/>
      <c r="C133" s="193"/>
      <c r="D133" s="193"/>
      <c r="E133" s="193"/>
      <c r="F133" s="194" t="str">
        <f t="shared" si="5"/>
        <v/>
      </c>
      <c r="G133" s="193"/>
      <c r="H133" s="195">
        <f t="shared" si="6"/>
        <v>0</v>
      </c>
      <c r="I133" s="139"/>
      <c r="J133" s="197"/>
      <c r="K133" s="198"/>
      <c r="L133" s="198"/>
      <c r="M133" s="139"/>
      <c r="N133" s="139"/>
      <c r="O133" s="195"/>
      <c r="P133" s="141"/>
      <c r="Q133" s="199">
        <f t="shared" si="7"/>
        <v>0</v>
      </c>
      <c r="R133" s="200" t="str">
        <f t="shared" si="8"/>
        <v/>
      </c>
      <c r="S133" s="200">
        <f t="shared" si="9"/>
        <v>0</v>
      </c>
      <c r="T133" s="203"/>
      <c r="U133" s="199">
        <f t="shared" ref="U133:V133" si="119">C133/100</f>
        <v>0</v>
      </c>
      <c r="V133" s="199">
        <f t="shared" si="119"/>
        <v>0</v>
      </c>
      <c r="W133" s="199">
        <f t="shared" si="12"/>
        <v>0</v>
      </c>
      <c r="X133" s="202">
        <f t="shared" si="13"/>
        <v>0</v>
      </c>
      <c r="Y133" s="139"/>
      <c r="Z133" s="139"/>
      <c r="AA133" s="139"/>
      <c r="AB133" s="139"/>
      <c r="AC133" s="139"/>
      <c r="AD133" s="139"/>
      <c r="AE133" s="139"/>
      <c r="AF133" s="139"/>
      <c r="AG133" s="139"/>
      <c r="AH133" s="139"/>
      <c r="AI133" s="139"/>
    </row>
    <row r="134" ht="27.0" hidden="1" customHeight="1">
      <c r="A134" s="162">
        <v>103.0</v>
      </c>
      <c r="B134" s="193"/>
      <c r="C134" s="193"/>
      <c r="D134" s="193"/>
      <c r="E134" s="193"/>
      <c r="F134" s="194" t="str">
        <f t="shared" si="5"/>
        <v/>
      </c>
      <c r="G134" s="193"/>
      <c r="H134" s="195">
        <f t="shared" si="6"/>
        <v>0</v>
      </c>
      <c r="I134" s="139"/>
      <c r="J134" s="197"/>
      <c r="K134" s="198"/>
      <c r="L134" s="198"/>
      <c r="M134" s="139"/>
      <c r="N134" s="139"/>
      <c r="O134" s="195"/>
      <c r="P134" s="141"/>
      <c r="Q134" s="199">
        <f t="shared" si="7"/>
        <v>0</v>
      </c>
      <c r="R134" s="200" t="str">
        <f t="shared" si="8"/>
        <v/>
      </c>
      <c r="S134" s="200">
        <f t="shared" si="9"/>
        <v>0</v>
      </c>
      <c r="T134" s="203"/>
      <c r="U134" s="199">
        <f t="shared" ref="U134:V134" si="120">C134/100</f>
        <v>0</v>
      </c>
      <c r="V134" s="199">
        <f t="shared" si="120"/>
        <v>0</v>
      </c>
      <c r="W134" s="199">
        <f t="shared" si="12"/>
        <v>0</v>
      </c>
      <c r="X134" s="202">
        <f t="shared" si="13"/>
        <v>0</v>
      </c>
      <c r="Y134" s="139"/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/>
    </row>
    <row r="135" ht="27.0" hidden="1" customHeight="1">
      <c r="A135" s="162">
        <v>104.0</v>
      </c>
      <c r="B135" s="193"/>
      <c r="C135" s="193"/>
      <c r="D135" s="193"/>
      <c r="E135" s="193"/>
      <c r="F135" s="194" t="str">
        <f t="shared" si="5"/>
        <v/>
      </c>
      <c r="G135" s="193"/>
      <c r="H135" s="195">
        <f t="shared" si="6"/>
        <v>0</v>
      </c>
      <c r="I135" s="139"/>
      <c r="J135" s="197"/>
      <c r="K135" s="198"/>
      <c r="L135" s="198"/>
      <c r="M135" s="139"/>
      <c r="N135" s="139"/>
      <c r="O135" s="195"/>
      <c r="P135" s="141"/>
      <c r="Q135" s="199">
        <f t="shared" si="7"/>
        <v>0</v>
      </c>
      <c r="R135" s="200" t="str">
        <f t="shared" si="8"/>
        <v/>
      </c>
      <c r="S135" s="200">
        <f t="shared" si="9"/>
        <v>0</v>
      </c>
      <c r="T135" s="203"/>
      <c r="U135" s="199">
        <f t="shared" ref="U135:V135" si="121">C135/100</f>
        <v>0</v>
      </c>
      <c r="V135" s="199">
        <f t="shared" si="121"/>
        <v>0</v>
      </c>
      <c r="W135" s="199">
        <f t="shared" si="12"/>
        <v>0</v>
      </c>
      <c r="X135" s="202">
        <f t="shared" si="13"/>
        <v>0</v>
      </c>
      <c r="Y135" s="139"/>
      <c r="Z135" s="139"/>
      <c r="AA135" s="139"/>
      <c r="AB135" s="139"/>
      <c r="AC135" s="139"/>
      <c r="AD135" s="139"/>
      <c r="AE135" s="139"/>
      <c r="AF135" s="139"/>
      <c r="AG135" s="139"/>
      <c r="AH135" s="139"/>
      <c r="AI135" s="139"/>
    </row>
    <row r="136" ht="27.0" hidden="1" customHeight="1">
      <c r="A136" s="162">
        <v>105.0</v>
      </c>
      <c r="B136" s="193"/>
      <c r="C136" s="193"/>
      <c r="D136" s="193"/>
      <c r="E136" s="193"/>
      <c r="F136" s="194" t="str">
        <f t="shared" si="5"/>
        <v/>
      </c>
      <c r="G136" s="193"/>
      <c r="H136" s="195">
        <f t="shared" si="6"/>
        <v>0</v>
      </c>
      <c r="I136" s="139"/>
      <c r="J136" s="197"/>
      <c r="K136" s="198"/>
      <c r="L136" s="198"/>
      <c r="M136" s="139"/>
      <c r="N136" s="139"/>
      <c r="O136" s="195"/>
      <c r="P136" s="141"/>
      <c r="Q136" s="199">
        <f t="shared" si="7"/>
        <v>0</v>
      </c>
      <c r="R136" s="200" t="str">
        <f t="shared" si="8"/>
        <v/>
      </c>
      <c r="S136" s="200">
        <f t="shared" si="9"/>
        <v>0</v>
      </c>
      <c r="T136" s="203"/>
      <c r="U136" s="199">
        <f t="shared" ref="U136:V136" si="122">C136/100</f>
        <v>0</v>
      </c>
      <c r="V136" s="199">
        <f t="shared" si="122"/>
        <v>0</v>
      </c>
      <c r="W136" s="199">
        <f t="shared" si="12"/>
        <v>0</v>
      </c>
      <c r="X136" s="202">
        <f t="shared" si="13"/>
        <v>0</v>
      </c>
      <c r="Y136" s="139"/>
      <c r="Z136" s="139"/>
      <c r="AA136" s="139"/>
      <c r="AB136" s="139"/>
      <c r="AC136" s="139"/>
      <c r="AD136" s="139"/>
      <c r="AE136" s="139"/>
      <c r="AF136" s="139"/>
      <c r="AG136" s="139"/>
      <c r="AH136" s="139"/>
      <c r="AI136" s="139"/>
    </row>
    <row r="137" ht="27.0" hidden="1" customHeight="1">
      <c r="A137" s="162">
        <v>106.0</v>
      </c>
      <c r="B137" s="193"/>
      <c r="C137" s="193"/>
      <c r="D137" s="193"/>
      <c r="E137" s="193"/>
      <c r="F137" s="194" t="str">
        <f t="shared" si="5"/>
        <v/>
      </c>
      <c r="G137" s="193"/>
      <c r="H137" s="195">
        <f t="shared" si="6"/>
        <v>0</v>
      </c>
      <c r="I137" s="139"/>
      <c r="J137" s="197"/>
      <c r="K137" s="198"/>
      <c r="L137" s="198"/>
      <c r="M137" s="139"/>
      <c r="N137" s="139"/>
      <c r="O137" s="195"/>
      <c r="P137" s="141"/>
      <c r="Q137" s="199">
        <f t="shared" si="7"/>
        <v>0</v>
      </c>
      <c r="R137" s="200" t="str">
        <f t="shared" si="8"/>
        <v/>
      </c>
      <c r="S137" s="200">
        <f t="shared" si="9"/>
        <v>0</v>
      </c>
      <c r="T137" s="203"/>
      <c r="U137" s="199">
        <f t="shared" ref="U137:V137" si="123">C137/100</f>
        <v>0</v>
      </c>
      <c r="V137" s="199">
        <f t="shared" si="123"/>
        <v>0</v>
      </c>
      <c r="W137" s="199">
        <f t="shared" si="12"/>
        <v>0</v>
      </c>
      <c r="X137" s="202">
        <f t="shared" si="13"/>
        <v>0</v>
      </c>
      <c r="Y137" s="139"/>
      <c r="Z137" s="139"/>
      <c r="AA137" s="139"/>
      <c r="AB137" s="139"/>
      <c r="AC137" s="139"/>
      <c r="AD137" s="139"/>
      <c r="AE137" s="139"/>
      <c r="AF137" s="139"/>
      <c r="AG137" s="139"/>
      <c r="AH137" s="139"/>
      <c r="AI137" s="139"/>
    </row>
    <row r="138" ht="27.0" hidden="1" customHeight="1">
      <c r="A138" s="162">
        <v>107.0</v>
      </c>
      <c r="B138" s="193"/>
      <c r="C138" s="193"/>
      <c r="D138" s="193"/>
      <c r="E138" s="193"/>
      <c r="F138" s="194" t="str">
        <f t="shared" si="5"/>
        <v/>
      </c>
      <c r="G138" s="193"/>
      <c r="H138" s="195">
        <f t="shared" si="6"/>
        <v>0</v>
      </c>
      <c r="I138" s="139"/>
      <c r="J138" s="197"/>
      <c r="K138" s="198"/>
      <c r="L138" s="198"/>
      <c r="M138" s="139"/>
      <c r="N138" s="139"/>
      <c r="O138" s="195"/>
      <c r="P138" s="141"/>
      <c r="Q138" s="199">
        <f t="shared" si="7"/>
        <v>0</v>
      </c>
      <c r="R138" s="200" t="str">
        <f t="shared" si="8"/>
        <v/>
      </c>
      <c r="S138" s="200">
        <f t="shared" si="9"/>
        <v>0</v>
      </c>
      <c r="T138" s="203"/>
      <c r="U138" s="199">
        <f t="shared" ref="U138:V138" si="124">C138/100</f>
        <v>0</v>
      </c>
      <c r="V138" s="199">
        <f t="shared" si="124"/>
        <v>0</v>
      </c>
      <c r="W138" s="199">
        <f t="shared" si="12"/>
        <v>0</v>
      </c>
      <c r="X138" s="202">
        <f t="shared" si="13"/>
        <v>0</v>
      </c>
      <c r="Y138" s="139"/>
      <c r="Z138" s="139"/>
      <c r="AA138" s="139"/>
      <c r="AB138" s="139"/>
      <c r="AC138" s="139"/>
      <c r="AD138" s="139"/>
      <c r="AE138" s="139"/>
      <c r="AF138" s="139"/>
      <c r="AG138" s="139"/>
      <c r="AH138" s="139"/>
      <c r="AI138" s="139"/>
    </row>
    <row r="139" ht="27.0" hidden="1" customHeight="1">
      <c r="A139" s="162">
        <v>108.0</v>
      </c>
      <c r="B139" s="193"/>
      <c r="C139" s="193"/>
      <c r="D139" s="193"/>
      <c r="E139" s="193"/>
      <c r="F139" s="194" t="str">
        <f t="shared" si="5"/>
        <v/>
      </c>
      <c r="G139" s="193"/>
      <c r="H139" s="195">
        <f t="shared" si="6"/>
        <v>0</v>
      </c>
      <c r="I139" s="139"/>
      <c r="J139" s="197"/>
      <c r="K139" s="198"/>
      <c r="L139" s="198"/>
      <c r="M139" s="139"/>
      <c r="N139" s="139"/>
      <c r="O139" s="195"/>
      <c r="P139" s="141"/>
      <c r="Q139" s="199">
        <f t="shared" si="7"/>
        <v>0</v>
      </c>
      <c r="R139" s="200" t="str">
        <f t="shared" si="8"/>
        <v/>
      </c>
      <c r="S139" s="200">
        <f t="shared" si="9"/>
        <v>0</v>
      </c>
      <c r="T139" s="203"/>
      <c r="U139" s="199">
        <f t="shared" ref="U139:V139" si="125">C139/100</f>
        <v>0</v>
      </c>
      <c r="V139" s="199">
        <f t="shared" si="125"/>
        <v>0</v>
      </c>
      <c r="W139" s="199">
        <f t="shared" si="12"/>
        <v>0</v>
      </c>
      <c r="X139" s="202">
        <f t="shared" si="13"/>
        <v>0</v>
      </c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</row>
    <row r="140" ht="27.0" hidden="1" customHeight="1">
      <c r="A140" s="162">
        <v>109.0</v>
      </c>
      <c r="B140" s="193"/>
      <c r="C140" s="193"/>
      <c r="D140" s="193"/>
      <c r="E140" s="193"/>
      <c r="F140" s="194" t="str">
        <f t="shared" si="5"/>
        <v/>
      </c>
      <c r="G140" s="193"/>
      <c r="H140" s="195">
        <f t="shared" si="6"/>
        <v>0</v>
      </c>
      <c r="I140" s="139"/>
      <c r="J140" s="197"/>
      <c r="K140" s="198"/>
      <c r="L140" s="198"/>
      <c r="M140" s="139"/>
      <c r="N140" s="139"/>
      <c r="O140" s="195"/>
      <c r="P140" s="141"/>
      <c r="Q140" s="199">
        <f t="shared" si="7"/>
        <v>0</v>
      </c>
      <c r="R140" s="200" t="str">
        <f t="shared" si="8"/>
        <v/>
      </c>
      <c r="S140" s="200">
        <f t="shared" si="9"/>
        <v>0</v>
      </c>
      <c r="T140" s="203"/>
      <c r="U140" s="199">
        <f t="shared" ref="U140:V140" si="126">C140/100</f>
        <v>0</v>
      </c>
      <c r="V140" s="199">
        <f t="shared" si="126"/>
        <v>0</v>
      </c>
      <c r="W140" s="199">
        <f t="shared" si="12"/>
        <v>0</v>
      </c>
      <c r="X140" s="202">
        <f t="shared" si="13"/>
        <v>0</v>
      </c>
      <c r="Y140" s="139"/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</row>
    <row r="141" ht="27.0" hidden="1" customHeight="1">
      <c r="A141" s="162">
        <v>110.0</v>
      </c>
      <c r="B141" s="193"/>
      <c r="C141" s="193"/>
      <c r="D141" s="193"/>
      <c r="E141" s="193"/>
      <c r="F141" s="194" t="str">
        <f t="shared" si="5"/>
        <v/>
      </c>
      <c r="G141" s="193"/>
      <c r="H141" s="195">
        <f t="shared" si="6"/>
        <v>0</v>
      </c>
      <c r="I141" s="139"/>
      <c r="J141" s="197"/>
      <c r="K141" s="198"/>
      <c r="L141" s="198"/>
      <c r="M141" s="139"/>
      <c r="N141" s="139"/>
      <c r="O141" s="195"/>
      <c r="P141" s="141"/>
      <c r="Q141" s="199">
        <f t="shared" si="7"/>
        <v>0</v>
      </c>
      <c r="R141" s="200" t="str">
        <f t="shared" si="8"/>
        <v/>
      </c>
      <c r="S141" s="200">
        <f t="shared" si="9"/>
        <v>0</v>
      </c>
      <c r="T141" s="203"/>
      <c r="U141" s="199">
        <f t="shared" ref="U141:V141" si="127">C141/100</f>
        <v>0</v>
      </c>
      <c r="V141" s="199">
        <f t="shared" si="127"/>
        <v>0</v>
      </c>
      <c r="W141" s="199">
        <f t="shared" si="12"/>
        <v>0</v>
      </c>
      <c r="X141" s="202">
        <f t="shared" si="13"/>
        <v>0</v>
      </c>
      <c r="Y141" s="139"/>
      <c r="Z141" s="139"/>
      <c r="AA141" s="139"/>
      <c r="AB141" s="139"/>
      <c r="AC141" s="139"/>
      <c r="AD141" s="139"/>
      <c r="AE141" s="139"/>
      <c r="AF141" s="139"/>
      <c r="AG141" s="139"/>
      <c r="AH141" s="139"/>
      <c r="AI141" s="139"/>
    </row>
    <row r="142" ht="27.0" hidden="1" customHeight="1">
      <c r="A142" s="162">
        <v>111.0</v>
      </c>
      <c r="B142" s="193"/>
      <c r="C142" s="193"/>
      <c r="D142" s="193"/>
      <c r="E142" s="193"/>
      <c r="F142" s="194" t="str">
        <f t="shared" si="5"/>
        <v/>
      </c>
      <c r="G142" s="193"/>
      <c r="H142" s="195">
        <f t="shared" si="6"/>
        <v>0</v>
      </c>
      <c r="I142" s="139"/>
      <c r="J142" s="197"/>
      <c r="K142" s="198"/>
      <c r="L142" s="198"/>
      <c r="M142" s="139"/>
      <c r="N142" s="139"/>
      <c r="O142" s="195"/>
      <c r="P142" s="141"/>
      <c r="Q142" s="199">
        <f t="shared" si="7"/>
        <v>0</v>
      </c>
      <c r="R142" s="200" t="str">
        <f t="shared" si="8"/>
        <v/>
      </c>
      <c r="S142" s="200">
        <f t="shared" si="9"/>
        <v>0</v>
      </c>
      <c r="T142" s="203"/>
      <c r="U142" s="199">
        <f t="shared" ref="U142:V142" si="128">C142/100</f>
        <v>0</v>
      </c>
      <c r="V142" s="199">
        <f t="shared" si="128"/>
        <v>0</v>
      </c>
      <c r="W142" s="199">
        <f t="shared" si="12"/>
        <v>0</v>
      </c>
      <c r="X142" s="202">
        <f t="shared" si="13"/>
        <v>0</v>
      </c>
      <c r="Y142" s="139"/>
      <c r="Z142" s="139"/>
      <c r="AA142" s="139"/>
      <c r="AB142" s="139"/>
      <c r="AC142" s="139"/>
      <c r="AD142" s="139"/>
      <c r="AE142" s="139"/>
      <c r="AF142" s="139"/>
      <c r="AG142" s="139"/>
      <c r="AH142" s="139"/>
      <c r="AI142" s="139"/>
    </row>
    <row r="143" ht="27.0" hidden="1" customHeight="1">
      <c r="A143" s="162">
        <v>112.0</v>
      </c>
      <c r="B143" s="193"/>
      <c r="C143" s="193"/>
      <c r="D143" s="193"/>
      <c r="E143" s="193"/>
      <c r="F143" s="194" t="str">
        <f t="shared" si="5"/>
        <v/>
      </c>
      <c r="G143" s="193"/>
      <c r="H143" s="195">
        <f t="shared" si="6"/>
        <v>0</v>
      </c>
      <c r="I143" s="139"/>
      <c r="J143" s="197"/>
      <c r="K143" s="198"/>
      <c r="L143" s="198"/>
      <c r="M143" s="139"/>
      <c r="N143" s="139"/>
      <c r="O143" s="195"/>
      <c r="P143" s="141"/>
      <c r="Q143" s="199">
        <f t="shared" si="7"/>
        <v>0</v>
      </c>
      <c r="R143" s="200" t="str">
        <f t="shared" si="8"/>
        <v/>
      </c>
      <c r="S143" s="200">
        <f t="shared" si="9"/>
        <v>0</v>
      </c>
      <c r="T143" s="203"/>
      <c r="U143" s="199">
        <f t="shared" ref="U143:V143" si="129">C143/100</f>
        <v>0</v>
      </c>
      <c r="V143" s="199">
        <f t="shared" si="129"/>
        <v>0</v>
      </c>
      <c r="W143" s="199">
        <f t="shared" si="12"/>
        <v>0</v>
      </c>
      <c r="X143" s="202">
        <f t="shared" si="13"/>
        <v>0</v>
      </c>
      <c r="Y143" s="139"/>
      <c r="Z143" s="139"/>
      <c r="AA143" s="139"/>
      <c r="AB143" s="139"/>
      <c r="AC143" s="139"/>
      <c r="AD143" s="139"/>
      <c r="AE143" s="139"/>
      <c r="AF143" s="139"/>
      <c r="AG143" s="139"/>
      <c r="AH143" s="139"/>
      <c r="AI143" s="139"/>
    </row>
    <row r="144" ht="27.0" hidden="1" customHeight="1">
      <c r="A144" s="162">
        <v>113.0</v>
      </c>
      <c r="B144" s="193"/>
      <c r="C144" s="193"/>
      <c r="D144" s="193"/>
      <c r="E144" s="193"/>
      <c r="F144" s="194" t="str">
        <f t="shared" si="5"/>
        <v/>
      </c>
      <c r="G144" s="193"/>
      <c r="H144" s="195">
        <f t="shared" si="6"/>
        <v>0</v>
      </c>
      <c r="I144" s="139"/>
      <c r="J144" s="197"/>
      <c r="K144" s="198"/>
      <c r="L144" s="198"/>
      <c r="M144" s="139"/>
      <c r="N144" s="139"/>
      <c r="O144" s="195"/>
      <c r="P144" s="141"/>
      <c r="Q144" s="199">
        <f t="shared" si="7"/>
        <v>0</v>
      </c>
      <c r="R144" s="200" t="str">
        <f t="shared" si="8"/>
        <v/>
      </c>
      <c r="S144" s="200">
        <f t="shared" si="9"/>
        <v>0</v>
      </c>
      <c r="T144" s="203"/>
      <c r="U144" s="199">
        <f t="shared" ref="U144:V144" si="130">C144/100</f>
        <v>0</v>
      </c>
      <c r="V144" s="199">
        <f t="shared" si="130"/>
        <v>0</v>
      </c>
      <c r="W144" s="199">
        <f t="shared" si="12"/>
        <v>0</v>
      </c>
      <c r="X144" s="202">
        <f t="shared" si="13"/>
        <v>0</v>
      </c>
      <c r="Y144" s="139"/>
      <c r="Z144" s="139"/>
      <c r="AA144" s="139"/>
      <c r="AB144" s="139"/>
      <c r="AC144" s="139"/>
      <c r="AD144" s="139"/>
      <c r="AE144" s="139"/>
      <c r="AF144" s="139"/>
      <c r="AG144" s="139"/>
      <c r="AH144" s="139"/>
      <c r="AI144" s="139"/>
    </row>
    <row r="145" ht="27.0" hidden="1" customHeight="1">
      <c r="A145" s="162">
        <v>114.0</v>
      </c>
      <c r="B145" s="193"/>
      <c r="C145" s="193"/>
      <c r="D145" s="193"/>
      <c r="E145" s="193"/>
      <c r="F145" s="194" t="str">
        <f t="shared" si="5"/>
        <v/>
      </c>
      <c r="G145" s="193"/>
      <c r="H145" s="195">
        <f t="shared" si="6"/>
        <v>0</v>
      </c>
      <c r="I145" s="139"/>
      <c r="J145" s="197"/>
      <c r="K145" s="198"/>
      <c r="L145" s="198"/>
      <c r="M145" s="139"/>
      <c r="N145" s="139"/>
      <c r="O145" s="195"/>
      <c r="P145" s="141"/>
      <c r="Q145" s="199">
        <f t="shared" si="7"/>
        <v>0</v>
      </c>
      <c r="R145" s="200" t="str">
        <f t="shared" si="8"/>
        <v/>
      </c>
      <c r="S145" s="200">
        <f t="shared" si="9"/>
        <v>0</v>
      </c>
      <c r="T145" s="203"/>
      <c r="U145" s="199">
        <f t="shared" ref="U145:V145" si="131">C145/100</f>
        <v>0</v>
      </c>
      <c r="V145" s="199">
        <f t="shared" si="131"/>
        <v>0</v>
      </c>
      <c r="W145" s="199">
        <f t="shared" si="12"/>
        <v>0</v>
      </c>
      <c r="X145" s="202">
        <f t="shared" si="13"/>
        <v>0</v>
      </c>
      <c r="Y145" s="139"/>
      <c r="Z145" s="139"/>
      <c r="AA145" s="139"/>
      <c r="AB145" s="139"/>
      <c r="AC145" s="139"/>
      <c r="AD145" s="139"/>
      <c r="AE145" s="139"/>
      <c r="AF145" s="139"/>
      <c r="AG145" s="139"/>
      <c r="AH145" s="139"/>
      <c r="AI145" s="139"/>
    </row>
    <row r="146" ht="27.0" hidden="1" customHeight="1">
      <c r="A146" s="162">
        <v>115.0</v>
      </c>
      <c r="B146" s="193"/>
      <c r="C146" s="193"/>
      <c r="D146" s="193"/>
      <c r="E146" s="193"/>
      <c r="F146" s="194" t="str">
        <f t="shared" si="5"/>
        <v/>
      </c>
      <c r="G146" s="193"/>
      <c r="H146" s="195">
        <f t="shared" si="6"/>
        <v>0</v>
      </c>
      <c r="I146" s="139"/>
      <c r="J146" s="197"/>
      <c r="K146" s="198"/>
      <c r="L146" s="198"/>
      <c r="M146" s="139"/>
      <c r="N146" s="139"/>
      <c r="O146" s="195"/>
      <c r="P146" s="141"/>
      <c r="Q146" s="199">
        <f t="shared" si="7"/>
        <v>0</v>
      </c>
      <c r="R146" s="200" t="str">
        <f t="shared" si="8"/>
        <v/>
      </c>
      <c r="S146" s="200">
        <f t="shared" si="9"/>
        <v>0</v>
      </c>
      <c r="T146" s="203"/>
      <c r="U146" s="199">
        <f t="shared" ref="U146:V146" si="132">C146/100</f>
        <v>0</v>
      </c>
      <c r="V146" s="199">
        <f t="shared" si="132"/>
        <v>0</v>
      </c>
      <c r="W146" s="199">
        <f t="shared" si="12"/>
        <v>0</v>
      </c>
      <c r="X146" s="202">
        <f t="shared" si="13"/>
        <v>0</v>
      </c>
      <c r="Y146" s="139"/>
      <c r="Z146" s="139"/>
      <c r="AA146" s="139"/>
      <c r="AB146" s="139"/>
      <c r="AC146" s="139"/>
      <c r="AD146" s="139"/>
      <c r="AE146" s="139"/>
      <c r="AF146" s="139"/>
      <c r="AG146" s="139"/>
      <c r="AH146" s="139"/>
      <c r="AI146" s="139"/>
    </row>
    <row r="147" ht="27.0" hidden="1" customHeight="1">
      <c r="A147" s="162">
        <v>116.0</v>
      </c>
      <c r="B147" s="193"/>
      <c r="C147" s="193"/>
      <c r="D147" s="193"/>
      <c r="E147" s="193"/>
      <c r="F147" s="194" t="str">
        <f t="shared" si="5"/>
        <v/>
      </c>
      <c r="G147" s="193"/>
      <c r="H147" s="195">
        <f t="shared" si="6"/>
        <v>0</v>
      </c>
      <c r="I147" s="139"/>
      <c r="J147" s="197"/>
      <c r="K147" s="198"/>
      <c r="L147" s="198"/>
      <c r="M147" s="139"/>
      <c r="N147" s="139"/>
      <c r="O147" s="195"/>
      <c r="P147" s="141"/>
      <c r="Q147" s="199">
        <f t="shared" si="7"/>
        <v>0</v>
      </c>
      <c r="R147" s="200" t="str">
        <f t="shared" si="8"/>
        <v/>
      </c>
      <c r="S147" s="200">
        <f t="shared" si="9"/>
        <v>0</v>
      </c>
      <c r="T147" s="203"/>
      <c r="U147" s="199">
        <f t="shared" ref="U147:V147" si="133">C147/100</f>
        <v>0</v>
      </c>
      <c r="V147" s="199">
        <f t="shared" si="133"/>
        <v>0</v>
      </c>
      <c r="W147" s="199">
        <f t="shared" si="12"/>
        <v>0</v>
      </c>
      <c r="X147" s="202">
        <f t="shared" si="13"/>
        <v>0</v>
      </c>
      <c r="Y147" s="139"/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</row>
    <row r="148" ht="27.0" hidden="1" customHeight="1">
      <c r="A148" s="162">
        <v>117.0</v>
      </c>
      <c r="B148" s="193"/>
      <c r="C148" s="193"/>
      <c r="D148" s="193"/>
      <c r="E148" s="193"/>
      <c r="F148" s="194" t="str">
        <f t="shared" si="5"/>
        <v/>
      </c>
      <c r="G148" s="193"/>
      <c r="H148" s="195">
        <f t="shared" si="6"/>
        <v>0</v>
      </c>
      <c r="I148" s="139"/>
      <c r="J148" s="197"/>
      <c r="K148" s="198"/>
      <c r="L148" s="198"/>
      <c r="M148" s="139"/>
      <c r="N148" s="139"/>
      <c r="O148" s="195"/>
      <c r="P148" s="141"/>
      <c r="Q148" s="199">
        <f t="shared" si="7"/>
        <v>0</v>
      </c>
      <c r="R148" s="200" t="str">
        <f t="shared" si="8"/>
        <v/>
      </c>
      <c r="S148" s="200">
        <f t="shared" si="9"/>
        <v>0</v>
      </c>
      <c r="T148" s="203"/>
      <c r="U148" s="199">
        <f t="shared" ref="U148:V148" si="134">C148/100</f>
        <v>0</v>
      </c>
      <c r="V148" s="199">
        <f t="shared" si="134"/>
        <v>0</v>
      </c>
      <c r="W148" s="199">
        <f t="shared" si="12"/>
        <v>0</v>
      </c>
      <c r="X148" s="202">
        <f t="shared" si="13"/>
        <v>0</v>
      </c>
      <c r="Y148" s="139"/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</row>
    <row r="149" ht="27.0" hidden="1" customHeight="1">
      <c r="A149" s="162">
        <v>118.0</v>
      </c>
      <c r="B149" s="193"/>
      <c r="C149" s="193"/>
      <c r="D149" s="193"/>
      <c r="E149" s="193"/>
      <c r="F149" s="194" t="str">
        <f t="shared" si="5"/>
        <v/>
      </c>
      <c r="G149" s="193"/>
      <c r="H149" s="195">
        <f t="shared" si="6"/>
        <v>0</v>
      </c>
      <c r="I149" s="139"/>
      <c r="J149" s="197"/>
      <c r="K149" s="198"/>
      <c r="L149" s="198"/>
      <c r="M149" s="139"/>
      <c r="N149" s="139"/>
      <c r="O149" s="195"/>
      <c r="P149" s="141"/>
      <c r="Q149" s="199">
        <f t="shared" si="7"/>
        <v>0</v>
      </c>
      <c r="R149" s="200" t="str">
        <f t="shared" si="8"/>
        <v/>
      </c>
      <c r="S149" s="200">
        <f t="shared" si="9"/>
        <v>0</v>
      </c>
      <c r="T149" s="203"/>
      <c r="U149" s="199">
        <f t="shared" ref="U149:V149" si="135">C149/100</f>
        <v>0</v>
      </c>
      <c r="V149" s="199">
        <f t="shared" si="135"/>
        <v>0</v>
      </c>
      <c r="W149" s="199">
        <f t="shared" si="12"/>
        <v>0</v>
      </c>
      <c r="X149" s="202">
        <f t="shared" si="13"/>
        <v>0</v>
      </c>
      <c r="Y149" s="139"/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</row>
    <row r="150" ht="27.0" hidden="1" customHeight="1">
      <c r="A150" s="162">
        <v>119.0</v>
      </c>
      <c r="B150" s="193"/>
      <c r="C150" s="193"/>
      <c r="D150" s="193"/>
      <c r="E150" s="193"/>
      <c r="F150" s="194" t="str">
        <f t="shared" si="5"/>
        <v/>
      </c>
      <c r="G150" s="193"/>
      <c r="H150" s="195">
        <f t="shared" si="6"/>
        <v>0</v>
      </c>
      <c r="I150" s="139"/>
      <c r="J150" s="197"/>
      <c r="K150" s="198"/>
      <c r="L150" s="198"/>
      <c r="M150" s="139"/>
      <c r="N150" s="139"/>
      <c r="O150" s="195"/>
      <c r="P150" s="141"/>
      <c r="Q150" s="199">
        <f t="shared" si="7"/>
        <v>0</v>
      </c>
      <c r="R150" s="200" t="str">
        <f t="shared" si="8"/>
        <v/>
      </c>
      <c r="S150" s="200">
        <f t="shared" si="9"/>
        <v>0</v>
      </c>
      <c r="T150" s="203"/>
      <c r="U150" s="199">
        <f t="shared" ref="U150:V150" si="136">C150/100</f>
        <v>0</v>
      </c>
      <c r="V150" s="199">
        <f t="shared" si="136"/>
        <v>0</v>
      </c>
      <c r="W150" s="199">
        <f t="shared" si="12"/>
        <v>0</v>
      </c>
      <c r="X150" s="202">
        <f t="shared" si="13"/>
        <v>0</v>
      </c>
      <c r="Y150" s="139"/>
      <c r="Z150" s="139"/>
      <c r="AA150" s="139"/>
      <c r="AB150" s="139"/>
      <c r="AC150" s="139"/>
      <c r="AD150" s="139"/>
      <c r="AE150" s="139"/>
      <c r="AF150" s="139"/>
      <c r="AG150" s="139"/>
      <c r="AH150" s="139"/>
      <c r="AI150" s="139"/>
    </row>
    <row r="151" ht="27.0" hidden="1" customHeight="1">
      <c r="A151" s="162">
        <v>120.0</v>
      </c>
      <c r="B151" s="193"/>
      <c r="C151" s="193"/>
      <c r="D151" s="193"/>
      <c r="E151" s="193"/>
      <c r="F151" s="194" t="str">
        <f t="shared" si="5"/>
        <v/>
      </c>
      <c r="G151" s="193"/>
      <c r="H151" s="195">
        <f t="shared" si="6"/>
        <v>0</v>
      </c>
      <c r="I151" s="139"/>
      <c r="J151" s="197"/>
      <c r="K151" s="198"/>
      <c r="L151" s="198"/>
      <c r="M151" s="139"/>
      <c r="N151" s="139"/>
      <c r="O151" s="195"/>
      <c r="P151" s="141"/>
      <c r="Q151" s="199">
        <f t="shared" si="7"/>
        <v>0</v>
      </c>
      <c r="R151" s="200" t="str">
        <f t="shared" si="8"/>
        <v/>
      </c>
      <c r="S151" s="200">
        <f t="shared" si="9"/>
        <v>0</v>
      </c>
      <c r="T151" s="203"/>
      <c r="U151" s="199">
        <f t="shared" ref="U151:V151" si="137">C151/100</f>
        <v>0</v>
      </c>
      <c r="V151" s="199">
        <f t="shared" si="137"/>
        <v>0</v>
      </c>
      <c r="W151" s="199">
        <f t="shared" si="12"/>
        <v>0</v>
      </c>
      <c r="X151" s="202">
        <f t="shared" si="13"/>
        <v>0</v>
      </c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</row>
    <row r="152" ht="27.0" hidden="1" customHeight="1">
      <c r="A152" s="162">
        <v>121.0</v>
      </c>
      <c r="B152" s="193"/>
      <c r="C152" s="193"/>
      <c r="D152" s="193"/>
      <c r="E152" s="193"/>
      <c r="F152" s="194" t="str">
        <f t="shared" si="5"/>
        <v/>
      </c>
      <c r="G152" s="193"/>
      <c r="H152" s="195">
        <f t="shared" si="6"/>
        <v>0</v>
      </c>
      <c r="I152" s="139"/>
      <c r="J152" s="197"/>
      <c r="K152" s="198"/>
      <c r="L152" s="198"/>
      <c r="M152" s="139"/>
      <c r="N152" s="139"/>
      <c r="O152" s="195"/>
      <c r="P152" s="141"/>
      <c r="Q152" s="199">
        <f t="shared" si="7"/>
        <v>0</v>
      </c>
      <c r="R152" s="200" t="str">
        <f t="shared" si="8"/>
        <v/>
      </c>
      <c r="S152" s="200">
        <f t="shared" si="9"/>
        <v>0</v>
      </c>
      <c r="T152" s="203"/>
      <c r="U152" s="199">
        <f t="shared" ref="U152:V152" si="138">C152/100</f>
        <v>0</v>
      </c>
      <c r="V152" s="199">
        <f t="shared" si="138"/>
        <v>0</v>
      </c>
      <c r="W152" s="199">
        <f t="shared" si="12"/>
        <v>0</v>
      </c>
      <c r="X152" s="202">
        <f t="shared" si="13"/>
        <v>0</v>
      </c>
      <c r="Y152" s="139"/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</row>
    <row r="153" ht="27.0" hidden="1" customHeight="1">
      <c r="A153" s="162">
        <v>122.0</v>
      </c>
      <c r="B153" s="193"/>
      <c r="C153" s="193"/>
      <c r="D153" s="193"/>
      <c r="E153" s="193"/>
      <c r="F153" s="194" t="str">
        <f t="shared" si="5"/>
        <v/>
      </c>
      <c r="G153" s="193"/>
      <c r="H153" s="195">
        <f t="shared" si="6"/>
        <v>0</v>
      </c>
      <c r="I153" s="139"/>
      <c r="J153" s="197"/>
      <c r="K153" s="198"/>
      <c r="L153" s="198"/>
      <c r="M153" s="139"/>
      <c r="N153" s="139"/>
      <c r="O153" s="195"/>
      <c r="P153" s="141"/>
      <c r="Q153" s="199">
        <f t="shared" si="7"/>
        <v>0</v>
      </c>
      <c r="R153" s="200" t="str">
        <f t="shared" si="8"/>
        <v/>
      </c>
      <c r="S153" s="200">
        <f t="shared" si="9"/>
        <v>0</v>
      </c>
      <c r="T153" s="203"/>
      <c r="U153" s="199">
        <f t="shared" ref="U153:V153" si="139">C153/100</f>
        <v>0</v>
      </c>
      <c r="V153" s="199">
        <f t="shared" si="139"/>
        <v>0</v>
      </c>
      <c r="W153" s="199">
        <f t="shared" si="12"/>
        <v>0</v>
      </c>
      <c r="X153" s="202">
        <f t="shared" si="13"/>
        <v>0</v>
      </c>
      <c r="Y153" s="139"/>
      <c r="Z153" s="139"/>
      <c r="AA153" s="139"/>
      <c r="AB153" s="139"/>
      <c r="AC153" s="139"/>
      <c r="AD153" s="139"/>
      <c r="AE153" s="139"/>
      <c r="AF153" s="139"/>
      <c r="AG153" s="139"/>
      <c r="AH153" s="139"/>
      <c r="AI153" s="139"/>
    </row>
    <row r="154" ht="27.0" hidden="1" customHeight="1">
      <c r="A154" s="162">
        <v>123.0</v>
      </c>
      <c r="B154" s="193"/>
      <c r="C154" s="193"/>
      <c r="D154" s="193"/>
      <c r="E154" s="193"/>
      <c r="F154" s="194" t="str">
        <f t="shared" si="5"/>
        <v/>
      </c>
      <c r="G154" s="193"/>
      <c r="H154" s="195">
        <f t="shared" si="6"/>
        <v>0</v>
      </c>
      <c r="I154" s="139"/>
      <c r="J154" s="197"/>
      <c r="K154" s="198"/>
      <c r="L154" s="198"/>
      <c r="M154" s="139"/>
      <c r="N154" s="139"/>
      <c r="O154" s="195"/>
      <c r="P154" s="141"/>
      <c r="Q154" s="199">
        <f t="shared" si="7"/>
        <v>0</v>
      </c>
      <c r="R154" s="200" t="str">
        <f t="shared" si="8"/>
        <v/>
      </c>
      <c r="S154" s="200">
        <f t="shared" si="9"/>
        <v>0</v>
      </c>
      <c r="T154" s="203"/>
      <c r="U154" s="199">
        <f t="shared" ref="U154:V154" si="140">C154/100</f>
        <v>0</v>
      </c>
      <c r="V154" s="199">
        <f t="shared" si="140"/>
        <v>0</v>
      </c>
      <c r="W154" s="199">
        <f t="shared" si="12"/>
        <v>0</v>
      </c>
      <c r="X154" s="202">
        <f t="shared" si="13"/>
        <v>0</v>
      </c>
      <c r="Y154" s="139"/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</row>
    <row r="155" ht="27.0" hidden="1" customHeight="1">
      <c r="A155" s="162">
        <v>124.0</v>
      </c>
      <c r="B155" s="193"/>
      <c r="C155" s="193"/>
      <c r="D155" s="193"/>
      <c r="E155" s="193"/>
      <c r="F155" s="194" t="str">
        <f t="shared" si="5"/>
        <v/>
      </c>
      <c r="G155" s="193"/>
      <c r="H155" s="195">
        <f t="shared" si="6"/>
        <v>0</v>
      </c>
      <c r="I155" s="139"/>
      <c r="J155" s="197"/>
      <c r="K155" s="198"/>
      <c r="L155" s="198"/>
      <c r="M155" s="139"/>
      <c r="N155" s="139"/>
      <c r="O155" s="195"/>
      <c r="P155" s="141"/>
      <c r="Q155" s="199">
        <f t="shared" si="7"/>
        <v>0</v>
      </c>
      <c r="R155" s="200" t="str">
        <f t="shared" si="8"/>
        <v/>
      </c>
      <c r="S155" s="200">
        <f t="shared" si="9"/>
        <v>0</v>
      </c>
      <c r="T155" s="203"/>
      <c r="U155" s="199">
        <f t="shared" ref="U155:V155" si="141">C155/100</f>
        <v>0</v>
      </c>
      <c r="V155" s="199">
        <f t="shared" si="141"/>
        <v>0</v>
      </c>
      <c r="W155" s="199">
        <f t="shared" si="12"/>
        <v>0</v>
      </c>
      <c r="X155" s="202">
        <f t="shared" si="13"/>
        <v>0</v>
      </c>
      <c r="Y155" s="139"/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</row>
    <row r="156" ht="27.0" hidden="1" customHeight="1">
      <c r="A156" s="162">
        <v>125.0</v>
      </c>
      <c r="B156" s="193"/>
      <c r="C156" s="193"/>
      <c r="D156" s="193"/>
      <c r="E156" s="193"/>
      <c r="F156" s="194" t="str">
        <f t="shared" si="5"/>
        <v/>
      </c>
      <c r="G156" s="193"/>
      <c r="H156" s="195">
        <f t="shared" si="6"/>
        <v>0</v>
      </c>
      <c r="I156" s="139"/>
      <c r="J156" s="197"/>
      <c r="K156" s="198"/>
      <c r="L156" s="198"/>
      <c r="M156" s="139"/>
      <c r="N156" s="139"/>
      <c r="O156" s="195"/>
      <c r="P156" s="141"/>
      <c r="Q156" s="199">
        <f t="shared" si="7"/>
        <v>0</v>
      </c>
      <c r="R156" s="200" t="str">
        <f t="shared" si="8"/>
        <v/>
      </c>
      <c r="S156" s="200">
        <f t="shared" si="9"/>
        <v>0</v>
      </c>
      <c r="T156" s="203"/>
      <c r="U156" s="199">
        <f t="shared" ref="U156:V156" si="142">C156/100</f>
        <v>0</v>
      </c>
      <c r="V156" s="199">
        <f t="shared" si="142"/>
        <v>0</v>
      </c>
      <c r="W156" s="199">
        <f t="shared" si="12"/>
        <v>0</v>
      </c>
      <c r="X156" s="202">
        <f t="shared" si="13"/>
        <v>0</v>
      </c>
      <c r="Y156" s="139"/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</row>
    <row r="157" ht="27.0" hidden="1" customHeight="1">
      <c r="A157" s="162">
        <v>126.0</v>
      </c>
      <c r="B157" s="193"/>
      <c r="C157" s="193"/>
      <c r="D157" s="193"/>
      <c r="E157" s="193"/>
      <c r="F157" s="194" t="str">
        <f t="shared" si="5"/>
        <v/>
      </c>
      <c r="G157" s="193"/>
      <c r="H157" s="195">
        <f t="shared" si="6"/>
        <v>0</v>
      </c>
      <c r="I157" s="139"/>
      <c r="J157" s="197"/>
      <c r="K157" s="198"/>
      <c r="L157" s="198"/>
      <c r="M157" s="139"/>
      <c r="N157" s="139"/>
      <c r="O157" s="195"/>
      <c r="P157" s="141"/>
      <c r="Q157" s="199">
        <f t="shared" si="7"/>
        <v>0</v>
      </c>
      <c r="R157" s="200" t="str">
        <f t="shared" si="8"/>
        <v/>
      </c>
      <c r="S157" s="200">
        <f t="shared" si="9"/>
        <v>0</v>
      </c>
      <c r="T157" s="203"/>
      <c r="U157" s="199">
        <f t="shared" ref="U157:V157" si="143">C157/100</f>
        <v>0</v>
      </c>
      <c r="V157" s="199">
        <f t="shared" si="143"/>
        <v>0</v>
      </c>
      <c r="W157" s="199">
        <f t="shared" si="12"/>
        <v>0</v>
      </c>
      <c r="X157" s="202">
        <f t="shared" si="13"/>
        <v>0</v>
      </c>
      <c r="Y157" s="139"/>
      <c r="Z157" s="139"/>
      <c r="AA157" s="139"/>
      <c r="AB157" s="139"/>
      <c r="AC157" s="139"/>
      <c r="AD157" s="139"/>
      <c r="AE157" s="139"/>
      <c r="AF157" s="139"/>
      <c r="AG157" s="139"/>
      <c r="AH157" s="139"/>
      <c r="AI157" s="139"/>
    </row>
    <row r="158" ht="27.0" hidden="1" customHeight="1">
      <c r="A158" s="162">
        <v>127.0</v>
      </c>
      <c r="B158" s="193"/>
      <c r="C158" s="193"/>
      <c r="D158" s="193"/>
      <c r="E158" s="193"/>
      <c r="F158" s="194" t="str">
        <f t="shared" si="5"/>
        <v/>
      </c>
      <c r="G158" s="193"/>
      <c r="H158" s="195">
        <f t="shared" si="6"/>
        <v>0</v>
      </c>
      <c r="I158" s="139"/>
      <c r="J158" s="197"/>
      <c r="K158" s="198"/>
      <c r="L158" s="198"/>
      <c r="M158" s="139"/>
      <c r="N158" s="139"/>
      <c r="O158" s="195"/>
      <c r="P158" s="141"/>
      <c r="Q158" s="199">
        <f t="shared" si="7"/>
        <v>0</v>
      </c>
      <c r="R158" s="200" t="str">
        <f t="shared" si="8"/>
        <v/>
      </c>
      <c r="S158" s="200">
        <f t="shared" si="9"/>
        <v>0</v>
      </c>
      <c r="T158" s="203"/>
      <c r="U158" s="199">
        <f t="shared" ref="U158:V158" si="144">C158/100</f>
        <v>0</v>
      </c>
      <c r="V158" s="199">
        <f t="shared" si="144"/>
        <v>0</v>
      </c>
      <c r="W158" s="199">
        <f t="shared" si="12"/>
        <v>0</v>
      </c>
      <c r="X158" s="202">
        <f t="shared" si="13"/>
        <v>0</v>
      </c>
      <c r="Y158" s="139"/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</row>
    <row r="159" ht="27.0" hidden="1" customHeight="1">
      <c r="A159" s="162">
        <v>128.0</v>
      </c>
      <c r="B159" s="193"/>
      <c r="C159" s="193"/>
      <c r="D159" s="193"/>
      <c r="E159" s="193"/>
      <c r="F159" s="194" t="str">
        <f t="shared" si="5"/>
        <v/>
      </c>
      <c r="G159" s="193"/>
      <c r="H159" s="195">
        <f t="shared" si="6"/>
        <v>0</v>
      </c>
      <c r="I159" s="139"/>
      <c r="J159" s="197"/>
      <c r="K159" s="198"/>
      <c r="L159" s="198"/>
      <c r="M159" s="139"/>
      <c r="N159" s="139"/>
      <c r="O159" s="195"/>
      <c r="P159" s="141"/>
      <c r="Q159" s="199">
        <f t="shared" si="7"/>
        <v>0</v>
      </c>
      <c r="R159" s="200" t="str">
        <f t="shared" si="8"/>
        <v/>
      </c>
      <c r="S159" s="200">
        <f t="shared" si="9"/>
        <v>0</v>
      </c>
      <c r="T159" s="203"/>
      <c r="U159" s="199">
        <f t="shared" ref="U159:V159" si="145">C159/100</f>
        <v>0</v>
      </c>
      <c r="V159" s="199">
        <f t="shared" si="145"/>
        <v>0</v>
      </c>
      <c r="W159" s="199">
        <f t="shared" si="12"/>
        <v>0</v>
      </c>
      <c r="X159" s="202">
        <f t="shared" si="13"/>
        <v>0</v>
      </c>
      <c r="Y159" s="139"/>
      <c r="Z159" s="139"/>
      <c r="AA159" s="139"/>
      <c r="AB159" s="139"/>
      <c r="AC159" s="139"/>
      <c r="AD159" s="139"/>
      <c r="AE159" s="139"/>
      <c r="AF159" s="139"/>
      <c r="AG159" s="139"/>
      <c r="AH159" s="139"/>
      <c r="AI159" s="139"/>
    </row>
    <row r="160" ht="27.0" hidden="1" customHeight="1">
      <c r="A160" s="162">
        <v>129.0</v>
      </c>
      <c r="B160" s="193"/>
      <c r="C160" s="193"/>
      <c r="D160" s="193"/>
      <c r="E160" s="193"/>
      <c r="F160" s="194" t="str">
        <f t="shared" si="5"/>
        <v/>
      </c>
      <c r="G160" s="193"/>
      <c r="H160" s="195">
        <f t="shared" si="6"/>
        <v>0</v>
      </c>
      <c r="I160" s="139"/>
      <c r="J160" s="197"/>
      <c r="K160" s="198"/>
      <c r="L160" s="198"/>
      <c r="M160" s="139"/>
      <c r="N160" s="139"/>
      <c r="O160" s="195"/>
      <c r="P160" s="141"/>
      <c r="Q160" s="199">
        <f t="shared" si="7"/>
        <v>0</v>
      </c>
      <c r="R160" s="200" t="str">
        <f t="shared" si="8"/>
        <v/>
      </c>
      <c r="S160" s="200">
        <f t="shared" si="9"/>
        <v>0</v>
      </c>
      <c r="T160" s="203"/>
      <c r="U160" s="199">
        <f t="shared" ref="U160:V160" si="146">C160/100</f>
        <v>0</v>
      </c>
      <c r="V160" s="199">
        <f t="shared" si="146"/>
        <v>0</v>
      </c>
      <c r="W160" s="199">
        <f t="shared" si="12"/>
        <v>0</v>
      </c>
      <c r="X160" s="202">
        <f t="shared" si="13"/>
        <v>0</v>
      </c>
      <c r="Y160" s="139"/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</row>
    <row r="161" ht="27.0" hidden="1" customHeight="1">
      <c r="A161" s="162">
        <v>130.0</v>
      </c>
      <c r="B161" s="193"/>
      <c r="C161" s="193"/>
      <c r="D161" s="193"/>
      <c r="E161" s="193"/>
      <c r="F161" s="194" t="str">
        <f t="shared" si="5"/>
        <v/>
      </c>
      <c r="G161" s="193"/>
      <c r="H161" s="195">
        <f t="shared" si="6"/>
        <v>0</v>
      </c>
      <c r="I161" s="139"/>
      <c r="J161" s="197"/>
      <c r="K161" s="198"/>
      <c r="L161" s="198"/>
      <c r="M161" s="139"/>
      <c r="N161" s="139"/>
      <c r="O161" s="195"/>
      <c r="P161" s="141"/>
      <c r="Q161" s="199">
        <f t="shared" si="7"/>
        <v>0</v>
      </c>
      <c r="R161" s="200" t="str">
        <f t="shared" si="8"/>
        <v/>
      </c>
      <c r="S161" s="200">
        <f t="shared" si="9"/>
        <v>0</v>
      </c>
      <c r="T161" s="203"/>
      <c r="U161" s="199">
        <f t="shared" ref="U161:V161" si="147">C161/100</f>
        <v>0</v>
      </c>
      <c r="V161" s="199">
        <f t="shared" si="147"/>
        <v>0</v>
      </c>
      <c r="W161" s="199">
        <f t="shared" si="12"/>
        <v>0</v>
      </c>
      <c r="X161" s="202">
        <f t="shared" si="13"/>
        <v>0</v>
      </c>
      <c r="Y161" s="139"/>
      <c r="Z161" s="139"/>
      <c r="AA161" s="139"/>
      <c r="AB161" s="139"/>
      <c r="AC161" s="139"/>
      <c r="AD161" s="139"/>
      <c r="AE161" s="139"/>
      <c r="AF161" s="139"/>
      <c r="AG161" s="139"/>
      <c r="AH161" s="139"/>
      <c r="AI161" s="139"/>
    </row>
    <row r="162" ht="27.0" hidden="1" customHeight="1">
      <c r="A162" s="162">
        <v>131.0</v>
      </c>
      <c r="B162" s="193"/>
      <c r="C162" s="193"/>
      <c r="D162" s="193"/>
      <c r="E162" s="193"/>
      <c r="F162" s="194" t="str">
        <f t="shared" si="5"/>
        <v/>
      </c>
      <c r="G162" s="193"/>
      <c r="H162" s="195">
        <f t="shared" si="6"/>
        <v>0</v>
      </c>
      <c r="I162" s="139"/>
      <c r="J162" s="197"/>
      <c r="K162" s="198"/>
      <c r="L162" s="198"/>
      <c r="M162" s="139"/>
      <c r="N162" s="139"/>
      <c r="O162" s="195"/>
      <c r="P162" s="141"/>
      <c r="Q162" s="199">
        <f t="shared" si="7"/>
        <v>0</v>
      </c>
      <c r="R162" s="200" t="str">
        <f t="shared" si="8"/>
        <v/>
      </c>
      <c r="S162" s="200">
        <f t="shared" si="9"/>
        <v>0</v>
      </c>
      <c r="T162" s="203"/>
      <c r="U162" s="199">
        <f t="shared" ref="U162:V162" si="148">C162/100</f>
        <v>0</v>
      </c>
      <c r="V162" s="199">
        <f t="shared" si="148"/>
        <v>0</v>
      </c>
      <c r="W162" s="199">
        <f t="shared" si="12"/>
        <v>0</v>
      </c>
      <c r="X162" s="202">
        <f t="shared" si="13"/>
        <v>0</v>
      </c>
      <c r="Y162" s="139"/>
      <c r="Z162" s="139"/>
      <c r="AA162" s="139"/>
      <c r="AB162" s="139"/>
      <c r="AC162" s="139"/>
      <c r="AD162" s="139"/>
      <c r="AE162" s="139"/>
      <c r="AF162" s="139"/>
      <c r="AG162" s="139"/>
      <c r="AH162" s="139"/>
      <c r="AI162" s="139"/>
    </row>
    <row r="163" ht="27.0" hidden="1" customHeight="1">
      <c r="A163" s="162">
        <v>132.0</v>
      </c>
      <c r="B163" s="193"/>
      <c r="C163" s="193"/>
      <c r="D163" s="193"/>
      <c r="E163" s="193"/>
      <c r="F163" s="194" t="str">
        <f t="shared" si="5"/>
        <v/>
      </c>
      <c r="G163" s="193"/>
      <c r="H163" s="195">
        <f t="shared" si="6"/>
        <v>0</v>
      </c>
      <c r="I163" s="139"/>
      <c r="J163" s="197"/>
      <c r="K163" s="198"/>
      <c r="L163" s="198"/>
      <c r="M163" s="139"/>
      <c r="N163" s="139"/>
      <c r="O163" s="195"/>
      <c r="P163" s="141"/>
      <c r="Q163" s="199">
        <f t="shared" si="7"/>
        <v>0</v>
      </c>
      <c r="R163" s="200" t="str">
        <f t="shared" si="8"/>
        <v/>
      </c>
      <c r="S163" s="200">
        <f t="shared" si="9"/>
        <v>0</v>
      </c>
      <c r="T163" s="203"/>
      <c r="U163" s="199">
        <f t="shared" ref="U163:V163" si="149">C163/100</f>
        <v>0</v>
      </c>
      <c r="V163" s="199">
        <f t="shared" si="149"/>
        <v>0</v>
      </c>
      <c r="W163" s="199">
        <f t="shared" si="12"/>
        <v>0</v>
      </c>
      <c r="X163" s="202">
        <f t="shared" si="13"/>
        <v>0</v>
      </c>
      <c r="Y163" s="139"/>
      <c r="Z163" s="139"/>
      <c r="AA163" s="139"/>
      <c r="AB163" s="139"/>
      <c r="AC163" s="139"/>
      <c r="AD163" s="139"/>
      <c r="AE163" s="139"/>
      <c r="AF163" s="139"/>
      <c r="AG163" s="139"/>
      <c r="AH163" s="139"/>
      <c r="AI163" s="139"/>
    </row>
    <row r="164" ht="27.0" hidden="1" customHeight="1">
      <c r="A164" s="162">
        <v>133.0</v>
      </c>
      <c r="B164" s="193"/>
      <c r="C164" s="193"/>
      <c r="D164" s="193"/>
      <c r="E164" s="193"/>
      <c r="F164" s="194" t="str">
        <f t="shared" si="5"/>
        <v/>
      </c>
      <c r="G164" s="193"/>
      <c r="H164" s="195">
        <f t="shared" si="6"/>
        <v>0</v>
      </c>
      <c r="I164" s="139"/>
      <c r="J164" s="197"/>
      <c r="K164" s="198"/>
      <c r="L164" s="198"/>
      <c r="M164" s="139"/>
      <c r="N164" s="139"/>
      <c r="O164" s="195"/>
      <c r="P164" s="141"/>
      <c r="Q164" s="199">
        <f t="shared" si="7"/>
        <v>0</v>
      </c>
      <c r="R164" s="200" t="str">
        <f t="shared" si="8"/>
        <v/>
      </c>
      <c r="S164" s="200">
        <f t="shared" si="9"/>
        <v>0</v>
      </c>
      <c r="T164" s="203"/>
      <c r="U164" s="199">
        <f t="shared" ref="U164:V164" si="150">C164/100</f>
        <v>0</v>
      </c>
      <c r="V164" s="199">
        <f t="shared" si="150"/>
        <v>0</v>
      </c>
      <c r="W164" s="199">
        <f t="shared" si="12"/>
        <v>0</v>
      </c>
      <c r="X164" s="202">
        <f t="shared" si="13"/>
        <v>0</v>
      </c>
      <c r="Y164" s="139"/>
      <c r="Z164" s="139"/>
      <c r="AA164" s="139"/>
      <c r="AB164" s="139"/>
      <c r="AC164" s="139"/>
      <c r="AD164" s="139"/>
      <c r="AE164" s="139"/>
      <c r="AF164" s="139"/>
      <c r="AG164" s="139"/>
      <c r="AH164" s="139"/>
      <c r="AI164" s="139"/>
    </row>
    <row r="165" ht="27.0" hidden="1" customHeight="1">
      <c r="A165" s="162">
        <v>134.0</v>
      </c>
      <c r="B165" s="193"/>
      <c r="C165" s="193"/>
      <c r="D165" s="193"/>
      <c r="E165" s="193"/>
      <c r="F165" s="194" t="str">
        <f t="shared" si="5"/>
        <v/>
      </c>
      <c r="G165" s="193"/>
      <c r="H165" s="195">
        <f t="shared" si="6"/>
        <v>0</v>
      </c>
      <c r="I165" s="139"/>
      <c r="J165" s="197"/>
      <c r="K165" s="198"/>
      <c r="L165" s="198"/>
      <c r="M165" s="139"/>
      <c r="N165" s="139"/>
      <c r="O165" s="195"/>
      <c r="P165" s="141"/>
      <c r="Q165" s="199">
        <f t="shared" si="7"/>
        <v>0</v>
      </c>
      <c r="R165" s="200" t="str">
        <f t="shared" si="8"/>
        <v/>
      </c>
      <c r="S165" s="200">
        <f t="shared" si="9"/>
        <v>0</v>
      </c>
      <c r="T165" s="203"/>
      <c r="U165" s="199">
        <f t="shared" ref="U165:V165" si="151">C165/100</f>
        <v>0</v>
      </c>
      <c r="V165" s="199">
        <f t="shared" si="151"/>
        <v>0</v>
      </c>
      <c r="W165" s="199">
        <f t="shared" si="12"/>
        <v>0</v>
      </c>
      <c r="X165" s="202">
        <f t="shared" si="13"/>
        <v>0</v>
      </c>
      <c r="Y165" s="139"/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</row>
    <row r="166" ht="27.0" hidden="1" customHeight="1">
      <c r="A166" s="162">
        <v>135.0</v>
      </c>
      <c r="B166" s="193"/>
      <c r="C166" s="193"/>
      <c r="D166" s="193"/>
      <c r="E166" s="193"/>
      <c r="F166" s="194" t="str">
        <f t="shared" si="5"/>
        <v/>
      </c>
      <c r="G166" s="193"/>
      <c r="H166" s="195">
        <f t="shared" si="6"/>
        <v>0</v>
      </c>
      <c r="I166" s="139"/>
      <c r="J166" s="197"/>
      <c r="K166" s="198"/>
      <c r="L166" s="198"/>
      <c r="M166" s="139"/>
      <c r="N166" s="139"/>
      <c r="O166" s="195"/>
      <c r="P166" s="141"/>
      <c r="Q166" s="199">
        <f t="shared" si="7"/>
        <v>0</v>
      </c>
      <c r="R166" s="200" t="str">
        <f t="shared" si="8"/>
        <v/>
      </c>
      <c r="S166" s="200">
        <f t="shared" si="9"/>
        <v>0</v>
      </c>
      <c r="T166" s="203"/>
      <c r="U166" s="199">
        <f t="shared" ref="U166:V166" si="152">C166/100</f>
        <v>0</v>
      </c>
      <c r="V166" s="199">
        <f t="shared" si="152"/>
        <v>0</v>
      </c>
      <c r="W166" s="199">
        <f t="shared" si="12"/>
        <v>0</v>
      </c>
      <c r="X166" s="202">
        <f t="shared" si="13"/>
        <v>0</v>
      </c>
      <c r="Y166" s="139"/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</row>
    <row r="167" ht="27.0" hidden="1" customHeight="1">
      <c r="A167" s="162">
        <v>136.0</v>
      </c>
      <c r="B167" s="193"/>
      <c r="C167" s="193"/>
      <c r="D167" s="193"/>
      <c r="E167" s="193"/>
      <c r="F167" s="194" t="str">
        <f t="shared" si="5"/>
        <v/>
      </c>
      <c r="G167" s="193"/>
      <c r="H167" s="195">
        <f t="shared" si="6"/>
        <v>0</v>
      </c>
      <c r="I167" s="139"/>
      <c r="J167" s="197"/>
      <c r="K167" s="198"/>
      <c r="L167" s="198"/>
      <c r="M167" s="139"/>
      <c r="N167" s="139"/>
      <c r="O167" s="195"/>
      <c r="P167" s="141"/>
      <c r="Q167" s="199">
        <f t="shared" si="7"/>
        <v>0</v>
      </c>
      <c r="R167" s="200" t="str">
        <f t="shared" si="8"/>
        <v/>
      </c>
      <c r="S167" s="200">
        <f t="shared" si="9"/>
        <v>0</v>
      </c>
      <c r="T167" s="203"/>
      <c r="U167" s="199">
        <f t="shared" ref="U167:V167" si="153">C167/100</f>
        <v>0</v>
      </c>
      <c r="V167" s="199">
        <f t="shared" si="153"/>
        <v>0</v>
      </c>
      <c r="W167" s="199">
        <f t="shared" si="12"/>
        <v>0</v>
      </c>
      <c r="X167" s="202">
        <f t="shared" si="13"/>
        <v>0</v>
      </c>
      <c r="Y167" s="139"/>
      <c r="Z167" s="139"/>
      <c r="AA167" s="139"/>
      <c r="AB167" s="139"/>
      <c r="AC167" s="139"/>
      <c r="AD167" s="139"/>
      <c r="AE167" s="139"/>
      <c r="AF167" s="139"/>
      <c r="AG167" s="139"/>
      <c r="AH167" s="139"/>
      <c r="AI167" s="139"/>
    </row>
    <row r="168" ht="27.0" hidden="1" customHeight="1">
      <c r="A168" s="162">
        <v>137.0</v>
      </c>
      <c r="B168" s="193"/>
      <c r="C168" s="193"/>
      <c r="D168" s="193"/>
      <c r="E168" s="193"/>
      <c r="F168" s="194" t="str">
        <f t="shared" si="5"/>
        <v/>
      </c>
      <c r="G168" s="193"/>
      <c r="H168" s="195">
        <f t="shared" si="6"/>
        <v>0</v>
      </c>
      <c r="I168" s="139"/>
      <c r="J168" s="197"/>
      <c r="K168" s="198"/>
      <c r="L168" s="198"/>
      <c r="M168" s="139"/>
      <c r="N168" s="139"/>
      <c r="O168" s="195"/>
      <c r="P168" s="141"/>
      <c r="Q168" s="199">
        <f t="shared" si="7"/>
        <v>0</v>
      </c>
      <c r="R168" s="200" t="str">
        <f t="shared" si="8"/>
        <v/>
      </c>
      <c r="S168" s="200">
        <f t="shared" si="9"/>
        <v>0</v>
      </c>
      <c r="T168" s="203"/>
      <c r="U168" s="199">
        <f t="shared" ref="U168:V168" si="154">C168/100</f>
        <v>0</v>
      </c>
      <c r="V168" s="199">
        <f t="shared" si="154"/>
        <v>0</v>
      </c>
      <c r="W168" s="199">
        <f t="shared" si="12"/>
        <v>0</v>
      </c>
      <c r="X168" s="202">
        <f t="shared" si="13"/>
        <v>0</v>
      </c>
      <c r="Y168" s="139"/>
      <c r="Z168" s="139"/>
      <c r="AA168" s="139"/>
      <c r="AB168" s="139"/>
      <c r="AC168" s="139"/>
      <c r="AD168" s="139"/>
      <c r="AE168" s="139"/>
      <c r="AF168" s="139"/>
      <c r="AG168" s="139"/>
      <c r="AH168" s="139"/>
      <c r="AI168" s="139"/>
    </row>
    <row r="169" ht="27.0" hidden="1" customHeight="1">
      <c r="A169" s="162">
        <v>138.0</v>
      </c>
      <c r="B169" s="193"/>
      <c r="C169" s="193"/>
      <c r="D169" s="193"/>
      <c r="E169" s="193"/>
      <c r="F169" s="194" t="str">
        <f t="shared" si="5"/>
        <v/>
      </c>
      <c r="G169" s="193"/>
      <c r="H169" s="195">
        <f t="shared" si="6"/>
        <v>0</v>
      </c>
      <c r="I169" s="139"/>
      <c r="J169" s="197"/>
      <c r="K169" s="198"/>
      <c r="L169" s="198"/>
      <c r="M169" s="139"/>
      <c r="N169" s="139"/>
      <c r="O169" s="195"/>
      <c r="P169" s="141"/>
      <c r="Q169" s="199">
        <f t="shared" si="7"/>
        <v>0</v>
      </c>
      <c r="R169" s="200" t="str">
        <f t="shared" si="8"/>
        <v/>
      </c>
      <c r="S169" s="200">
        <f t="shared" si="9"/>
        <v>0</v>
      </c>
      <c r="T169" s="203"/>
      <c r="U169" s="199">
        <f t="shared" ref="U169:V169" si="155">C169/100</f>
        <v>0</v>
      </c>
      <c r="V169" s="199">
        <f t="shared" si="155"/>
        <v>0</v>
      </c>
      <c r="W169" s="199">
        <f t="shared" si="12"/>
        <v>0</v>
      </c>
      <c r="X169" s="202">
        <f t="shared" si="13"/>
        <v>0</v>
      </c>
      <c r="Y169" s="139"/>
      <c r="Z169" s="139"/>
      <c r="AA169" s="139"/>
      <c r="AB169" s="139"/>
      <c r="AC169" s="139"/>
      <c r="AD169" s="139"/>
      <c r="AE169" s="139"/>
      <c r="AF169" s="139"/>
      <c r="AG169" s="139"/>
      <c r="AH169" s="139"/>
      <c r="AI169" s="139"/>
    </row>
    <row r="170" ht="27.0" hidden="1" customHeight="1">
      <c r="A170" s="162">
        <v>139.0</v>
      </c>
      <c r="B170" s="193"/>
      <c r="C170" s="193"/>
      <c r="D170" s="193"/>
      <c r="E170" s="193"/>
      <c r="F170" s="194" t="str">
        <f t="shared" si="5"/>
        <v/>
      </c>
      <c r="G170" s="193"/>
      <c r="H170" s="195">
        <f t="shared" si="6"/>
        <v>0</v>
      </c>
      <c r="I170" s="139"/>
      <c r="J170" s="197"/>
      <c r="K170" s="198"/>
      <c r="L170" s="198"/>
      <c r="M170" s="139"/>
      <c r="N170" s="139"/>
      <c r="O170" s="195"/>
      <c r="P170" s="141"/>
      <c r="Q170" s="199">
        <f t="shared" si="7"/>
        <v>0</v>
      </c>
      <c r="R170" s="200" t="str">
        <f t="shared" si="8"/>
        <v/>
      </c>
      <c r="S170" s="200">
        <f t="shared" si="9"/>
        <v>0</v>
      </c>
      <c r="T170" s="203"/>
      <c r="U170" s="199">
        <f t="shared" ref="U170:V170" si="156">C170/100</f>
        <v>0</v>
      </c>
      <c r="V170" s="199">
        <f t="shared" si="156"/>
        <v>0</v>
      </c>
      <c r="W170" s="199">
        <f t="shared" si="12"/>
        <v>0</v>
      </c>
      <c r="X170" s="202">
        <f t="shared" si="13"/>
        <v>0</v>
      </c>
      <c r="Y170" s="139"/>
      <c r="Z170" s="139"/>
      <c r="AA170" s="139"/>
      <c r="AB170" s="139"/>
      <c r="AC170" s="139"/>
      <c r="AD170" s="139"/>
      <c r="AE170" s="139"/>
      <c r="AF170" s="139"/>
      <c r="AG170" s="139"/>
      <c r="AH170" s="139"/>
      <c r="AI170" s="139"/>
    </row>
    <row r="171" ht="27.0" hidden="1" customHeight="1">
      <c r="A171" s="162">
        <v>140.0</v>
      </c>
      <c r="B171" s="193"/>
      <c r="C171" s="193"/>
      <c r="D171" s="193"/>
      <c r="E171" s="193"/>
      <c r="F171" s="194" t="str">
        <f t="shared" si="5"/>
        <v/>
      </c>
      <c r="G171" s="193"/>
      <c r="H171" s="195">
        <f t="shared" si="6"/>
        <v>0</v>
      </c>
      <c r="I171" s="139"/>
      <c r="J171" s="197"/>
      <c r="K171" s="198"/>
      <c r="L171" s="198"/>
      <c r="M171" s="139"/>
      <c r="N171" s="139"/>
      <c r="O171" s="195"/>
      <c r="P171" s="141"/>
      <c r="Q171" s="199">
        <f t="shared" si="7"/>
        <v>0</v>
      </c>
      <c r="R171" s="200" t="str">
        <f t="shared" si="8"/>
        <v/>
      </c>
      <c r="S171" s="200">
        <f t="shared" si="9"/>
        <v>0</v>
      </c>
      <c r="T171" s="203"/>
      <c r="U171" s="199">
        <f t="shared" ref="U171:V171" si="157">C171/100</f>
        <v>0</v>
      </c>
      <c r="V171" s="199">
        <f t="shared" si="157"/>
        <v>0</v>
      </c>
      <c r="W171" s="199">
        <f t="shared" si="12"/>
        <v>0</v>
      </c>
      <c r="X171" s="202">
        <f t="shared" si="13"/>
        <v>0</v>
      </c>
      <c r="Y171" s="139"/>
      <c r="Z171" s="139"/>
      <c r="AA171" s="139"/>
      <c r="AB171" s="139"/>
      <c r="AC171" s="139"/>
      <c r="AD171" s="139"/>
      <c r="AE171" s="139"/>
      <c r="AF171" s="139"/>
      <c r="AG171" s="139"/>
      <c r="AH171" s="139"/>
      <c r="AI171" s="139"/>
    </row>
    <row r="172" ht="27.0" hidden="1" customHeight="1">
      <c r="A172" s="162">
        <v>141.0</v>
      </c>
      <c r="B172" s="193"/>
      <c r="C172" s="193"/>
      <c r="D172" s="193"/>
      <c r="E172" s="193"/>
      <c r="F172" s="194" t="str">
        <f t="shared" si="5"/>
        <v/>
      </c>
      <c r="G172" s="193"/>
      <c r="H172" s="195">
        <f t="shared" si="6"/>
        <v>0</v>
      </c>
      <c r="I172" s="139"/>
      <c r="J172" s="197"/>
      <c r="K172" s="198"/>
      <c r="L172" s="198"/>
      <c r="M172" s="139"/>
      <c r="N172" s="139"/>
      <c r="O172" s="195"/>
      <c r="P172" s="141"/>
      <c r="Q172" s="199">
        <f t="shared" si="7"/>
        <v>0</v>
      </c>
      <c r="R172" s="200" t="str">
        <f t="shared" si="8"/>
        <v/>
      </c>
      <c r="S172" s="200">
        <f t="shared" si="9"/>
        <v>0</v>
      </c>
      <c r="T172" s="203"/>
      <c r="U172" s="199">
        <f t="shared" ref="U172:V172" si="158">C172/100</f>
        <v>0</v>
      </c>
      <c r="V172" s="199">
        <f t="shared" si="158"/>
        <v>0</v>
      </c>
      <c r="W172" s="199">
        <f t="shared" si="12"/>
        <v>0</v>
      </c>
      <c r="X172" s="202">
        <f t="shared" si="13"/>
        <v>0</v>
      </c>
      <c r="Y172" s="139"/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</row>
    <row r="173" ht="27.0" hidden="1" customHeight="1">
      <c r="A173" s="162">
        <v>142.0</v>
      </c>
      <c r="B173" s="193"/>
      <c r="C173" s="193"/>
      <c r="D173" s="193"/>
      <c r="E173" s="193"/>
      <c r="F173" s="194" t="str">
        <f t="shared" si="5"/>
        <v/>
      </c>
      <c r="G173" s="193"/>
      <c r="H173" s="195">
        <f t="shared" si="6"/>
        <v>0</v>
      </c>
      <c r="I173" s="139"/>
      <c r="J173" s="197"/>
      <c r="K173" s="198"/>
      <c r="L173" s="198"/>
      <c r="M173" s="139"/>
      <c r="N173" s="139"/>
      <c r="O173" s="195"/>
      <c r="P173" s="141"/>
      <c r="Q173" s="199">
        <f t="shared" si="7"/>
        <v>0</v>
      </c>
      <c r="R173" s="200" t="str">
        <f t="shared" si="8"/>
        <v/>
      </c>
      <c r="S173" s="200">
        <f t="shared" si="9"/>
        <v>0</v>
      </c>
      <c r="T173" s="203"/>
      <c r="U173" s="199">
        <f t="shared" ref="U173:V173" si="159">C173/100</f>
        <v>0</v>
      </c>
      <c r="V173" s="199">
        <f t="shared" si="159"/>
        <v>0</v>
      </c>
      <c r="W173" s="199">
        <f t="shared" si="12"/>
        <v>0</v>
      </c>
      <c r="X173" s="202">
        <f t="shared" si="13"/>
        <v>0</v>
      </c>
      <c r="Y173" s="139"/>
      <c r="Z173" s="139"/>
      <c r="AA173" s="139"/>
      <c r="AB173" s="139"/>
      <c r="AC173" s="139"/>
      <c r="AD173" s="139"/>
      <c r="AE173" s="139"/>
      <c r="AF173" s="139"/>
      <c r="AG173" s="139"/>
      <c r="AH173" s="139"/>
      <c r="AI173" s="139"/>
    </row>
    <row r="174" ht="27.0" hidden="1" customHeight="1">
      <c r="A174" s="162">
        <v>143.0</v>
      </c>
      <c r="B174" s="193"/>
      <c r="C174" s="193"/>
      <c r="D174" s="193"/>
      <c r="E174" s="193"/>
      <c r="F174" s="194" t="str">
        <f t="shared" si="5"/>
        <v/>
      </c>
      <c r="G174" s="193"/>
      <c r="H174" s="195">
        <f t="shared" si="6"/>
        <v>0</v>
      </c>
      <c r="I174" s="139"/>
      <c r="J174" s="197"/>
      <c r="K174" s="198"/>
      <c r="L174" s="198"/>
      <c r="M174" s="139"/>
      <c r="N174" s="139"/>
      <c r="O174" s="195"/>
      <c r="P174" s="141"/>
      <c r="Q174" s="199">
        <f t="shared" si="7"/>
        <v>0</v>
      </c>
      <c r="R174" s="200" t="str">
        <f t="shared" si="8"/>
        <v/>
      </c>
      <c r="S174" s="200">
        <f t="shared" si="9"/>
        <v>0</v>
      </c>
      <c r="T174" s="203"/>
      <c r="U174" s="199">
        <f t="shared" ref="U174:V174" si="160">C174/100</f>
        <v>0</v>
      </c>
      <c r="V174" s="199">
        <f t="shared" si="160"/>
        <v>0</v>
      </c>
      <c r="W174" s="199">
        <f t="shared" si="12"/>
        <v>0</v>
      </c>
      <c r="X174" s="202">
        <f t="shared" si="13"/>
        <v>0</v>
      </c>
      <c r="Y174" s="139"/>
      <c r="Z174" s="139"/>
      <c r="AA174" s="139"/>
      <c r="AB174" s="139"/>
      <c r="AC174" s="139"/>
      <c r="AD174" s="139"/>
      <c r="AE174" s="139"/>
      <c r="AF174" s="139"/>
      <c r="AG174" s="139"/>
      <c r="AH174" s="139"/>
      <c r="AI174" s="139"/>
    </row>
    <row r="175" ht="27.0" hidden="1" customHeight="1">
      <c r="A175" s="162">
        <v>144.0</v>
      </c>
      <c r="B175" s="193"/>
      <c r="C175" s="193"/>
      <c r="D175" s="193"/>
      <c r="E175" s="193"/>
      <c r="F175" s="194" t="str">
        <f t="shared" si="5"/>
        <v/>
      </c>
      <c r="G175" s="193"/>
      <c r="H175" s="195">
        <f t="shared" si="6"/>
        <v>0</v>
      </c>
      <c r="I175" s="139"/>
      <c r="J175" s="197"/>
      <c r="K175" s="198"/>
      <c r="L175" s="198"/>
      <c r="M175" s="139"/>
      <c r="N175" s="139"/>
      <c r="O175" s="195"/>
      <c r="P175" s="141"/>
      <c r="Q175" s="199">
        <f t="shared" si="7"/>
        <v>0</v>
      </c>
      <c r="R175" s="200" t="str">
        <f t="shared" si="8"/>
        <v/>
      </c>
      <c r="S175" s="200">
        <f t="shared" si="9"/>
        <v>0</v>
      </c>
      <c r="T175" s="203"/>
      <c r="U175" s="199">
        <f t="shared" ref="U175:V175" si="161">C175/100</f>
        <v>0</v>
      </c>
      <c r="V175" s="199">
        <f t="shared" si="161"/>
        <v>0</v>
      </c>
      <c r="W175" s="199">
        <f t="shared" si="12"/>
        <v>0</v>
      </c>
      <c r="X175" s="202">
        <f t="shared" si="13"/>
        <v>0</v>
      </c>
      <c r="Y175" s="139"/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</row>
    <row r="176" ht="27.0" hidden="1" customHeight="1">
      <c r="A176" s="162">
        <v>145.0</v>
      </c>
      <c r="B176" s="193"/>
      <c r="C176" s="193"/>
      <c r="D176" s="193"/>
      <c r="E176" s="193"/>
      <c r="F176" s="194" t="str">
        <f t="shared" si="5"/>
        <v/>
      </c>
      <c r="G176" s="193"/>
      <c r="H176" s="195">
        <f t="shared" si="6"/>
        <v>0</v>
      </c>
      <c r="I176" s="139"/>
      <c r="J176" s="197"/>
      <c r="K176" s="198"/>
      <c r="L176" s="198"/>
      <c r="M176" s="139"/>
      <c r="N176" s="139"/>
      <c r="O176" s="195"/>
      <c r="P176" s="141"/>
      <c r="Q176" s="199">
        <f t="shared" si="7"/>
        <v>0</v>
      </c>
      <c r="R176" s="200" t="str">
        <f t="shared" si="8"/>
        <v/>
      </c>
      <c r="S176" s="200">
        <f t="shared" si="9"/>
        <v>0</v>
      </c>
      <c r="T176" s="203"/>
      <c r="U176" s="199">
        <f t="shared" ref="U176:V176" si="162">C176/100</f>
        <v>0</v>
      </c>
      <c r="V176" s="199">
        <f t="shared" si="162"/>
        <v>0</v>
      </c>
      <c r="W176" s="199">
        <f t="shared" si="12"/>
        <v>0</v>
      </c>
      <c r="X176" s="202">
        <f t="shared" si="13"/>
        <v>0</v>
      </c>
      <c r="Y176" s="139"/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</row>
    <row r="177" ht="27.0" hidden="1" customHeight="1">
      <c r="A177" s="162">
        <v>146.0</v>
      </c>
      <c r="B177" s="193"/>
      <c r="C177" s="193"/>
      <c r="D177" s="193"/>
      <c r="E177" s="193"/>
      <c r="F177" s="194" t="str">
        <f t="shared" si="5"/>
        <v/>
      </c>
      <c r="G177" s="193"/>
      <c r="H177" s="195">
        <f t="shared" si="6"/>
        <v>0</v>
      </c>
      <c r="I177" s="139"/>
      <c r="J177" s="197"/>
      <c r="K177" s="198"/>
      <c r="L177" s="198"/>
      <c r="M177" s="139"/>
      <c r="N177" s="139"/>
      <c r="O177" s="195"/>
      <c r="P177" s="141"/>
      <c r="Q177" s="199">
        <f t="shared" si="7"/>
        <v>0</v>
      </c>
      <c r="R177" s="200" t="str">
        <f t="shared" si="8"/>
        <v/>
      </c>
      <c r="S177" s="200">
        <f t="shared" si="9"/>
        <v>0</v>
      </c>
      <c r="T177" s="203"/>
      <c r="U177" s="199">
        <f t="shared" ref="U177:V177" si="163">C177/100</f>
        <v>0</v>
      </c>
      <c r="V177" s="199">
        <f t="shared" si="163"/>
        <v>0</v>
      </c>
      <c r="W177" s="199">
        <f t="shared" si="12"/>
        <v>0</v>
      </c>
      <c r="X177" s="202">
        <f t="shared" si="13"/>
        <v>0</v>
      </c>
      <c r="Y177" s="139"/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</row>
    <row r="178" ht="27.0" hidden="1" customHeight="1">
      <c r="A178" s="162">
        <v>147.0</v>
      </c>
      <c r="B178" s="193"/>
      <c r="C178" s="193"/>
      <c r="D178" s="193"/>
      <c r="E178" s="193"/>
      <c r="F178" s="194" t="str">
        <f t="shared" si="5"/>
        <v/>
      </c>
      <c r="G178" s="193"/>
      <c r="H178" s="195">
        <f t="shared" si="6"/>
        <v>0</v>
      </c>
      <c r="I178" s="139"/>
      <c r="J178" s="197"/>
      <c r="K178" s="198"/>
      <c r="L178" s="198"/>
      <c r="M178" s="139"/>
      <c r="N178" s="139"/>
      <c r="O178" s="195"/>
      <c r="P178" s="141"/>
      <c r="Q178" s="199">
        <f t="shared" si="7"/>
        <v>0</v>
      </c>
      <c r="R178" s="200" t="str">
        <f t="shared" si="8"/>
        <v/>
      </c>
      <c r="S178" s="200">
        <f t="shared" si="9"/>
        <v>0</v>
      </c>
      <c r="T178" s="203"/>
      <c r="U178" s="199">
        <f t="shared" ref="U178:V178" si="164">C178/100</f>
        <v>0</v>
      </c>
      <c r="V178" s="199">
        <f t="shared" si="164"/>
        <v>0</v>
      </c>
      <c r="W178" s="199">
        <f t="shared" si="12"/>
        <v>0</v>
      </c>
      <c r="X178" s="202">
        <f t="shared" si="13"/>
        <v>0</v>
      </c>
      <c r="Y178" s="139"/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</row>
    <row r="179" ht="27.0" hidden="1" customHeight="1">
      <c r="A179" s="162">
        <v>148.0</v>
      </c>
      <c r="B179" s="193"/>
      <c r="C179" s="193"/>
      <c r="D179" s="193"/>
      <c r="E179" s="193"/>
      <c r="F179" s="194" t="str">
        <f t="shared" si="5"/>
        <v/>
      </c>
      <c r="G179" s="193"/>
      <c r="H179" s="195">
        <f t="shared" si="6"/>
        <v>0</v>
      </c>
      <c r="I179" s="139"/>
      <c r="J179" s="197"/>
      <c r="K179" s="198"/>
      <c r="L179" s="198"/>
      <c r="M179" s="139"/>
      <c r="N179" s="139"/>
      <c r="O179" s="195"/>
      <c r="P179" s="141"/>
      <c r="Q179" s="199">
        <f t="shared" si="7"/>
        <v>0</v>
      </c>
      <c r="R179" s="200" t="str">
        <f t="shared" si="8"/>
        <v/>
      </c>
      <c r="S179" s="200">
        <f t="shared" si="9"/>
        <v>0</v>
      </c>
      <c r="T179" s="203"/>
      <c r="U179" s="199">
        <f t="shared" ref="U179:V179" si="165">C179/100</f>
        <v>0</v>
      </c>
      <c r="V179" s="199">
        <f t="shared" si="165"/>
        <v>0</v>
      </c>
      <c r="W179" s="199">
        <f t="shared" si="12"/>
        <v>0</v>
      </c>
      <c r="X179" s="202">
        <f t="shared" si="13"/>
        <v>0</v>
      </c>
      <c r="Y179" s="139"/>
      <c r="Z179" s="139"/>
      <c r="AA179" s="139"/>
      <c r="AB179" s="139"/>
      <c r="AC179" s="139"/>
      <c r="AD179" s="139"/>
      <c r="AE179" s="139"/>
      <c r="AF179" s="139"/>
      <c r="AG179" s="139"/>
      <c r="AH179" s="139"/>
      <c r="AI179" s="139"/>
    </row>
    <row r="180" ht="27.0" hidden="1" customHeight="1">
      <c r="A180" s="162">
        <v>149.0</v>
      </c>
      <c r="B180" s="193"/>
      <c r="C180" s="193"/>
      <c r="D180" s="193"/>
      <c r="E180" s="193"/>
      <c r="F180" s="194" t="str">
        <f t="shared" si="5"/>
        <v/>
      </c>
      <c r="G180" s="193"/>
      <c r="H180" s="195">
        <f t="shared" si="6"/>
        <v>0</v>
      </c>
      <c r="I180" s="139"/>
      <c r="J180" s="197"/>
      <c r="K180" s="198"/>
      <c r="L180" s="198"/>
      <c r="M180" s="139"/>
      <c r="N180" s="139"/>
      <c r="O180" s="195"/>
      <c r="P180" s="141"/>
      <c r="Q180" s="199">
        <f t="shared" si="7"/>
        <v>0</v>
      </c>
      <c r="R180" s="200" t="str">
        <f t="shared" si="8"/>
        <v/>
      </c>
      <c r="S180" s="200">
        <f t="shared" si="9"/>
        <v>0</v>
      </c>
      <c r="T180" s="203"/>
      <c r="U180" s="199">
        <f t="shared" ref="U180:V180" si="166">C180/100</f>
        <v>0</v>
      </c>
      <c r="V180" s="199">
        <f t="shared" si="166"/>
        <v>0</v>
      </c>
      <c r="W180" s="199">
        <f t="shared" si="12"/>
        <v>0</v>
      </c>
      <c r="X180" s="202">
        <f t="shared" si="13"/>
        <v>0</v>
      </c>
      <c r="Y180" s="139"/>
      <c r="Z180" s="139"/>
      <c r="AA180" s="139"/>
      <c r="AB180" s="139"/>
      <c r="AC180" s="139"/>
      <c r="AD180" s="139"/>
      <c r="AE180" s="139"/>
      <c r="AF180" s="139"/>
      <c r="AG180" s="139"/>
      <c r="AH180" s="139"/>
      <c r="AI180" s="139"/>
    </row>
    <row r="181" ht="27.0" hidden="1" customHeight="1">
      <c r="A181" s="162">
        <v>150.0</v>
      </c>
      <c r="B181" s="193"/>
      <c r="C181" s="193"/>
      <c r="D181" s="193"/>
      <c r="E181" s="193"/>
      <c r="F181" s="194" t="str">
        <f t="shared" si="5"/>
        <v/>
      </c>
      <c r="G181" s="193"/>
      <c r="H181" s="195">
        <f t="shared" si="6"/>
        <v>0</v>
      </c>
      <c r="I181" s="139"/>
      <c r="J181" s="197"/>
      <c r="K181" s="198"/>
      <c r="L181" s="198"/>
      <c r="M181" s="139"/>
      <c r="N181" s="139"/>
      <c r="O181" s="195"/>
      <c r="P181" s="141"/>
      <c r="Q181" s="199">
        <f t="shared" si="7"/>
        <v>0</v>
      </c>
      <c r="R181" s="200" t="str">
        <f t="shared" si="8"/>
        <v/>
      </c>
      <c r="S181" s="200">
        <f t="shared" si="9"/>
        <v>0</v>
      </c>
      <c r="T181" s="203"/>
      <c r="U181" s="199">
        <f t="shared" ref="U181:V181" si="167">C181/100</f>
        <v>0</v>
      </c>
      <c r="V181" s="199">
        <f t="shared" si="167"/>
        <v>0</v>
      </c>
      <c r="W181" s="199">
        <f t="shared" si="12"/>
        <v>0</v>
      </c>
      <c r="X181" s="202">
        <f t="shared" si="13"/>
        <v>0</v>
      </c>
      <c r="Y181" s="139"/>
      <c r="Z181" s="139"/>
      <c r="AA181" s="139"/>
      <c r="AB181" s="139"/>
      <c r="AC181" s="139"/>
      <c r="AD181" s="139"/>
      <c r="AE181" s="139"/>
      <c r="AF181" s="139"/>
      <c r="AG181" s="139"/>
      <c r="AH181" s="139"/>
      <c r="AI181" s="139"/>
    </row>
    <row r="182" ht="27.0" hidden="1" customHeight="1">
      <c r="A182" s="162">
        <v>151.0</v>
      </c>
      <c r="B182" s="193"/>
      <c r="C182" s="193"/>
      <c r="D182" s="193"/>
      <c r="E182" s="193"/>
      <c r="F182" s="194" t="str">
        <f t="shared" si="5"/>
        <v/>
      </c>
      <c r="G182" s="193"/>
      <c r="H182" s="195">
        <f t="shared" si="6"/>
        <v>0</v>
      </c>
      <c r="I182" s="139"/>
      <c r="J182" s="197"/>
      <c r="K182" s="198"/>
      <c r="L182" s="198"/>
      <c r="M182" s="139"/>
      <c r="N182" s="139"/>
      <c r="O182" s="195"/>
      <c r="P182" s="141"/>
      <c r="Q182" s="199">
        <f t="shared" si="7"/>
        <v>0</v>
      </c>
      <c r="R182" s="200" t="str">
        <f t="shared" si="8"/>
        <v/>
      </c>
      <c r="S182" s="200">
        <f t="shared" si="9"/>
        <v>0</v>
      </c>
      <c r="T182" s="203"/>
      <c r="U182" s="199">
        <f t="shared" ref="U182:V182" si="168">C182/100</f>
        <v>0</v>
      </c>
      <c r="V182" s="199">
        <f t="shared" si="168"/>
        <v>0</v>
      </c>
      <c r="W182" s="199">
        <f t="shared" si="12"/>
        <v>0</v>
      </c>
      <c r="X182" s="202">
        <f t="shared" si="13"/>
        <v>0</v>
      </c>
      <c r="Y182" s="139"/>
      <c r="Z182" s="139"/>
      <c r="AA182" s="139"/>
      <c r="AB182" s="139"/>
      <c r="AC182" s="139"/>
      <c r="AD182" s="139"/>
      <c r="AE182" s="139"/>
      <c r="AF182" s="139"/>
      <c r="AG182" s="139"/>
      <c r="AH182" s="139"/>
      <c r="AI182" s="139"/>
    </row>
    <row r="183" ht="27.0" hidden="1" customHeight="1">
      <c r="A183" s="162">
        <v>152.0</v>
      </c>
      <c r="B183" s="193"/>
      <c r="C183" s="193"/>
      <c r="D183" s="193"/>
      <c r="E183" s="193"/>
      <c r="F183" s="194" t="str">
        <f t="shared" si="5"/>
        <v/>
      </c>
      <c r="G183" s="193"/>
      <c r="H183" s="195">
        <f t="shared" si="6"/>
        <v>0</v>
      </c>
      <c r="I183" s="139"/>
      <c r="J183" s="197"/>
      <c r="K183" s="198"/>
      <c r="L183" s="198"/>
      <c r="M183" s="139"/>
      <c r="N183" s="139"/>
      <c r="O183" s="195"/>
      <c r="P183" s="141"/>
      <c r="Q183" s="199">
        <f t="shared" si="7"/>
        <v>0</v>
      </c>
      <c r="R183" s="200" t="str">
        <f t="shared" si="8"/>
        <v/>
      </c>
      <c r="S183" s="200">
        <f t="shared" si="9"/>
        <v>0</v>
      </c>
      <c r="T183" s="203"/>
      <c r="U183" s="199">
        <f t="shared" ref="U183:V183" si="169">C183/100</f>
        <v>0</v>
      </c>
      <c r="V183" s="199">
        <f t="shared" si="169"/>
        <v>0</v>
      </c>
      <c r="W183" s="199">
        <f t="shared" si="12"/>
        <v>0</v>
      </c>
      <c r="X183" s="202">
        <f t="shared" si="13"/>
        <v>0</v>
      </c>
      <c r="Y183" s="139"/>
      <c r="Z183" s="139"/>
      <c r="AA183" s="139"/>
      <c r="AB183" s="139"/>
      <c r="AC183" s="139"/>
      <c r="AD183" s="139"/>
      <c r="AE183" s="139"/>
      <c r="AF183" s="139"/>
      <c r="AG183" s="139"/>
      <c r="AH183" s="139"/>
      <c r="AI183" s="139"/>
    </row>
    <row r="184" ht="27.0" hidden="1" customHeight="1">
      <c r="A184" s="162">
        <v>153.0</v>
      </c>
      <c r="B184" s="193"/>
      <c r="C184" s="193"/>
      <c r="D184" s="193"/>
      <c r="E184" s="193"/>
      <c r="F184" s="194" t="str">
        <f t="shared" si="5"/>
        <v/>
      </c>
      <c r="G184" s="193"/>
      <c r="H184" s="195">
        <f t="shared" si="6"/>
        <v>0</v>
      </c>
      <c r="I184" s="139"/>
      <c r="J184" s="197"/>
      <c r="K184" s="198"/>
      <c r="L184" s="198"/>
      <c r="M184" s="139"/>
      <c r="N184" s="139"/>
      <c r="O184" s="195"/>
      <c r="P184" s="141"/>
      <c r="Q184" s="199">
        <f t="shared" si="7"/>
        <v>0</v>
      </c>
      <c r="R184" s="200" t="str">
        <f t="shared" si="8"/>
        <v/>
      </c>
      <c r="S184" s="200">
        <f t="shared" si="9"/>
        <v>0</v>
      </c>
      <c r="T184" s="203"/>
      <c r="U184" s="199">
        <f t="shared" ref="U184:V184" si="170">C184/100</f>
        <v>0</v>
      </c>
      <c r="V184" s="199">
        <f t="shared" si="170"/>
        <v>0</v>
      </c>
      <c r="W184" s="199">
        <f t="shared" si="12"/>
        <v>0</v>
      </c>
      <c r="X184" s="202">
        <f t="shared" si="13"/>
        <v>0</v>
      </c>
      <c r="Y184" s="139"/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</row>
    <row r="185" ht="27.0" hidden="1" customHeight="1">
      <c r="A185" s="162">
        <v>154.0</v>
      </c>
      <c r="B185" s="193"/>
      <c r="C185" s="193"/>
      <c r="D185" s="193"/>
      <c r="E185" s="193"/>
      <c r="F185" s="194" t="str">
        <f t="shared" si="5"/>
        <v/>
      </c>
      <c r="G185" s="193"/>
      <c r="H185" s="195">
        <f t="shared" si="6"/>
        <v>0</v>
      </c>
      <c r="I185" s="139"/>
      <c r="J185" s="197"/>
      <c r="K185" s="198"/>
      <c r="L185" s="198"/>
      <c r="M185" s="139"/>
      <c r="N185" s="139"/>
      <c r="O185" s="195"/>
      <c r="P185" s="141"/>
      <c r="Q185" s="199">
        <f t="shared" si="7"/>
        <v>0</v>
      </c>
      <c r="R185" s="200" t="str">
        <f t="shared" si="8"/>
        <v/>
      </c>
      <c r="S185" s="200">
        <f t="shared" si="9"/>
        <v>0</v>
      </c>
      <c r="T185" s="203"/>
      <c r="U185" s="199">
        <f t="shared" ref="U185:V185" si="171">C185/100</f>
        <v>0</v>
      </c>
      <c r="V185" s="199">
        <f t="shared" si="171"/>
        <v>0</v>
      </c>
      <c r="W185" s="199">
        <f t="shared" si="12"/>
        <v>0</v>
      </c>
      <c r="X185" s="202">
        <f t="shared" si="13"/>
        <v>0</v>
      </c>
      <c r="Y185" s="139"/>
      <c r="Z185" s="139"/>
      <c r="AA185" s="139"/>
      <c r="AB185" s="139"/>
      <c r="AC185" s="139"/>
      <c r="AD185" s="139"/>
      <c r="AE185" s="139"/>
      <c r="AF185" s="139"/>
      <c r="AG185" s="139"/>
      <c r="AH185" s="139"/>
      <c r="AI185" s="139"/>
    </row>
    <row r="186" ht="27.0" hidden="1" customHeight="1">
      <c r="A186" s="162">
        <v>155.0</v>
      </c>
      <c r="B186" s="193"/>
      <c r="C186" s="193"/>
      <c r="D186" s="193"/>
      <c r="E186" s="193"/>
      <c r="F186" s="194" t="str">
        <f t="shared" si="5"/>
        <v/>
      </c>
      <c r="G186" s="193"/>
      <c r="H186" s="195">
        <f t="shared" si="6"/>
        <v>0</v>
      </c>
      <c r="I186" s="139"/>
      <c r="J186" s="197"/>
      <c r="K186" s="198"/>
      <c r="L186" s="198"/>
      <c r="M186" s="139"/>
      <c r="N186" s="139"/>
      <c r="O186" s="195"/>
      <c r="P186" s="141"/>
      <c r="Q186" s="199">
        <f t="shared" si="7"/>
        <v>0</v>
      </c>
      <c r="R186" s="200" t="str">
        <f t="shared" si="8"/>
        <v/>
      </c>
      <c r="S186" s="200">
        <f t="shared" si="9"/>
        <v>0</v>
      </c>
      <c r="T186" s="203"/>
      <c r="U186" s="199">
        <f t="shared" ref="U186:V186" si="172">C186/100</f>
        <v>0</v>
      </c>
      <c r="V186" s="199">
        <f t="shared" si="172"/>
        <v>0</v>
      </c>
      <c r="W186" s="199">
        <f t="shared" si="12"/>
        <v>0</v>
      </c>
      <c r="X186" s="202">
        <f t="shared" si="13"/>
        <v>0</v>
      </c>
      <c r="Y186" s="139"/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</row>
    <row r="187" ht="27.0" hidden="1" customHeight="1">
      <c r="A187" s="162">
        <v>156.0</v>
      </c>
      <c r="B187" s="193"/>
      <c r="C187" s="193"/>
      <c r="D187" s="193"/>
      <c r="E187" s="193"/>
      <c r="F187" s="194" t="str">
        <f t="shared" si="5"/>
        <v/>
      </c>
      <c r="G187" s="193"/>
      <c r="H187" s="195">
        <f t="shared" si="6"/>
        <v>0</v>
      </c>
      <c r="I187" s="139"/>
      <c r="J187" s="197"/>
      <c r="K187" s="198"/>
      <c r="L187" s="198"/>
      <c r="M187" s="139"/>
      <c r="N187" s="139"/>
      <c r="O187" s="195"/>
      <c r="P187" s="141"/>
      <c r="Q187" s="199">
        <f t="shared" si="7"/>
        <v>0</v>
      </c>
      <c r="R187" s="200" t="str">
        <f t="shared" si="8"/>
        <v/>
      </c>
      <c r="S187" s="200">
        <f t="shared" si="9"/>
        <v>0</v>
      </c>
      <c r="T187" s="203"/>
      <c r="U187" s="199">
        <f t="shared" ref="U187:V187" si="173">C187/100</f>
        <v>0</v>
      </c>
      <c r="V187" s="199">
        <f t="shared" si="173"/>
        <v>0</v>
      </c>
      <c r="W187" s="199">
        <f t="shared" si="12"/>
        <v>0</v>
      </c>
      <c r="X187" s="202">
        <f t="shared" si="13"/>
        <v>0</v>
      </c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</row>
    <row r="188" ht="27.0" hidden="1" customHeight="1">
      <c r="A188" s="162">
        <v>157.0</v>
      </c>
      <c r="B188" s="193"/>
      <c r="C188" s="193"/>
      <c r="D188" s="193"/>
      <c r="E188" s="193"/>
      <c r="F188" s="194" t="str">
        <f t="shared" si="5"/>
        <v/>
      </c>
      <c r="G188" s="193"/>
      <c r="H188" s="195">
        <f t="shared" si="6"/>
        <v>0</v>
      </c>
      <c r="I188" s="139"/>
      <c r="J188" s="197"/>
      <c r="K188" s="198"/>
      <c r="L188" s="198"/>
      <c r="M188" s="139"/>
      <c r="N188" s="139"/>
      <c r="O188" s="195"/>
      <c r="P188" s="141"/>
      <c r="Q188" s="199">
        <f t="shared" si="7"/>
        <v>0</v>
      </c>
      <c r="R188" s="200" t="str">
        <f t="shared" si="8"/>
        <v/>
      </c>
      <c r="S188" s="200">
        <f t="shared" si="9"/>
        <v>0</v>
      </c>
      <c r="T188" s="203"/>
      <c r="U188" s="199">
        <f t="shared" ref="U188:V188" si="174">C188/100</f>
        <v>0</v>
      </c>
      <c r="V188" s="199">
        <f t="shared" si="174"/>
        <v>0</v>
      </c>
      <c r="W188" s="199">
        <f t="shared" si="12"/>
        <v>0</v>
      </c>
      <c r="X188" s="202">
        <f t="shared" si="13"/>
        <v>0</v>
      </c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</row>
    <row r="189" ht="27.0" hidden="1" customHeight="1">
      <c r="A189" s="162">
        <v>158.0</v>
      </c>
      <c r="B189" s="193"/>
      <c r="C189" s="193"/>
      <c r="D189" s="193"/>
      <c r="E189" s="193"/>
      <c r="F189" s="194" t="str">
        <f t="shared" si="5"/>
        <v/>
      </c>
      <c r="G189" s="193"/>
      <c r="H189" s="195">
        <f t="shared" si="6"/>
        <v>0</v>
      </c>
      <c r="I189" s="139"/>
      <c r="J189" s="197"/>
      <c r="K189" s="198"/>
      <c r="L189" s="198"/>
      <c r="M189" s="139"/>
      <c r="N189" s="139"/>
      <c r="O189" s="195"/>
      <c r="P189" s="141"/>
      <c r="Q189" s="199">
        <f t="shared" si="7"/>
        <v>0</v>
      </c>
      <c r="R189" s="200" t="str">
        <f t="shared" si="8"/>
        <v/>
      </c>
      <c r="S189" s="200">
        <f t="shared" si="9"/>
        <v>0</v>
      </c>
      <c r="T189" s="203"/>
      <c r="U189" s="199">
        <f t="shared" ref="U189:V189" si="175">C189/100</f>
        <v>0</v>
      </c>
      <c r="V189" s="199">
        <f t="shared" si="175"/>
        <v>0</v>
      </c>
      <c r="W189" s="199">
        <f t="shared" si="12"/>
        <v>0</v>
      </c>
      <c r="X189" s="202">
        <f t="shared" si="13"/>
        <v>0</v>
      </c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</row>
    <row r="190" ht="27.0" hidden="1" customHeight="1">
      <c r="A190" s="162">
        <v>159.0</v>
      </c>
      <c r="B190" s="193"/>
      <c r="C190" s="193"/>
      <c r="D190" s="193"/>
      <c r="E190" s="193"/>
      <c r="F190" s="194" t="str">
        <f t="shared" si="5"/>
        <v/>
      </c>
      <c r="G190" s="193"/>
      <c r="H190" s="195">
        <f t="shared" si="6"/>
        <v>0</v>
      </c>
      <c r="I190" s="139"/>
      <c r="J190" s="197"/>
      <c r="K190" s="198"/>
      <c r="L190" s="198"/>
      <c r="M190" s="139"/>
      <c r="N190" s="139"/>
      <c r="O190" s="195"/>
      <c r="P190" s="141"/>
      <c r="Q190" s="199">
        <f t="shared" si="7"/>
        <v>0</v>
      </c>
      <c r="R190" s="200" t="str">
        <f t="shared" si="8"/>
        <v/>
      </c>
      <c r="S190" s="200">
        <f t="shared" si="9"/>
        <v>0</v>
      </c>
      <c r="T190" s="203"/>
      <c r="U190" s="199">
        <f t="shared" ref="U190:V190" si="176">C190/100</f>
        <v>0</v>
      </c>
      <c r="V190" s="199">
        <f t="shared" si="176"/>
        <v>0</v>
      </c>
      <c r="W190" s="199">
        <f t="shared" si="12"/>
        <v>0</v>
      </c>
      <c r="X190" s="202">
        <f t="shared" si="13"/>
        <v>0</v>
      </c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</row>
    <row r="191" ht="27.0" hidden="1" customHeight="1">
      <c r="A191" s="162">
        <v>160.0</v>
      </c>
      <c r="B191" s="193"/>
      <c r="C191" s="193"/>
      <c r="D191" s="193"/>
      <c r="E191" s="193"/>
      <c r="F191" s="194" t="str">
        <f t="shared" si="5"/>
        <v/>
      </c>
      <c r="G191" s="193"/>
      <c r="H191" s="195">
        <f t="shared" si="6"/>
        <v>0</v>
      </c>
      <c r="I191" s="139"/>
      <c r="J191" s="197"/>
      <c r="K191" s="198"/>
      <c r="L191" s="198"/>
      <c r="M191" s="139"/>
      <c r="N191" s="139"/>
      <c r="O191" s="195"/>
      <c r="P191" s="141"/>
      <c r="Q191" s="199">
        <f t="shared" si="7"/>
        <v>0</v>
      </c>
      <c r="R191" s="200" t="str">
        <f t="shared" si="8"/>
        <v/>
      </c>
      <c r="S191" s="200">
        <f t="shared" si="9"/>
        <v>0</v>
      </c>
      <c r="T191" s="203"/>
      <c r="U191" s="199">
        <f t="shared" ref="U191:V191" si="177">C191/100</f>
        <v>0</v>
      </c>
      <c r="V191" s="199">
        <f t="shared" si="177"/>
        <v>0</v>
      </c>
      <c r="W191" s="199">
        <f t="shared" si="12"/>
        <v>0</v>
      </c>
      <c r="X191" s="202">
        <f t="shared" si="13"/>
        <v>0</v>
      </c>
      <c r="Y191" s="139"/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</row>
    <row r="192" ht="27.0" hidden="1" customHeight="1">
      <c r="A192" s="162">
        <v>161.0</v>
      </c>
      <c r="B192" s="193"/>
      <c r="C192" s="193"/>
      <c r="D192" s="193"/>
      <c r="E192" s="193"/>
      <c r="F192" s="194" t="str">
        <f t="shared" si="5"/>
        <v/>
      </c>
      <c r="G192" s="193"/>
      <c r="H192" s="195">
        <f t="shared" si="6"/>
        <v>0</v>
      </c>
      <c r="I192" s="139"/>
      <c r="J192" s="197"/>
      <c r="K192" s="198"/>
      <c r="L192" s="198"/>
      <c r="M192" s="139"/>
      <c r="N192" s="139"/>
      <c r="O192" s="195"/>
      <c r="P192" s="141"/>
      <c r="Q192" s="199">
        <f t="shared" si="7"/>
        <v>0</v>
      </c>
      <c r="R192" s="200" t="str">
        <f t="shared" si="8"/>
        <v/>
      </c>
      <c r="S192" s="200">
        <f t="shared" si="9"/>
        <v>0</v>
      </c>
      <c r="T192" s="203"/>
      <c r="U192" s="199">
        <f t="shared" ref="U192:V192" si="178">C192/100</f>
        <v>0</v>
      </c>
      <c r="V192" s="199">
        <f t="shared" si="178"/>
        <v>0</v>
      </c>
      <c r="W192" s="199">
        <f t="shared" si="12"/>
        <v>0</v>
      </c>
      <c r="X192" s="202">
        <f t="shared" si="13"/>
        <v>0</v>
      </c>
      <c r="Y192" s="139"/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</row>
    <row r="193" ht="27.0" hidden="1" customHeight="1">
      <c r="A193" s="162">
        <v>162.0</v>
      </c>
      <c r="B193" s="193"/>
      <c r="C193" s="193"/>
      <c r="D193" s="193"/>
      <c r="E193" s="193"/>
      <c r="F193" s="194" t="str">
        <f t="shared" si="5"/>
        <v/>
      </c>
      <c r="G193" s="193"/>
      <c r="H193" s="195">
        <f t="shared" si="6"/>
        <v>0</v>
      </c>
      <c r="I193" s="139"/>
      <c r="J193" s="197"/>
      <c r="K193" s="198"/>
      <c r="L193" s="198"/>
      <c r="M193" s="139"/>
      <c r="N193" s="139"/>
      <c r="O193" s="195"/>
      <c r="P193" s="141"/>
      <c r="Q193" s="199">
        <f t="shared" si="7"/>
        <v>0</v>
      </c>
      <c r="R193" s="200" t="str">
        <f t="shared" si="8"/>
        <v/>
      </c>
      <c r="S193" s="200">
        <f t="shared" si="9"/>
        <v>0</v>
      </c>
      <c r="T193" s="203"/>
      <c r="U193" s="199">
        <f t="shared" ref="U193:V193" si="179">C193/100</f>
        <v>0</v>
      </c>
      <c r="V193" s="199">
        <f t="shared" si="179"/>
        <v>0</v>
      </c>
      <c r="W193" s="199">
        <f t="shared" si="12"/>
        <v>0</v>
      </c>
      <c r="X193" s="202">
        <f t="shared" si="13"/>
        <v>0</v>
      </c>
      <c r="Y193" s="139"/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</row>
    <row r="194" ht="27.0" hidden="1" customHeight="1">
      <c r="A194" s="162">
        <v>163.0</v>
      </c>
      <c r="B194" s="193"/>
      <c r="C194" s="193"/>
      <c r="D194" s="193"/>
      <c r="E194" s="193"/>
      <c r="F194" s="194" t="str">
        <f t="shared" si="5"/>
        <v/>
      </c>
      <c r="G194" s="193"/>
      <c r="H194" s="195">
        <f t="shared" si="6"/>
        <v>0</v>
      </c>
      <c r="I194" s="139"/>
      <c r="J194" s="197"/>
      <c r="K194" s="198"/>
      <c r="L194" s="198"/>
      <c r="M194" s="139"/>
      <c r="N194" s="139"/>
      <c r="O194" s="195"/>
      <c r="P194" s="141"/>
      <c r="Q194" s="199">
        <f t="shared" si="7"/>
        <v>0</v>
      </c>
      <c r="R194" s="200" t="str">
        <f t="shared" si="8"/>
        <v/>
      </c>
      <c r="S194" s="200">
        <f t="shared" si="9"/>
        <v>0</v>
      </c>
      <c r="T194" s="203"/>
      <c r="U194" s="199">
        <f t="shared" ref="U194:V194" si="180">C194/100</f>
        <v>0</v>
      </c>
      <c r="V194" s="199">
        <f t="shared" si="180"/>
        <v>0</v>
      </c>
      <c r="W194" s="199">
        <f t="shared" si="12"/>
        <v>0</v>
      </c>
      <c r="X194" s="202">
        <f t="shared" si="13"/>
        <v>0</v>
      </c>
      <c r="Y194" s="139"/>
      <c r="Z194" s="139"/>
      <c r="AA194" s="139"/>
      <c r="AB194" s="139"/>
      <c r="AC194" s="139"/>
      <c r="AD194" s="139"/>
      <c r="AE194" s="139"/>
      <c r="AF194" s="139"/>
      <c r="AG194" s="139"/>
      <c r="AH194" s="139"/>
      <c r="AI194" s="139"/>
    </row>
    <row r="195" ht="27.0" hidden="1" customHeight="1">
      <c r="A195" s="162">
        <v>164.0</v>
      </c>
      <c r="B195" s="193"/>
      <c r="C195" s="193"/>
      <c r="D195" s="193"/>
      <c r="E195" s="193"/>
      <c r="F195" s="194" t="str">
        <f t="shared" si="5"/>
        <v/>
      </c>
      <c r="G195" s="193"/>
      <c r="H195" s="195">
        <f t="shared" si="6"/>
        <v>0</v>
      </c>
      <c r="I195" s="139"/>
      <c r="J195" s="197"/>
      <c r="K195" s="198"/>
      <c r="L195" s="198"/>
      <c r="M195" s="139"/>
      <c r="N195" s="139"/>
      <c r="O195" s="195"/>
      <c r="P195" s="141"/>
      <c r="Q195" s="199">
        <f t="shared" si="7"/>
        <v>0</v>
      </c>
      <c r="R195" s="200" t="str">
        <f t="shared" si="8"/>
        <v/>
      </c>
      <c r="S195" s="200">
        <f t="shared" si="9"/>
        <v>0</v>
      </c>
      <c r="T195" s="203"/>
      <c r="U195" s="199">
        <f t="shared" ref="U195:V195" si="181">C195/100</f>
        <v>0</v>
      </c>
      <c r="V195" s="199">
        <f t="shared" si="181"/>
        <v>0</v>
      </c>
      <c r="W195" s="199">
        <f t="shared" si="12"/>
        <v>0</v>
      </c>
      <c r="X195" s="202">
        <f t="shared" si="13"/>
        <v>0</v>
      </c>
      <c r="Y195" s="139"/>
      <c r="Z195" s="139"/>
      <c r="AA195" s="139"/>
      <c r="AB195" s="139"/>
      <c r="AC195" s="139"/>
      <c r="AD195" s="139"/>
      <c r="AE195" s="139"/>
      <c r="AF195" s="139"/>
      <c r="AG195" s="139"/>
      <c r="AH195" s="139"/>
      <c r="AI195" s="139"/>
    </row>
    <row r="196" ht="27.0" hidden="1" customHeight="1">
      <c r="A196" s="162">
        <v>165.0</v>
      </c>
      <c r="B196" s="193"/>
      <c r="C196" s="193"/>
      <c r="D196" s="193"/>
      <c r="E196" s="193"/>
      <c r="F196" s="194" t="str">
        <f t="shared" si="5"/>
        <v/>
      </c>
      <c r="G196" s="193"/>
      <c r="H196" s="195">
        <f t="shared" si="6"/>
        <v>0</v>
      </c>
      <c r="I196" s="139"/>
      <c r="J196" s="197"/>
      <c r="K196" s="198"/>
      <c r="L196" s="198"/>
      <c r="M196" s="139"/>
      <c r="N196" s="139"/>
      <c r="O196" s="195"/>
      <c r="P196" s="141"/>
      <c r="Q196" s="199">
        <f t="shared" si="7"/>
        <v>0</v>
      </c>
      <c r="R196" s="200" t="str">
        <f t="shared" si="8"/>
        <v/>
      </c>
      <c r="S196" s="200">
        <f t="shared" si="9"/>
        <v>0</v>
      </c>
      <c r="T196" s="203"/>
      <c r="U196" s="199">
        <f t="shared" ref="U196:V196" si="182">C196/100</f>
        <v>0</v>
      </c>
      <c r="V196" s="199">
        <f t="shared" si="182"/>
        <v>0</v>
      </c>
      <c r="W196" s="199">
        <f t="shared" si="12"/>
        <v>0</v>
      </c>
      <c r="X196" s="202">
        <f t="shared" si="13"/>
        <v>0</v>
      </c>
      <c r="Y196" s="139"/>
      <c r="Z196" s="139"/>
      <c r="AA196" s="139"/>
      <c r="AB196" s="139"/>
      <c r="AC196" s="139"/>
      <c r="AD196" s="139"/>
      <c r="AE196" s="139"/>
      <c r="AF196" s="139"/>
      <c r="AG196" s="139"/>
      <c r="AH196" s="139"/>
      <c r="AI196" s="139"/>
    </row>
    <row r="197" ht="27.0" hidden="1" customHeight="1">
      <c r="A197" s="162">
        <v>166.0</v>
      </c>
      <c r="B197" s="193"/>
      <c r="C197" s="193"/>
      <c r="D197" s="193"/>
      <c r="E197" s="193"/>
      <c r="F197" s="194" t="str">
        <f t="shared" si="5"/>
        <v/>
      </c>
      <c r="G197" s="193"/>
      <c r="H197" s="195">
        <f t="shared" si="6"/>
        <v>0</v>
      </c>
      <c r="I197" s="139"/>
      <c r="J197" s="197"/>
      <c r="K197" s="198"/>
      <c r="L197" s="198"/>
      <c r="M197" s="139"/>
      <c r="N197" s="139"/>
      <c r="O197" s="195"/>
      <c r="P197" s="141"/>
      <c r="Q197" s="199">
        <f t="shared" si="7"/>
        <v>0</v>
      </c>
      <c r="R197" s="200" t="str">
        <f t="shared" si="8"/>
        <v/>
      </c>
      <c r="S197" s="200">
        <f t="shared" si="9"/>
        <v>0</v>
      </c>
      <c r="T197" s="203"/>
      <c r="U197" s="199">
        <f t="shared" ref="U197:V197" si="183">C197/100</f>
        <v>0</v>
      </c>
      <c r="V197" s="199">
        <f t="shared" si="183"/>
        <v>0</v>
      </c>
      <c r="W197" s="199">
        <f t="shared" si="12"/>
        <v>0</v>
      </c>
      <c r="X197" s="202">
        <f t="shared" si="13"/>
        <v>0</v>
      </c>
      <c r="Y197" s="139"/>
      <c r="Z197" s="139"/>
      <c r="AA197" s="139"/>
      <c r="AB197" s="139"/>
      <c r="AC197" s="139"/>
      <c r="AD197" s="139"/>
      <c r="AE197" s="139"/>
      <c r="AF197" s="139"/>
      <c r="AG197" s="139"/>
      <c r="AH197" s="139"/>
      <c r="AI197" s="139"/>
    </row>
    <row r="198" ht="27.0" hidden="1" customHeight="1">
      <c r="A198" s="162">
        <v>167.0</v>
      </c>
      <c r="B198" s="193"/>
      <c r="C198" s="193"/>
      <c r="D198" s="193"/>
      <c r="E198" s="193"/>
      <c r="F198" s="194" t="str">
        <f t="shared" si="5"/>
        <v/>
      </c>
      <c r="G198" s="193"/>
      <c r="H198" s="195">
        <f t="shared" si="6"/>
        <v>0</v>
      </c>
      <c r="I198" s="139"/>
      <c r="J198" s="197"/>
      <c r="K198" s="198"/>
      <c r="L198" s="198"/>
      <c r="M198" s="139"/>
      <c r="N198" s="139"/>
      <c r="O198" s="195"/>
      <c r="P198" s="141"/>
      <c r="Q198" s="199">
        <f t="shared" si="7"/>
        <v>0</v>
      </c>
      <c r="R198" s="200" t="str">
        <f t="shared" si="8"/>
        <v/>
      </c>
      <c r="S198" s="200">
        <f t="shared" si="9"/>
        <v>0</v>
      </c>
      <c r="T198" s="203"/>
      <c r="U198" s="199">
        <f t="shared" ref="U198:V198" si="184">C198/100</f>
        <v>0</v>
      </c>
      <c r="V198" s="199">
        <f t="shared" si="184"/>
        <v>0</v>
      </c>
      <c r="W198" s="199">
        <f t="shared" si="12"/>
        <v>0</v>
      </c>
      <c r="X198" s="202">
        <f t="shared" si="13"/>
        <v>0</v>
      </c>
      <c r="Y198" s="139"/>
      <c r="Z198" s="139"/>
      <c r="AA198" s="139"/>
      <c r="AB198" s="139"/>
      <c r="AC198" s="139"/>
      <c r="AD198" s="139"/>
      <c r="AE198" s="139"/>
      <c r="AF198" s="139"/>
      <c r="AG198" s="139"/>
      <c r="AH198" s="139"/>
      <c r="AI198" s="139"/>
    </row>
    <row r="199" ht="27.0" hidden="1" customHeight="1">
      <c r="A199" s="162">
        <v>168.0</v>
      </c>
      <c r="B199" s="193"/>
      <c r="C199" s="193"/>
      <c r="D199" s="193"/>
      <c r="E199" s="193"/>
      <c r="F199" s="194" t="str">
        <f t="shared" si="5"/>
        <v/>
      </c>
      <c r="G199" s="193"/>
      <c r="H199" s="195">
        <f t="shared" si="6"/>
        <v>0</v>
      </c>
      <c r="I199" s="139"/>
      <c r="J199" s="197"/>
      <c r="K199" s="198"/>
      <c r="L199" s="198"/>
      <c r="M199" s="139"/>
      <c r="N199" s="139"/>
      <c r="O199" s="195"/>
      <c r="P199" s="141"/>
      <c r="Q199" s="199">
        <f t="shared" si="7"/>
        <v>0</v>
      </c>
      <c r="R199" s="200" t="str">
        <f t="shared" si="8"/>
        <v/>
      </c>
      <c r="S199" s="200">
        <f t="shared" si="9"/>
        <v>0</v>
      </c>
      <c r="T199" s="203"/>
      <c r="U199" s="199">
        <f t="shared" ref="U199:V199" si="185">C199/100</f>
        <v>0</v>
      </c>
      <c r="V199" s="199">
        <f t="shared" si="185"/>
        <v>0</v>
      </c>
      <c r="W199" s="199">
        <f t="shared" si="12"/>
        <v>0</v>
      </c>
      <c r="X199" s="202">
        <f t="shared" si="13"/>
        <v>0</v>
      </c>
      <c r="Y199" s="139"/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</row>
    <row r="200" ht="27.0" hidden="1" customHeight="1">
      <c r="A200" s="162">
        <v>169.0</v>
      </c>
      <c r="B200" s="193"/>
      <c r="C200" s="193"/>
      <c r="D200" s="193"/>
      <c r="E200" s="193"/>
      <c r="F200" s="194" t="str">
        <f t="shared" si="5"/>
        <v/>
      </c>
      <c r="G200" s="193"/>
      <c r="H200" s="195">
        <f t="shared" si="6"/>
        <v>0</v>
      </c>
      <c r="I200" s="139"/>
      <c r="J200" s="197"/>
      <c r="K200" s="198"/>
      <c r="L200" s="198"/>
      <c r="M200" s="139"/>
      <c r="N200" s="139"/>
      <c r="O200" s="195"/>
      <c r="P200" s="141"/>
      <c r="Q200" s="199">
        <f t="shared" si="7"/>
        <v>0</v>
      </c>
      <c r="R200" s="200" t="str">
        <f t="shared" si="8"/>
        <v/>
      </c>
      <c r="S200" s="200">
        <f t="shared" si="9"/>
        <v>0</v>
      </c>
      <c r="T200" s="203"/>
      <c r="U200" s="199">
        <f t="shared" ref="U200:V200" si="186">C200/100</f>
        <v>0</v>
      </c>
      <c r="V200" s="199">
        <f t="shared" si="186"/>
        <v>0</v>
      </c>
      <c r="W200" s="199">
        <f t="shared" si="12"/>
        <v>0</v>
      </c>
      <c r="X200" s="202">
        <f t="shared" si="13"/>
        <v>0</v>
      </c>
      <c r="Y200" s="139"/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</row>
    <row r="201" ht="27.0" hidden="1" customHeight="1">
      <c r="A201" s="162">
        <v>170.0</v>
      </c>
      <c r="B201" s="193"/>
      <c r="C201" s="193"/>
      <c r="D201" s="193"/>
      <c r="E201" s="193"/>
      <c r="F201" s="194" t="str">
        <f t="shared" si="5"/>
        <v/>
      </c>
      <c r="G201" s="193"/>
      <c r="H201" s="195">
        <f t="shared" si="6"/>
        <v>0</v>
      </c>
      <c r="I201" s="139"/>
      <c r="J201" s="197"/>
      <c r="K201" s="198"/>
      <c r="L201" s="198"/>
      <c r="M201" s="139"/>
      <c r="N201" s="139"/>
      <c r="O201" s="195"/>
      <c r="P201" s="141"/>
      <c r="Q201" s="199">
        <f t="shared" si="7"/>
        <v>0</v>
      </c>
      <c r="R201" s="200" t="str">
        <f t="shared" si="8"/>
        <v/>
      </c>
      <c r="S201" s="200">
        <f t="shared" si="9"/>
        <v>0</v>
      </c>
      <c r="T201" s="203"/>
      <c r="U201" s="199">
        <f t="shared" ref="U201:V201" si="187">C201/100</f>
        <v>0</v>
      </c>
      <c r="V201" s="199">
        <f t="shared" si="187"/>
        <v>0</v>
      </c>
      <c r="W201" s="199">
        <f t="shared" si="12"/>
        <v>0</v>
      </c>
      <c r="X201" s="202">
        <f t="shared" si="13"/>
        <v>0</v>
      </c>
      <c r="Y201" s="139"/>
      <c r="Z201" s="139"/>
      <c r="AA201" s="139"/>
      <c r="AB201" s="139"/>
      <c r="AC201" s="139"/>
      <c r="AD201" s="139"/>
      <c r="AE201" s="139"/>
      <c r="AF201" s="139"/>
      <c r="AG201" s="139"/>
      <c r="AH201" s="139"/>
      <c r="AI201" s="139"/>
    </row>
    <row r="202" ht="27.0" hidden="1" customHeight="1">
      <c r="A202" s="162">
        <v>171.0</v>
      </c>
      <c r="B202" s="193"/>
      <c r="C202" s="193"/>
      <c r="D202" s="193"/>
      <c r="E202" s="193"/>
      <c r="F202" s="194" t="str">
        <f t="shared" si="5"/>
        <v/>
      </c>
      <c r="G202" s="193"/>
      <c r="H202" s="195">
        <f t="shared" si="6"/>
        <v>0</v>
      </c>
      <c r="I202" s="139"/>
      <c r="J202" s="197"/>
      <c r="K202" s="198"/>
      <c r="L202" s="198"/>
      <c r="M202" s="139"/>
      <c r="N202" s="139"/>
      <c r="O202" s="195"/>
      <c r="P202" s="141"/>
      <c r="Q202" s="199">
        <f t="shared" si="7"/>
        <v>0</v>
      </c>
      <c r="R202" s="200" t="str">
        <f t="shared" si="8"/>
        <v/>
      </c>
      <c r="S202" s="200">
        <f t="shared" si="9"/>
        <v>0</v>
      </c>
      <c r="T202" s="203"/>
      <c r="U202" s="199">
        <f t="shared" ref="U202:V202" si="188">C202/100</f>
        <v>0</v>
      </c>
      <c r="V202" s="199">
        <f t="shared" si="188"/>
        <v>0</v>
      </c>
      <c r="W202" s="199">
        <f t="shared" si="12"/>
        <v>0</v>
      </c>
      <c r="X202" s="202">
        <f t="shared" si="13"/>
        <v>0</v>
      </c>
      <c r="Y202" s="139"/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</row>
    <row r="203" ht="27.0" hidden="1" customHeight="1">
      <c r="A203" s="162">
        <v>172.0</v>
      </c>
      <c r="B203" s="193"/>
      <c r="C203" s="193"/>
      <c r="D203" s="193"/>
      <c r="E203" s="193"/>
      <c r="F203" s="194" t="str">
        <f t="shared" si="5"/>
        <v/>
      </c>
      <c r="G203" s="193"/>
      <c r="H203" s="195">
        <f t="shared" si="6"/>
        <v>0</v>
      </c>
      <c r="I203" s="139"/>
      <c r="J203" s="197"/>
      <c r="K203" s="198"/>
      <c r="L203" s="198"/>
      <c r="M203" s="139"/>
      <c r="N203" s="139"/>
      <c r="O203" s="195"/>
      <c r="P203" s="141"/>
      <c r="Q203" s="199">
        <f t="shared" si="7"/>
        <v>0</v>
      </c>
      <c r="R203" s="200" t="str">
        <f t="shared" si="8"/>
        <v/>
      </c>
      <c r="S203" s="200">
        <f t="shared" si="9"/>
        <v>0</v>
      </c>
      <c r="T203" s="203"/>
      <c r="U203" s="199">
        <f t="shared" ref="U203:V203" si="189">C203/100</f>
        <v>0</v>
      </c>
      <c r="V203" s="199">
        <f t="shared" si="189"/>
        <v>0</v>
      </c>
      <c r="W203" s="199">
        <f t="shared" si="12"/>
        <v>0</v>
      </c>
      <c r="X203" s="202">
        <f t="shared" si="13"/>
        <v>0</v>
      </c>
      <c r="Y203" s="139"/>
      <c r="Z203" s="139"/>
      <c r="AA203" s="139"/>
      <c r="AB203" s="139"/>
      <c r="AC203" s="139"/>
      <c r="AD203" s="139"/>
      <c r="AE203" s="139"/>
      <c r="AF203" s="139"/>
      <c r="AG203" s="139"/>
      <c r="AH203" s="139"/>
      <c r="AI203" s="139"/>
    </row>
    <row r="204" ht="27.0" hidden="1" customHeight="1">
      <c r="A204" s="162">
        <v>173.0</v>
      </c>
      <c r="B204" s="193"/>
      <c r="C204" s="193"/>
      <c r="D204" s="193"/>
      <c r="E204" s="193"/>
      <c r="F204" s="194" t="str">
        <f t="shared" si="5"/>
        <v/>
      </c>
      <c r="G204" s="193"/>
      <c r="H204" s="195">
        <f t="shared" si="6"/>
        <v>0</v>
      </c>
      <c r="I204" s="139"/>
      <c r="J204" s="197"/>
      <c r="K204" s="198"/>
      <c r="L204" s="198"/>
      <c r="M204" s="139"/>
      <c r="N204" s="139"/>
      <c r="O204" s="195"/>
      <c r="P204" s="141"/>
      <c r="Q204" s="199">
        <f t="shared" si="7"/>
        <v>0</v>
      </c>
      <c r="R204" s="200" t="str">
        <f t="shared" si="8"/>
        <v/>
      </c>
      <c r="S204" s="200">
        <f t="shared" si="9"/>
        <v>0</v>
      </c>
      <c r="T204" s="203"/>
      <c r="U204" s="199">
        <f t="shared" ref="U204:V204" si="190">C204/100</f>
        <v>0</v>
      </c>
      <c r="V204" s="199">
        <f t="shared" si="190"/>
        <v>0</v>
      </c>
      <c r="W204" s="199">
        <f t="shared" si="12"/>
        <v>0</v>
      </c>
      <c r="X204" s="202">
        <f t="shared" si="13"/>
        <v>0</v>
      </c>
      <c r="Y204" s="139"/>
      <c r="Z204" s="139"/>
      <c r="AA204" s="139"/>
      <c r="AB204" s="139"/>
      <c r="AC204" s="139"/>
      <c r="AD204" s="139"/>
      <c r="AE204" s="139"/>
      <c r="AF204" s="139"/>
      <c r="AG204" s="139"/>
      <c r="AH204" s="139"/>
      <c r="AI204" s="139"/>
    </row>
    <row r="205" ht="27.0" hidden="1" customHeight="1">
      <c r="A205" s="162">
        <v>174.0</v>
      </c>
      <c r="B205" s="193"/>
      <c r="C205" s="193"/>
      <c r="D205" s="193"/>
      <c r="E205" s="193"/>
      <c r="F205" s="194" t="str">
        <f t="shared" si="5"/>
        <v/>
      </c>
      <c r="G205" s="193"/>
      <c r="H205" s="195">
        <f t="shared" si="6"/>
        <v>0</v>
      </c>
      <c r="I205" s="139"/>
      <c r="J205" s="197"/>
      <c r="K205" s="198"/>
      <c r="L205" s="198"/>
      <c r="M205" s="139"/>
      <c r="N205" s="139"/>
      <c r="O205" s="195"/>
      <c r="P205" s="141"/>
      <c r="Q205" s="199">
        <f t="shared" si="7"/>
        <v>0</v>
      </c>
      <c r="R205" s="200" t="str">
        <f t="shared" si="8"/>
        <v/>
      </c>
      <c r="S205" s="200">
        <f t="shared" si="9"/>
        <v>0</v>
      </c>
      <c r="T205" s="203"/>
      <c r="U205" s="199">
        <f t="shared" ref="U205:V205" si="191">C205/100</f>
        <v>0</v>
      </c>
      <c r="V205" s="199">
        <f t="shared" si="191"/>
        <v>0</v>
      </c>
      <c r="W205" s="199">
        <f t="shared" si="12"/>
        <v>0</v>
      </c>
      <c r="X205" s="202">
        <f t="shared" si="13"/>
        <v>0</v>
      </c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</row>
    <row r="206" ht="27.0" hidden="1" customHeight="1">
      <c r="A206" s="162">
        <v>175.0</v>
      </c>
      <c r="B206" s="193"/>
      <c r="C206" s="193"/>
      <c r="D206" s="193"/>
      <c r="E206" s="193"/>
      <c r="F206" s="194" t="str">
        <f t="shared" si="5"/>
        <v/>
      </c>
      <c r="G206" s="193"/>
      <c r="H206" s="195">
        <f t="shared" si="6"/>
        <v>0</v>
      </c>
      <c r="I206" s="139"/>
      <c r="J206" s="197"/>
      <c r="K206" s="198"/>
      <c r="L206" s="198"/>
      <c r="M206" s="139"/>
      <c r="N206" s="139"/>
      <c r="O206" s="195"/>
      <c r="P206" s="141"/>
      <c r="Q206" s="199">
        <f t="shared" si="7"/>
        <v>0</v>
      </c>
      <c r="R206" s="200" t="str">
        <f t="shared" si="8"/>
        <v/>
      </c>
      <c r="S206" s="200">
        <f t="shared" si="9"/>
        <v>0</v>
      </c>
      <c r="T206" s="203"/>
      <c r="U206" s="199">
        <f t="shared" ref="U206:V206" si="192">C206/100</f>
        <v>0</v>
      </c>
      <c r="V206" s="199">
        <f t="shared" si="192"/>
        <v>0</v>
      </c>
      <c r="W206" s="199">
        <f t="shared" si="12"/>
        <v>0</v>
      </c>
      <c r="X206" s="202">
        <f t="shared" si="13"/>
        <v>0</v>
      </c>
      <c r="Y206" s="139"/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</row>
    <row r="207" ht="27.0" hidden="1" customHeight="1">
      <c r="A207" s="162">
        <v>176.0</v>
      </c>
      <c r="B207" s="193"/>
      <c r="C207" s="193"/>
      <c r="D207" s="193"/>
      <c r="E207" s="193"/>
      <c r="F207" s="194" t="str">
        <f t="shared" si="5"/>
        <v/>
      </c>
      <c r="G207" s="193"/>
      <c r="H207" s="195">
        <f t="shared" si="6"/>
        <v>0</v>
      </c>
      <c r="I207" s="139"/>
      <c r="J207" s="197"/>
      <c r="K207" s="198"/>
      <c r="L207" s="198"/>
      <c r="M207" s="139"/>
      <c r="N207" s="139"/>
      <c r="O207" s="195"/>
      <c r="P207" s="141"/>
      <c r="Q207" s="199">
        <f t="shared" si="7"/>
        <v>0</v>
      </c>
      <c r="R207" s="200" t="str">
        <f t="shared" si="8"/>
        <v/>
      </c>
      <c r="S207" s="200">
        <f t="shared" si="9"/>
        <v>0</v>
      </c>
      <c r="T207" s="203"/>
      <c r="U207" s="199">
        <f t="shared" ref="U207:V207" si="193">C207/100</f>
        <v>0</v>
      </c>
      <c r="V207" s="199">
        <f t="shared" si="193"/>
        <v>0</v>
      </c>
      <c r="W207" s="199">
        <f t="shared" si="12"/>
        <v>0</v>
      </c>
      <c r="X207" s="202">
        <f t="shared" si="13"/>
        <v>0</v>
      </c>
      <c r="Y207" s="139"/>
      <c r="Z207" s="139"/>
      <c r="AA207" s="139"/>
      <c r="AB207" s="139"/>
      <c r="AC207" s="139"/>
      <c r="AD207" s="139"/>
      <c r="AE207" s="139"/>
      <c r="AF207" s="139"/>
      <c r="AG207" s="139"/>
      <c r="AH207" s="139"/>
      <c r="AI207" s="139"/>
    </row>
    <row r="208" ht="27.0" hidden="1" customHeight="1">
      <c r="A208" s="162">
        <v>177.0</v>
      </c>
      <c r="B208" s="193"/>
      <c r="C208" s="193"/>
      <c r="D208" s="193"/>
      <c r="E208" s="193"/>
      <c r="F208" s="194" t="str">
        <f t="shared" si="5"/>
        <v/>
      </c>
      <c r="G208" s="193"/>
      <c r="H208" s="195">
        <f t="shared" si="6"/>
        <v>0</v>
      </c>
      <c r="I208" s="139"/>
      <c r="J208" s="197"/>
      <c r="K208" s="198"/>
      <c r="L208" s="198"/>
      <c r="M208" s="139"/>
      <c r="N208" s="139"/>
      <c r="O208" s="195"/>
      <c r="P208" s="141"/>
      <c r="Q208" s="199">
        <f t="shared" si="7"/>
        <v>0</v>
      </c>
      <c r="R208" s="200" t="str">
        <f t="shared" si="8"/>
        <v/>
      </c>
      <c r="S208" s="200">
        <f t="shared" si="9"/>
        <v>0</v>
      </c>
      <c r="T208" s="203"/>
      <c r="U208" s="199">
        <f t="shared" ref="U208:V208" si="194">C208/100</f>
        <v>0</v>
      </c>
      <c r="V208" s="199">
        <f t="shared" si="194"/>
        <v>0</v>
      </c>
      <c r="W208" s="199">
        <f t="shared" si="12"/>
        <v>0</v>
      </c>
      <c r="X208" s="202">
        <f t="shared" si="13"/>
        <v>0</v>
      </c>
      <c r="Y208" s="139"/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</row>
    <row r="209" ht="27.0" hidden="1" customHeight="1">
      <c r="A209" s="162">
        <v>178.0</v>
      </c>
      <c r="B209" s="193"/>
      <c r="C209" s="193"/>
      <c r="D209" s="193"/>
      <c r="E209" s="193"/>
      <c r="F209" s="194" t="str">
        <f t="shared" si="5"/>
        <v/>
      </c>
      <c r="G209" s="193"/>
      <c r="H209" s="195">
        <f t="shared" si="6"/>
        <v>0</v>
      </c>
      <c r="I209" s="139"/>
      <c r="J209" s="197"/>
      <c r="K209" s="198"/>
      <c r="L209" s="198"/>
      <c r="M209" s="139"/>
      <c r="N209" s="139"/>
      <c r="O209" s="195"/>
      <c r="P209" s="141"/>
      <c r="Q209" s="199">
        <f t="shared" si="7"/>
        <v>0</v>
      </c>
      <c r="R209" s="200" t="str">
        <f t="shared" si="8"/>
        <v/>
      </c>
      <c r="S209" s="200">
        <f t="shared" si="9"/>
        <v>0</v>
      </c>
      <c r="T209" s="203"/>
      <c r="U209" s="199">
        <f t="shared" ref="U209:V209" si="195">C209/100</f>
        <v>0</v>
      </c>
      <c r="V209" s="199">
        <f t="shared" si="195"/>
        <v>0</v>
      </c>
      <c r="W209" s="199">
        <f t="shared" si="12"/>
        <v>0</v>
      </c>
      <c r="X209" s="202">
        <f t="shared" si="13"/>
        <v>0</v>
      </c>
      <c r="Y209" s="139"/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</row>
    <row r="210" ht="27.0" hidden="1" customHeight="1">
      <c r="A210" s="162">
        <v>179.0</v>
      </c>
      <c r="B210" s="193"/>
      <c r="C210" s="193"/>
      <c r="D210" s="193"/>
      <c r="E210" s="193"/>
      <c r="F210" s="194" t="str">
        <f t="shared" si="5"/>
        <v/>
      </c>
      <c r="G210" s="193"/>
      <c r="H210" s="195">
        <f t="shared" si="6"/>
        <v>0</v>
      </c>
      <c r="I210" s="139"/>
      <c r="J210" s="197"/>
      <c r="K210" s="198"/>
      <c r="L210" s="198"/>
      <c r="M210" s="139"/>
      <c r="N210" s="139"/>
      <c r="O210" s="195"/>
      <c r="P210" s="141"/>
      <c r="Q210" s="199">
        <f t="shared" si="7"/>
        <v>0</v>
      </c>
      <c r="R210" s="200" t="str">
        <f t="shared" si="8"/>
        <v/>
      </c>
      <c r="S210" s="200">
        <f t="shared" si="9"/>
        <v>0</v>
      </c>
      <c r="T210" s="203"/>
      <c r="U210" s="199">
        <f t="shared" ref="U210:V210" si="196">C210/100</f>
        <v>0</v>
      </c>
      <c r="V210" s="199">
        <f t="shared" si="196"/>
        <v>0</v>
      </c>
      <c r="W210" s="199">
        <f t="shared" si="12"/>
        <v>0</v>
      </c>
      <c r="X210" s="202">
        <f t="shared" si="13"/>
        <v>0</v>
      </c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</row>
    <row r="211" ht="27.0" hidden="1" customHeight="1">
      <c r="A211" s="162">
        <v>180.0</v>
      </c>
      <c r="B211" s="193"/>
      <c r="C211" s="193"/>
      <c r="D211" s="193"/>
      <c r="E211" s="193"/>
      <c r="F211" s="194" t="str">
        <f t="shared" si="5"/>
        <v/>
      </c>
      <c r="G211" s="193"/>
      <c r="H211" s="195">
        <f t="shared" si="6"/>
        <v>0</v>
      </c>
      <c r="I211" s="139"/>
      <c r="J211" s="197"/>
      <c r="K211" s="198"/>
      <c r="L211" s="198"/>
      <c r="M211" s="139"/>
      <c r="N211" s="139"/>
      <c r="O211" s="195"/>
      <c r="P211" s="141"/>
      <c r="Q211" s="199">
        <f t="shared" si="7"/>
        <v>0</v>
      </c>
      <c r="R211" s="200" t="str">
        <f t="shared" si="8"/>
        <v/>
      </c>
      <c r="S211" s="200">
        <f t="shared" si="9"/>
        <v>0</v>
      </c>
      <c r="T211" s="203"/>
      <c r="U211" s="199">
        <f t="shared" ref="U211:V211" si="197">C211/100</f>
        <v>0</v>
      </c>
      <c r="V211" s="199">
        <f t="shared" si="197"/>
        <v>0</v>
      </c>
      <c r="W211" s="199">
        <f t="shared" si="12"/>
        <v>0</v>
      </c>
      <c r="X211" s="202">
        <f t="shared" si="13"/>
        <v>0</v>
      </c>
      <c r="Y211" s="139"/>
      <c r="Z211" s="139"/>
      <c r="AA211" s="139"/>
      <c r="AB211" s="139"/>
      <c r="AC211" s="139"/>
      <c r="AD211" s="139"/>
      <c r="AE211" s="139"/>
      <c r="AF211" s="139"/>
      <c r="AG211" s="139"/>
      <c r="AH211" s="139"/>
      <c r="AI211" s="139"/>
    </row>
    <row r="212" ht="27.0" hidden="1" customHeight="1">
      <c r="A212" s="162">
        <v>181.0</v>
      </c>
      <c r="B212" s="193"/>
      <c r="C212" s="193"/>
      <c r="D212" s="193"/>
      <c r="E212" s="193"/>
      <c r="F212" s="194" t="str">
        <f t="shared" si="5"/>
        <v/>
      </c>
      <c r="G212" s="193"/>
      <c r="H212" s="195">
        <f t="shared" si="6"/>
        <v>0</v>
      </c>
      <c r="I212" s="139"/>
      <c r="J212" s="197"/>
      <c r="K212" s="198"/>
      <c r="L212" s="198"/>
      <c r="M212" s="139"/>
      <c r="N212" s="139"/>
      <c r="O212" s="195"/>
      <c r="P212" s="141"/>
      <c r="Q212" s="199">
        <f t="shared" si="7"/>
        <v>0</v>
      </c>
      <c r="R212" s="200" t="str">
        <f t="shared" si="8"/>
        <v/>
      </c>
      <c r="S212" s="200">
        <f t="shared" si="9"/>
        <v>0</v>
      </c>
      <c r="T212" s="203"/>
      <c r="U212" s="199">
        <f t="shared" ref="U212:V212" si="198">C212/100</f>
        <v>0</v>
      </c>
      <c r="V212" s="199">
        <f t="shared" si="198"/>
        <v>0</v>
      </c>
      <c r="W212" s="199">
        <f t="shared" si="12"/>
        <v>0</v>
      </c>
      <c r="X212" s="202">
        <f t="shared" si="13"/>
        <v>0</v>
      </c>
      <c r="Y212" s="139"/>
      <c r="Z212" s="139"/>
      <c r="AA212" s="139"/>
      <c r="AB212" s="139"/>
      <c r="AC212" s="139"/>
      <c r="AD212" s="139"/>
      <c r="AE212" s="139"/>
      <c r="AF212" s="139"/>
      <c r="AG212" s="139"/>
      <c r="AH212" s="139"/>
      <c r="AI212" s="139"/>
    </row>
    <row r="213" ht="27.0" hidden="1" customHeight="1">
      <c r="A213" s="162">
        <v>182.0</v>
      </c>
      <c r="B213" s="193"/>
      <c r="C213" s="193"/>
      <c r="D213" s="193"/>
      <c r="E213" s="193"/>
      <c r="F213" s="194" t="str">
        <f t="shared" si="5"/>
        <v/>
      </c>
      <c r="G213" s="193"/>
      <c r="H213" s="195">
        <f t="shared" si="6"/>
        <v>0</v>
      </c>
      <c r="I213" s="139"/>
      <c r="J213" s="197"/>
      <c r="K213" s="198"/>
      <c r="L213" s="198"/>
      <c r="M213" s="139"/>
      <c r="N213" s="139"/>
      <c r="O213" s="195"/>
      <c r="P213" s="141"/>
      <c r="Q213" s="199">
        <f t="shared" si="7"/>
        <v>0</v>
      </c>
      <c r="R213" s="200" t="str">
        <f t="shared" si="8"/>
        <v/>
      </c>
      <c r="S213" s="200">
        <f t="shared" si="9"/>
        <v>0</v>
      </c>
      <c r="T213" s="203"/>
      <c r="U213" s="199">
        <f t="shared" ref="U213:V213" si="199">C213/100</f>
        <v>0</v>
      </c>
      <c r="V213" s="199">
        <f t="shared" si="199"/>
        <v>0</v>
      </c>
      <c r="W213" s="199">
        <f t="shared" si="12"/>
        <v>0</v>
      </c>
      <c r="X213" s="202">
        <f t="shared" si="13"/>
        <v>0</v>
      </c>
      <c r="Y213" s="139"/>
      <c r="Z213" s="139"/>
      <c r="AA213" s="139"/>
      <c r="AB213" s="139"/>
      <c r="AC213" s="139"/>
      <c r="AD213" s="139"/>
      <c r="AE213" s="139"/>
      <c r="AF213" s="139"/>
      <c r="AG213" s="139"/>
      <c r="AH213" s="139"/>
      <c r="AI213" s="139"/>
    </row>
    <row r="214" ht="27.0" hidden="1" customHeight="1">
      <c r="A214" s="162">
        <v>183.0</v>
      </c>
      <c r="B214" s="193"/>
      <c r="C214" s="193"/>
      <c r="D214" s="193"/>
      <c r="E214" s="193"/>
      <c r="F214" s="194" t="str">
        <f t="shared" si="5"/>
        <v/>
      </c>
      <c r="G214" s="193"/>
      <c r="H214" s="195">
        <f t="shared" si="6"/>
        <v>0</v>
      </c>
      <c r="I214" s="139"/>
      <c r="J214" s="197"/>
      <c r="K214" s="198"/>
      <c r="L214" s="198"/>
      <c r="M214" s="139"/>
      <c r="N214" s="139"/>
      <c r="O214" s="195"/>
      <c r="P214" s="141"/>
      <c r="Q214" s="199">
        <f t="shared" si="7"/>
        <v>0</v>
      </c>
      <c r="R214" s="200" t="str">
        <f t="shared" si="8"/>
        <v/>
      </c>
      <c r="S214" s="200">
        <f t="shared" si="9"/>
        <v>0</v>
      </c>
      <c r="T214" s="203"/>
      <c r="U214" s="199">
        <f t="shared" ref="U214:V214" si="200">C214/100</f>
        <v>0</v>
      </c>
      <c r="V214" s="199">
        <f t="shared" si="200"/>
        <v>0</v>
      </c>
      <c r="W214" s="199">
        <f t="shared" si="12"/>
        <v>0</v>
      </c>
      <c r="X214" s="202">
        <f t="shared" si="13"/>
        <v>0</v>
      </c>
      <c r="Y214" s="139"/>
      <c r="Z214" s="139"/>
      <c r="AA214" s="139"/>
      <c r="AB214" s="139"/>
      <c r="AC214" s="139"/>
      <c r="AD214" s="139"/>
      <c r="AE214" s="139"/>
      <c r="AF214" s="139"/>
      <c r="AG214" s="139"/>
      <c r="AH214" s="139"/>
      <c r="AI214" s="139"/>
    </row>
    <row r="215" ht="27.0" hidden="1" customHeight="1">
      <c r="A215" s="162">
        <v>184.0</v>
      </c>
      <c r="B215" s="193"/>
      <c r="C215" s="193"/>
      <c r="D215" s="193"/>
      <c r="E215" s="193"/>
      <c r="F215" s="194" t="str">
        <f t="shared" si="5"/>
        <v/>
      </c>
      <c r="G215" s="193"/>
      <c r="H215" s="195">
        <f t="shared" si="6"/>
        <v>0</v>
      </c>
      <c r="I215" s="139"/>
      <c r="J215" s="197"/>
      <c r="K215" s="198"/>
      <c r="L215" s="198"/>
      <c r="M215" s="139"/>
      <c r="N215" s="139"/>
      <c r="O215" s="195"/>
      <c r="P215" s="141"/>
      <c r="Q215" s="199">
        <f t="shared" si="7"/>
        <v>0</v>
      </c>
      <c r="R215" s="200" t="str">
        <f t="shared" si="8"/>
        <v/>
      </c>
      <c r="S215" s="200">
        <f t="shared" si="9"/>
        <v>0</v>
      </c>
      <c r="T215" s="203"/>
      <c r="U215" s="199">
        <f t="shared" ref="U215:V215" si="201">C215/100</f>
        <v>0</v>
      </c>
      <c r="V215" s="199">
        <f t="shared" si="201"/>
        <v>0</v>
      </c>
      <c r="W215" s="199">
        <f t="shared" si="12"/>
        <v>0</v>
      </c>
      <c r="X215" s="202">
        <f t="shared" si="13"/>
        <v>0</v>
      </c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</row>
    <row r="216" ht="27.0" hidden="1" customHeight="1">
      <c r="A216" s="162">
        <v>185.0</v>
      </c>
      <c r="B216" s="193"/>
      <c r="C216" s="193"/>
      <c r="D216" s="193"/>
      <c r="E216" s="193"/>
      <c r="F216" s="194" t="str">
        <f t="shared" si="5"/>
        <v/>
      </c>
      <c r="G216" s="193"/>
      <c r="H216" s="195">
        <f t="shared" si="6"/>
        <v>0</v>
      </c>
      <c r="I216" s="139"/>
      <c r="J216" s="197"/>
      <c r="K216" s="198"/>
      <c r="L216" s="198"/>
      <c r="M216" s="139"/>
      <c r="N216" s="139"/>
      <c r="O216" s="195"/>
      <c r="P216" s="141"/>
      <c r="Q216" s="199">
        <f t="shared" si="7"/>
        <v>0</v>
      </c>
      <c r="R216" s="200" t="str">
        <f t="shared" si="8"/>
        <v/>
      </c>
      <c r="S216" s="200">
        <f t="shared" si="9"/>
        <v>0</v>
      </c>
      <c r="T216" s="203"/>
      <c r="U216" s="199">
        <f t="shared" ref="U216:V216" si="202">C216/100</f>
        <v>0</v>
      </c>
      <c r="V216" s="199">
        <f t="shared" si="202"/>
        <v>0</v>
      </c>
      <c r="W216" s="199">
        <f t="shared" si="12"/>
        <v>0</v>
      </c>
      <c r="X216" s="202">
        <f t="shared" si="13"/>
        <v>0</v>
      </c>
      <c r="Y216" s="139"/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</row>
    <row r="217" ht="27.0" hidden="1" customHeight="1">
      <c r="A217" s="162">
        <v>186.0</v>
      </c>
      <c r="B217" s="193"/>
      <c r="C217" s="193"/>
      <c r="D217" s="193"/>
      <c r="E217" s="193"/>
      <c r="F217" s="194" t="str">
        <f t="shared" si="5"/>
        <v/>
      </c>
      <c r="G217" s="193"/>
      <c r="H217" s="195">
        <f t="shared" si="6"/>
        <v>0</v>
      </c>
      <c r="I217" s="139"/>
      <c r="J217" s="197"/>
      <c r="K217" s="198"/>
      <c r="L217" s="198"/>
      <c r="M217" s="139"/>
      <c r="N217" s="139"/>
      <c r="O217" s="195"/>
      <c r="P217" s="141"/>
      <c r="Q217" s="199">
        <f t="shared" si="7"/>
        <v>0</v>
      </c>
      <c r="R217" s="200" t="str">
        <f t="shared" si="8"/>
        <v/>
      </c>
      <c r="S217" s="200">
        <f t="shared" si="9"/>
        <v>0</v>
      </c>
      <c r="T217" s="203"/>
      <c r="U217" s="199">
        <f t="shared" ref="U217:V217" si="203">C217/100</f>
        <v>0</v>
      </c>
      <c r="V217" s="199">
        <f t="shared" si="203"/>
        <v>0</v>
      </c>
      <c r="W217" s="199">
        <f t="shared" si="12"/>
        <v>0</v>
      </c>
      <c r="X217" s="202">
        <f t="shared" si="13"/>
        <v>0</v>
      </c>
      <c r="Y217" s="139"/>
      <c r="Z217" s="139"/>
      <c r="AA217" s="139"/>
      <c r="AB217" s="139"/>
      <c r="AC217" s="139"/>
      <c r="AD217" s="139"/>
      <c r="AE217" s="139"/>
      <c r="AF217" s="139"/>
      <c r="AG217" s="139"/>
      <c r="AH217" s="139"/>
      <c r="AI217" s="139"/>
    </row>
    <row r="218" ht="27.0" hidden="1" customHeight="1">
      <c r="A218" s="162">
        <v>187.0</v>
      </c>
      <c r="B218" s="193"/>
      <c r="C218" s="193"/>
      <c r="D218" s="193"/>
      <c r="E218" s="193"/>
      <c r="F218" s="194" t="str">
        <f t="shared" si="5"/>
        <v/>
      </c>
      <c r="G218" s="193"/>
      <c r="H218" s="195">
        <f t="shared" si="6"/>
        <v>0</v>
      </c>
      <c r="I218" s="139"/>
      <c r="J218" s="197"/>
      <c r="K218" s="198"/>
      <c r="L218" s="198"/>
      <c r="M218" s="139"/>
      <c r="N218" s="139"/>
      <c r="O218" s="195"/>
      <c r="P218" s="141"/>
      <c r="Q218" s="199">
        <f t="shared" si="7"/>
        <v>0</v>
      </c>
      <c r="R218" s="200" t="str">
        <f t="shared" si="8"/>
        <v/>
      </c>
      <c r="S218" s="200">
        <f t="shared" si="9"/>
        <v>0</v>
      </c>
      <c r="T218" s="203"/>
      <c r="U218" s="199">
        <f t="shared" ref="U218:V218" si="204">C218/100</f>
        <v>0</v>
      </c>
      <c r="V218" s="199">
        <f t="shared" si="204"/>
        <v>0</v>
      </c>
      <c r="W218" s="199">
        <f t="shared" si="12"/>
        <v>0</v>
      </c>
      <c r="X218" s="202">
        <f t="shared" si="13"/>
        <v>0</v>
      </c>
      <c r="Y218" s="139"/>
      <c r="Z218" s="139"/>
      <c r="AA218" s="139"/>
      <c r="AB218" s="139"/>
      <c r="AC218" s="139"/>
      <c r="AD218" s="139"/>
      <c r="AE218" s="139"/>
      <c r="AF218" s="139"/>
      <c r="AG218" s="139"/>
      <c r="AH218" s="139"/>
      <c r="AI218" s="139"/>
    </row>
    <row r="219" ht="27.0" hidden="1" customHeight="1">
      <c r="A219" s="162">
        <v>188.0</v>
      </c>
      <c r="B219" s="193"/>
      <c r="C219" s="193"/>
      <c r="D219" s="193"/>
      <c r="E219" s="193"/>
      <c r="F219" s="194" t="str">
        <f t="shared" si="5"/>
        <v/>
      </c>
      <c r="G219" s="193"/>
      <c r="H219" s="195">
        <f t="shared" si="6"/>
        <v>0</v>
      </c>
      <c r="I219" s="139"/>
      <c r="J219" s="197"/>
      <c r="K219" s="198"/>
      <c r="L219" s="198"/>
      <c r="M219" s="139"/>
      <c r="N219" s="139"/>
      <c r="O219" s="195"/>
      <c r="P219" s="141"/>
      <c r="Q219" s="199">
        <f t="shared" si="7"/>
        <v>0</v>
      </c>
      <c r="R219" s="200" t="str">
        <f t="shared" si="8"/>
        <v/>
      </c>
      <c r="S219" s="200">
        <f t="shared" si="9"/>
        <v>0</v>
      </c>
      <c r="T219" s="203"/>
      <c r="U219" s="199">
        <f t="shared" ref="U219:V219" si="205">C219/100</f>
        <v>0</v>
      </c>
      <c r="V219" s="199">
        <f t="shared" si="205"/>
        <v>0</v>
      </c>
      <c r="W219" s="199">
        <f t="shared" si="12"/>
        <v>0</v>
      </c>
      <c r="X219" s="202">
        <f t="shared" si="13"/>
        <v>0</v>
      </c>
      <c r="Y219" s="139"/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</row>
    <row r="220" ht="27.0" hidden="1" customHeight="1">
      <c r="A220" s="162">
        <v>189.0</v>
      </c>
      <c r="B220" s="193"/>
      <c r="C220" s="193"/>
      <c r="D220" s="193"/>
      <c r="E220" s="193"/>
      <c r="F220" s="194" t="str">
        <f t="shared" si="5"/>
        <v/>
      </c>
      <c r="G220" s="193"/>
      <c r="H220" s="195">
        <f t="shared" si="6"/>
        <v>0</v>
      </c>
      <c r="I220" s="139"/>
      <c r="J220" s="197"/>
      <c r="K220" s="198"/>
      <c r="L220" s="198"/>
      <c r="M220" s="139"/>
      <c r="N220" s="139"/>
      <c r="O220" s="195"/>
      <c r="P220" s="141"/>
      <c r="Q220" s="199">
        <f t="shared" si="7"/>
        <v>0</v>
      </c>
      <c r="R220" s="200" t="str">
        <f t="shared" si="8"/>
        <v/>
      </c>
      <c r="S220" s="200">
        <f t="shared" si="9"/>
        <v>0</v>
      </c>
      <c r="T220" s="203"/>
      <c r="U220" s="199">
        <f t="shared" ref="U220:V220" si="206">C220/100</f>
        <v>0</v>
      </c>
      <c r="V220" s="199">
        <f t="shared" si="206"/>
        <v>0</v>
      </c>
      <c r="W220" s="199">
        <f t="shared" si="12"/>
        <v>0</v>
      </c>
      <c r="X220" s="202">
        <f t="shared" si="13"/>
        <v>0</v>
      </c>
      <c r="Y220" s="139"/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</row>
    <row r="221" ht="27.0" hidden="1" customHeight="1">
      <c r="A221" s="162">
        <v>190.0</v>
      </c>
      <c r="B221" s="193"/>
      <c r="C221" s="193"/>
      <c r="D221" s="193"/>
      <c r="E221" s="193"/>
      <c r="F221" s="194" t="str">
        <f t="shared" si="5"/>
        <v/>
      </c>
      <c r="G221" s="193"/>
      <c r="H221" s="195">
        <f t="shared" si="6"/>
        <v>0</v>
      </c>
      <c r="I221" s="139"/>
      <c r="J221" s="197"/>
      <c r="K221" s="198"/>
      <c r="L221" s="198"/>
      <c r="M221" s="139"/>
      <c r="N221" s="139"/>
      <c r="O221" s="195"/>
      <c r="P221" s="141"/>
      <c r="Q221" s="199">
        <f t="shared" si="7"/>
        <v>0</v>
      </c>
      <c r="R221" s="200" t="str">
        <f t="shared" si="8"/>
        <v/>
      </c>
      <c r="S221" s="200">
        <f t="shared" si="9"/>
        <v>0</v>
      </c>
      <c r="T221" s="203"/>
      <c r="U221" s="199">
        <f t="shared" ref="U221:V221" si="207">C221/100</f>
        <v>0</v>
      </c>
      <c r="V221" s="199">
        <f t="shared" si="207"/>
        <v>0</v>
      </c>
      <c r="W221" s="199">
        <f t="shared" si="12"/>
        <v>0</v>
      </c>
      <c r="X221" s="202">
        <f t="shared" si="13"/>
        <v>0</v>
      </c>
      <c r="Y221" s="139"/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</row>
    <row r="222" ht="27.0" hidden="1" customHeight="1">
      <c r="A222" s="162">
        <v>191.0</v>
      </c>
      <c r="B222" s="193"/>
      <c r="C222" s="193"/>
      <c r="D222" s="193"/>
      <c r="E222" s="193"/>
      <c r="F222" s="194" t="str">
        <f t="shared" si="5"/>
        <v/>
      </c>
      <c r="G222" s="193"/>
      <c r="H222" s="195">
        <f t="shared" si="6"/>
        <v>0</v>
      </c>
      <c r="I222" s="139"/>
      <c r="J222" s="197"/>
      <c r="K222" s="198"/>
      <c r="L222" s="198"/>
      <c r="M222" s="139"/>
      <c r="N222" s="139"/>
      <c r="O222" s="195"/>
      <c r="P222" s="141"/>
      <c r="Q222" s="199">
        <f t="shared" si="7"/>
        <v>0</v>
      </c>
      <c r="R222" s="200" t="str">
        <f t="shared" si="8"/>
        <v/>
      </c>
      <c r="S222" s="200">
        <f t="shared" si="9"/>
        <v>0</v>
      </c>
      <c r="T222" s="203"/>
      <c r="U222" s="199">
        <f t="shared" ref="U222:V222" si="208">C222/100</f>
        <v>0</v>
      </c>
      <c r="V222" s="199">
        <f t="shared" si="208"/>
        <v>0</v>
      </c>
      <c r="W222" s="199">
        <f t="shared" si="12"/>
        <v>0</v>
      </c>
      <c r="X222" s="202">
        <f t="shared" si="13"/>
        <v>0</v>
      </c>
      <c r="Y222" s="139"/>
      <c r="Z222" s="139"/>
      <c r="AA222" s="139"/>
      <c r="AB222" s="139"/>
      <c r="AC222" s="139"/>
      <c r="AD222" s="139"/>
      <c r="AE222" s="139"/>
      <c r="AF222" s="139"/>
      <c r="AG222" s="139"/>
      <c r="AH222" s="139"/>
      <c r="AI222" s="139"/>
    </row>
    <row r="223" ht="27.0" hidden="1" customHeight="1">
      <c r="A223" s="162">
        <v>192.0</v>
      </c>
      <c r="B223" s="193"/>
      <c r="C223" s="193"/>
      <c r="D223" s="193"/>
      <c r="E223" s="193"/>
      <c r="F223" s="194" t="str">
        <f t="shared" si="5"/>
        <v/>
      </c>
      <c r="G223" s="193"/>
      <c r="H223" s="195">
        <f t="shared" si="6"/>
        <v>0</v>
      </c>
      <c r="I223" s="139"/>
      <c r="J223" s="197"/>
      <c r="K223" s="198"/>
      <c r="L223" s="198"/>
      <c r="M223" s="139"/>
      <c r="N223" s="139"/>
      <c r="O223" s="195"/>
      <c r="P223" s="141"/>
      <c r="Q223" s="199">
        <f t="shared" si="7"/>
        <v>0</v>
      </c>
      <c r="R223" s="200" t="str">
        <f t="shared" si="8"/>
        <v/>
      </c>
      <c r="S223" s="200">
        <f t="shared" si="9"/>
        <v>0</v>
      </c>
      <c r="T223" s="203"/>
      <c r="U223" s="199">
        <f t="shared" ref="U223:V223" si="209">C223/100</f>
        <v>0</v>
      </c>
      <c r="V223" s="199">
        <f t="shared" si="209"/>
        <v>0</v>
      </c>
      <c r="W223" s="199">
        <f t="shared" si="12"/>
        <v>0</v>
      </c>
      <c r="X223" s="202">
        <f t="shared" si="13"/>
        <v>0</v>
      </c>
      <c r="Y223" s="139"/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</row>
    <row r="224" ht="27.0" hidden="1" customHeight="1">
      <c r="A224" s="162">
        <v>193.0</v>
      </c>
      <c r="B224" s="193"/>
      <c r="C224" s="193"/>
      <c r="D224" s="193"/>
      <c r="E224" s="193"/>
      <c r="F224" s="194" t="str">
        <f t="shared" si="5"/>
        <v/>
      </c>
      <c r="G224" s="193"/>
      <c r="H224" s="195">
        <f t="shared" si="6"/>
        <v>0</v>
      </c>
      <c r="I224" s="139"/>
      <c r="J224" s="197"/>
      <c r="K224" s="198"/>
      <c r="L224" s="198"/>
      <c r="M224" s="139"/>
      <c r="N224" s="139"/>
      <c r="O224" s="195"/>
      <c r="P224" s="141"/>
      <c r="Q224" s="199">
        <f t="shared" si="7"/>
        <v>0</v>
      </c>
      <c r="R224" s="200" t="str">
        <f t="shared" si="8"/>
        <v/>
      </c>
      <c r="S224" s="200">
        <f t="shared" si="9"/>
        <v>0</v>
      </c>
      <c r="T224" s="203"/>
      <c r="U224" s="199">
        <f t="shared" ref="U224:V224" si="210">C224/100</f>
        <v>0</v>
      </c>
      <c r="V224" s="199">
        <f t="shared" si="210"/>
        <v>0</v>
      </c>
      <c r="W224" s="199">
        <f t="shared" si="12"/>
        <v>0</v>
      </c>
      <c r="X224" s="202">
        <f t="shared" si="13"/>
        <v>0</v>
      </c>
      <c r="Y224" s="139"/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</row>
    <row r="225" ht="27.0" hidden="1" customHeight="1">
      <c r="A225" s="162">
        <v>194.0</v>
      </c>
      <c r="B225" s="193"/>
      <c r="C225" s="193"/>
      <c r="D225" s="193"/>
      <c r="E225" s="193"/>
      <c r="F225" s="194" t="str">
        <f t="shared" si="5"/>
        <v/>
      </c>
      <c r="G225" s="193"/>
      <c r="H225" s="195">
        <f t="shared" si="6"/>
        <v>0</v>
      </c>
      <c r="I225" s="139"/>
      <c r="J225" s="197"/>
      <c r="K225" s="198"/>
      <c r="L225" s="198"/>
      <c r="M225" s="139"/>
      <c r="N225" s="139"/>
      <c r="O225" s="195"/>
      <c r="P225" s="141"/>
      <c r="Q225" s="199">
        <f t="shared" si="7"/>
        <v>0</v>
      </c>
      <c r="R225" s="200" t="str">
        <f t="shared" si="8"/>
        <v/>
      </c>
      <c r="S225" s="200">
        <f t="shared" si="9"/>
        <v>0</v>
      </c>
      <c r="T225" s="203"/>
      <c r="U225" s="199">
        <f t="shared" ref="U225:V225" si="211">C225/100</f>
        <v>0</v>
      </c>
      <c r="V225" s="199">
        <f t="shared" si="211"/>
        <v>0</v>
      </c>
      <c r="W225" s="199">
        <f t="shared" si="12"/>
        <v>0</v>
      </c>
      <c r="X225" s="202">
        <f t="shared" si="13"/>
        <v>0</v>
      </c>
      <c r="Y225" s="139"/>
      <c r="Z225" s="139"/>
      <c r="AA225" s="139"/>
      <c r="AB225" s="139"/>
      <c r="AC225" s="139"/>
      <c r="AD225" s="139"/>
      <c r="AE225" s="139"/>
      <c r="AF225" s="139"/>
      <c r="AG225" s="139"/>
      <c r="AH225" s="139"/>
      <c r="AI225" s="139"/>
    </row>
    <row r="226" ht="27.0" hidden="1" customHeight="1">
      <c r="A226" s="162">
        <v>195.0</v>
      </c>
      <c r="B226" s="193"/>
      <c r="C226" s="193"/>
      <c r="D226" s="193"/>
      <c r="E226" s="193"/>
      <c r="F226" s="194" t="str">
        <f t="shared" si="5"/>
        <v/>
      </c>
      <c r="G226" s="193"/>
      <c r="H226" s="195">
        <f t="shared" si="6"/>
        <v>0</v>
      </c>
      <c r="I226" s="139"/>
      <c r="J226" s="197"/>
      <c r="K226" s="198"/>
      <c r="L226" s="198"/>
      <c r="M226" s="139"/>
      <c r="N226" s="139"/>
      <c r="O226" s="195"/>
      <c r="P226" s="141"/>
      <c r="Q226" s="199">
        <f t="shared" si="7"/>
        <v>0</v>
      </c>
      <c r="R226" s="200" t="str">
        <f t="shared" si="8"/>
        <v/>
      </c>
      <c r="S226" s="200">
        <f t="shared" si="9"/>
        <v>0</v>
      </c>
      <c r="T226" s="203"/>
      <c r="U226" s="199">
        <f t="shared" ref="U226:V226" si="212">C226/100</f>
        <v>0</v>
      </c>
      <c r="V226" s="199">
        <f t="shared" si="212"/>
        <v>0</v>
      </c>
      <c r="W226" s="199">
        <f t="shared" si="12"/>
        <v>0</v>
      </c>
      <c r="X226" s="202">
        <f t="shared" si="13"/>
        <v>0</v>
      </c>
      <c r="Y226" s="139"/>
      <c r="Z226" s="139"/>
      <c r="AA226" s="139"/>
      <c r="AB226" s="139"/>
      <c r="AC226" s="139"/>
      <c r="AD226" s="139"/>
      <c r="AE226" s="139"/>
      <c r="AF226" s="139"/>
      <c r="AG226" s="139"/>
      <c r="AH226" s="139"/>
      <c r="AI226" s="139"/>
    </row>
    <row r="227" ht="27.0" hidden="1" customHeight="1">
      <c r="A227" s="162">
        <v>196.0</v>
      </c>
      <c r="B227" s="193"/>
      <c r="C227" s="193"/>
      <c r="D227" s="193"/>
      <c r="E227" s="193"/>
      <c r="F227" s="194" t="str">
        <f t="shared" si="5"/>
        <v/>
      </c>
      <c r="G227" s="193"/>
      <c r="H227" s="195">
        <f t="shared" si="6"/>
        <v>0</v>
      </c>
      <c r="I227" s="139"/>
      <c r="J227" s="197"/>
      <c r="K227" s="198"/>
      <c r="L227" s="198"/>
      <c r="M227" s="139"/>
      <c r="N227" s="139"/>
      <c r="O227" s="195"/>
      <c r="P227" s="141"/>
      <c r="Q227" s="199">
        <f t="shared" si="7"/>
        <v>0</v>
      </c>
      <c r="R227" s="200" t="str">
        <f t="shared" si="8"/>
        <v/>
      </c>
      <c r="S227" s="200">
        <f t="shared" si="9"/>
        <v>0</v>
      </c>
      <c r="T227" s="203"/>
      <c r="U227" s="199">
        <f t="shared" ref="U227:V227" si="213">C227/100</f>
        <v>0</v>
      </c>
      <c r="V227" s="199">
        <f t="shared" si="213"/>
        <v>0</v>
      </c>
      <c r="W227" s="199">
        <f t="shared" si="12"/>
        <v>0</v>
      </c>
      <c r="X227" s="202">
        <f t="shared" si="13"/>
        <v>0</v>
      </c>
      <c r="Y227" s="139"/>
      <c r="Z227" s="139"/>
      <c r="AA227" s="139"/>
      <c r="AB227" s="139"/>
      <c r="AC227" s="139"/>
      <c r="AD227" s="139"/>
      <c r="AE227" s="139"/>
      <c r="AF227" s="139"/>
      <c r="AG227" s="139"/>
      <c r="AH227" s="139"/>
      <c r="AI227" s="139"/>
    </row>
    <row r="228" ht="27.0" hidden="1" customHeight="1">
      <c r="A228" s="162">
        <v>197.0</v>
      </c>
      <c r="B228" s="193"/>
      <c r="C228" s="193"/>
      <c r="D228" s="193"/>
      <c r="E228" s="193"/>
      <c r="F228" s="194" t="str">
        <f t="shared" si="5"/>
        <v/>
      </c>
      <c r="G228" s="193"/>
      <c r="H228" s="195">
        <f t="shared" si="6"/>
        <v>0</v>
      </c>
      <c r="I228" s="139"/>
      <c r="J228" s="197"/>
      <c r="K228" s="198"/>
      <c r="L228" s="198"/>
      <c r="M228" s="139"/>
      <c r="N228" s="139"/>
      <c r="O228" s="195"/>
      <c r="P228" s="141"/>
      <c r="Q228" s="199">
        <f t="shared" si="7"/>
        <v>0</v>
      </c>
      <c r="R228" s="200" t="str">
        <f t="shared" si="8"/>
        <v/>
      </c>
      <c r="S228" s="200">
        <f t="shared" si="9"/>
        <v>0</v>
      </c>
      <c r="T228" s="203"/>
      <c r="U228" s="199">
        <f t="shared" ref="U228:V228" si="214">C228/100</f>
        <v>0</v>
      </c>
      <c r="V228" s="199">
        <f t="shared" si="214"/>
        <v>0</v>
      </c>
      <c r="W228" s="199">
        <f t="shared" si="12"/>
        <v>0</v>
      </c>
      <c r="X228" s="202">
        <f t="shared" si="13"/>
        <v>0</v>
      </c>
      <c r="Y228" s="139"/>
      <c r="Z228" s="139"/>
      <c r="AA228" s="139"/>
      <c r="AB228" s="139"/>
      <c r="AC228" s="139"/>
      <c r="AD228" s="139"/>
      <c r="AE228" s="139"/>
      <c r="AF228" s="139"/>
      <c r="AG228" s="139"/>
      <c r="AH228" s="139"/>
      <c r="AI228" s="139"/>
    </row>
    <row r="229" ht="27.0" hidden="1" customHeight="1">
      <c r="A229" s="162">
        <v>198.0</v>
      </c>
      <c r="B229" s="193"/>
      <c r="C229" s="193"/>
      <c r="D229" s="193"/>
      <c r="E229" s="193"/>
      <c r="F229" s="194" t="str">
        <f t="shared" si="5"/>
        <v/>
      </c>
      <c r="G229" s="193"/>
      <c r="H229" s="195">
        <f t="shared" si="6"/>
        <v>0</v>
      </c>
      <c r="I229" s="139"/>
      <c r="J229" s="197"/>
      <c r="K229" s="198"/>
      <c r="L229" s="198"/>
      <c r="M229" s="139"/>
      <c r="N229" s="139"/>
      <c r="O229" s="195"/>
      <c r="P229" s="141"/>
      <c r="Q229" s="199">
        <f t="shared" si="7"/>
        <v>0</v>
      </c>
      <c r="R229" s="200" t="str">
        <f t="shared" si="8"/>
        <v/>
      </c>
      <c r="S229" s="200">
        <f t="shared" si="9"/>
        <v>0</v>
      </c>
      <c r="T229" s="203"/>
      <c r="U229" s="199">
        <f t="shared" ref="U229:V229" si="215">C229/100</f>
        <v>0</v>
      </c>
      <c r="V229" s="199">
        <f t="shared" si="215"/>
        <v>0</v>
      </c>
      <c r="W229" s="199">
        <f t="shared" si="12"/>
        <v>0</v>
      </c>
      <c r="X229" s="202">
        <f t="shared" si="13"/>
        <v>0</v>
      </c>
      <c r="Y229" s="139"/>
      <c r="Z229" s="139"/>
      <c r="AA229" s="139"/>
      <c r="AB229" s="139"/>
      <c r="AC229" s="139"/>
      <c r="AD229" s="139"/>
      <c r="AE229" s="139"/>
      <c r="AF229" s="139"/>
      <c r="AG229" s="139"/>
      <c r="AH229" s="139"/>
      <c r="AI229" s="139"/>
    </row>
    <row r="230" ht="27.0" hidden="1" customHeight="1">
      <c r="A230" s="162">
        <v>199.0</v>
      </c>
      <c r="B230" s="193"/>
      <c r="C230" s="193"/>
      <c r="D230" s="193"/>
      <c r="E230" s="193"/>
      <c r="F230" s="194" t="str">
        <f t="shared" si="5"/>
        <v/>
      </c>
      <c r="G230" s="193"/>
      <c r="H230" s="195">
        <f t="shared" si="6"/>
        <v>0</v>
      </c>
      <c r="I230" s="139"/>
      <c r="J230" s="197"/>
      <c r="K230" s="198"/>
      <c r="L230" s="198"/>
      <c r="M230" s="139"/>
      <c r="N230" s="139"/>
      <c r="O230" s="195"/>
      <c r="P230" s="141"/>
      <c r="Q230" s="199">
        <f t="shared" si="7"/>
        <v>0</v>
      </c>
      <c r="R230" s="200" t="str">
        <f t="shared" si="8"/>
        <v/>
      </c>
      <c r="S230" s="200">
        <f t="shared" si="9"/>
        <v>0</v>
      </c>
      <c r="T230" s="203"/>
      <c r="U230" s="199">
        <f t="shared" ref="U230:V230" si="216">C230/100</f>
        <v>0</v>
      </c>
      <c r="V230" s="199">
        <f t="shared" si="216"/>
        <v>0</v>
      </c>
      <c r="W230" s="199">
        <f t="shared" si="12"/>
        <v>0</v>
      </c>
      <c r="X230" s="202">
        <f t="shared" si="13"/>
        <v>0</v>
      </c>
      <c r="Y230" s="139"/>
      <c r="Z230" s="139"/>
      <c r="AA230" s="139"/>
      <c r="AB230" s="139"/>
      <c r="AC230" s="139"/>
      <c r="AD230" s="139"/>
      <c r="AE230" s="139"/>
      <c r="AF230" s="139"/>
      <c r="AG230" s="139"/>
      <c r="AH230" s="139"/>
      <c r="AI230" s="139"/>
    </row>
    <row r="231" ht="27.0" hidden="1" customHeight="1">
      <c r="A231" s="162">
        <v>200.0</v>
      </c>
      <c r="B231" s="193"/>
      <c r="C231" s="193"/>
      <c r="D231" s="193"/>
      <c r="E231" s="193"/>
      <c r="F231" s="194" t="str">
        <f t="shared" si="5"/>
        <v/>
      </c>
      <c r="G231" s="193"/>
      <c r="H231" s="195">
        <f t="shared" si="6"/>
        <v>0</v>
      </c>
      <c r="I231" s="139"/>
      <c r="J231" s="197"/>
      <c r="K231" s="198"/>
      <c r="L231" s="198"/>
      <c r="M231" s="139"/>
      <c r="N231" s="139"/>
      <c r="O231" s="195"/>
      <c r="P231" s="141"/>
      <c r="Q231" s="199">
        <f t="shared" si="7"/>
        <v>0</v>
      </c>
      <c r="R231" s="200" t="str">
        <f t="shared" si="8"/>
        <v/>
      </c>
      <c r="S231" s="200">
        <f t="shared" si="9"/>
        <v>0</v>
      </c>
      <c r="T231" s="203"/>
      <c r="U231" s="199">
        <f t="shared" ref="U231:V231" si="217">C231/100</f>
        <v>0</v>
      </c>
      <c r="V231" s="199">
        <f t="shared" si="217"/>
        <v>0</v>
      </c>
      <c r="W231" s="199">
        <f t="shared" si="12"/>
        <v>0</v>
      </c>
      <c r="X231" s="202">
        <f t="shared" si="13"/>
        <v>0</v>
      </c>
      <c r="Y231" s="139"/>
      <c r="Z231" s="139"/>
      <c r="AA231" s="139"/>
      <c r="AB231" s="139"/>
      <c r="AC231" s="139"/>
      <c r="AD231" s="139"/>
      <c r="AE231" s="139"/>
      <c r="AF231" s="139"/>
      <c r="AG231" s="139"/>
      <c r="AH231" s="139"/>
      <c r="AI231" s="139"/>
    </row>
    <row r="232" ht="27.0" hidden="1" customHeight="1">
      <c r="A232" s="162">
        <v>201.0</v>
      </c>
      <c r="B232" s="193"/>
      <c r="C232" s="193"/>
      <c r="D232" s="193"/>
      <c r="E232" s="193"/>
      <c r="F232" s="194" t="str">
        <f t="shared" si="5"/>
        <v/>
      </c>
      <c r="G232" s="193"/>
      <c r="H232" s="195">
        <f t="shared" si="6"/>
        <v>0</v>
      </c>
      <c r="I232" s="139"/>
      <c r="J232" s="197"/>
      <c r="K232" s="198"/>
      <c r="L232" s="198"/>
      <c r="M232" s="139"/>
      <c r="N232" s="139"/>
      <c r="O232" s="195"/>
      <c r="P232" s="141"/>
      <c r="Q232" s="199">
        <f t="shared" si="7"/>
        <v>0</v>
      </c>
      <c r="R232" s="200" t="str">
        <f t="shared" si="8"/>
        <v/>
      </c>
      <c r="S232" s="200">
        <f t="shared" si="9"/>
        <v>0</v>
      </c>
      <c r="T232" s="203"/>
      <c r="U232" s="199">
        <f t="shared" ref="U232:V232" si="218">C232/100</f>
        <v>0</v>
      </c>
      <c r="V232" s="199">
        <f t="shared" si="218"/>
        <v>0</v>
      </c>
      <c r="W232" s="199">
        <f t="shared" si="12"/>
        <v>0</v>
      </c>
      <c r="X232" s="202">
        <f t="shared" si="13"/>
        <v>0</v>
      </c>
      <c r="Y232" s="139"/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</row>
    <row r="233" ht="27.0" hidden="1" customHeight="1">
      <c r="A233" s="162">
        <v>202.0</v>
      </c>
      <c r="B233" s="193"/>
      <c r="C233" s="193"/>
      <c r="D233" s="193"/>
      <c r="E233" s="193"/>
      <c r="F233" s="194" t="str">
        <f t="shared" si="5"/>
        <v/>
      </c>
      <c r="G233" s="193"/>
      <c r="H233" s="195">
        <f t="shared" si="6"/>
        <v>0</v>
      </c>
      <c r="I233" s="139"/>
      <c r="J233" s="197"/>
      <c r="K233" s="198"/>
      <c r="L233" s="198"/>
      <c r="M233" s="139"/>
      <c r="N233" s="139"/>
      <c r="O233" s="195"/>
      <c r="P233" s="141"/>
      <c r="Q233" s="199">
        <f t="shared" si="7"/>
        <v>0</v>
      </c>
      <c r="R233" s="200" t="str">
        <f t="shared" si="8"/>
        <v/>
      </c>
      <c r="S233" s="200">
        <f t="shared" si="9"/>
        <v>0</v>
      </c>
      <c r="T233" s="203"/>
      <c r="U233" s="199">
        <f t="shared" ref="U233:V233" si="219">C233/100</f>
        <v>0</v>
      </c>
      <c r="V233" s="199">
        <f t="shared" si="219"/>
        <v>0</v>
      </c>
      <c r="W233" s="199">
        <f t="shared" si="12"/>
        <v>0</v>
      </c>
      <c r="X233" s="202">
        <f t="shared" si="13"/>
        <v>0</v>
      </c>
      <c r="Y233" s="139"/>
      <c r="Z233" s="139"/>
      <c r="AA233" s="139"/>
      <c r="AB233" s="139"/>
      <c r="AC233" s="139"/>
      <c r="AD233" s="139"/>
      <c r="AE233" s="139"/>
      <c r="AF233" s="139"/>
      <c r="AG233" s="139"/>
      <c r="AH233" s="139"/>
      <c r="AI233" s="139"/>
    </row>
    <row r="234" ht="27.0" hidden="1" customHeight="1">
      <c r="A234" s="162">
        <v>203.0</v>
      </c>
      <c r="B234" s="193"/>
      <c r="C234" s="193"/>
      <c r="D234" s="193"/>
      <c r="E234" s="193"/>
      <c r="F234" s="194" t="str">
        <f t="shared" si="5"/>
        <v/>
      </c>
      <c r="G234" s="193"/>
      <c r="H234" s="195">
        <f t="shared" si="6"/>
        <v>0</v>
      </c>
      <c r="I234" s="139"/>
      <c r="J234" s="197"/>
      <c r="K234" s="198"/>
      <c r="L234" s="198"/>
      <c r="M234" s="139"/>
      <c r="N234" s="139"/>
      <c r="O234" s="195"/>
      <c r="P234" s="141"/>
      <c r="Q234" s="199">
        <f t="shared" si="7"/>
        <v>0</v>
      </c>
      <c r="R234" s="200" t="str">
        <f t="shared" si="8"/>
        <v/>
      </c>
      <c r="S234" s="200">
        <f t="shared" si="9"/>
        <v>0</v>
      </c>
      <c r="T234" s="203"/>
      <c r="U234" s="199">
        <f t="shared" ref="U234:V234" si="220">C234/100</f>
        <v>0</v>
      </c>
      <c r="V234" s="199">
        <f t="shared" si="220"/>
        <v>0</v>
      </c>
      <c r="W234" s="199">
        <f t="shared" si="12"/>
        <v>0</v>
      </c>
      <c r="X234" s="202">
        <f t="shared" si="13"/>
        <v>0</v>
      </c>
      <c r="Y234" s="139"/>
      <c r="Z234" s="139"/>
      <c r="AA234" s="139"/>
      <c r="AB234" s="139"/>
      <c r="AC234" s="139"/>
      <c r="AD234" s="139"/>
      <c r="AE234" s="139"/>
      <c r="AF234" s="139"/>
      <c r="AG234" s="139"/>
      <c r="AH234" s="139"/>
      <c r="AI234" s="139"/>
    </row>
    <row r="235" ht="27.0" hidden="1" customHeight="1">
      <c r="A235" s="162">
        <v>204.0</v>
      </c>
      <c r="B235" s="193"/>
      <c r="C235" s="193"/>
      <c r="D235" s="193"/>
      <c r="E235" s="193"/>
      <c r="F235" s="194" t="str">
        <f t="shared" si="5"/>
        <v/>
      </c>
      <c r="G235" s="193"/>
      <c r="H235" s="195">
        <f t="shared" si="6"/>
        <v>0</v>
      </c>
      <c r="I235" s="139"/>
      <c r="J235" s="197"/>
      <c r="K235" s="198"/>
      <c r="L235" s="198"/>
      <c r="M235" s="139"/>
      <c r="N235" s="139"/>
      <c r="O235" s="195"/>
      <c r="P235" s="141"/>
      <c r="Q235" s="199">
        <f t="shared" si="7"/>
        <v>0</v>
      </c>
      <c r="R235" s="200" t="str">
        <f t="shared" si="8"/>
        <v/>
      </c>
      <c r="S235" s="200">
        <f t="shared" si="9"/>
        <v>0</v>
      </c>
      <c r="T235" s="203"/>
      <c r="U235" s="199">
        <f t="shared" ref="U235:V235" si="221">C235/100</f>
        <v>0</v>
      </c>
      <c r="V235" s="199">
        <f t="shared" si="221"/>
        <v>0</v>
      </c>
      <c r="W235" s="199">
        <f t="shared" si="12"/>
        <v>0</v>
      </c>
      <c r="X235" s="202">
        <f t="shared" si="13"/>
        <v>0</v>
      </c>
      <c r="Y235" s="139"/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</row>
    <row r="236" ht="27.0" hidden="1" customHeight="1">
      <c r="A236" s="162">
        <v>205.0</v>
      </c>
      <c r="B236" s="193"/>
      <c r="C236" s="193"/>
      <c r="D236" s="193"/>
      <c r="E236" s="193"/>
      <c r="F236" s="194" t="str">
        <f t="shared" si="5"/>
        <v/>
      </c>
      <c r="G236" s="193"/>
      <c r="H236" s="195">
        <f t="shared" si="6"/>
        <v>0</v>
      </c>
      <c r="I236" s="139"/>
      <c r="J236" s="197"/>
      <c r="K236" s="198"/>
      <c r="L236" s="198"/>
      <c r="M236" s="139"/>
      <c r="N236" s="139"/>
      <c r="O236" s="195"/>
      <c r="P236" s="141"/>
      <c r="Q236" s="199">
        <f t="shared" si="7"/>
        <v>0</v>
      </c>
      <c r="R236" s="200" t="str">
        <f t="shared" si="8"/>
        <v/>
      </c>
      <c r="S236" s="200">
        <f t="shared" si="9"/>
        <v>0</v>
      </c>
      <c r="T236" s="203"/>
      <c r="U236" s="199">
        <f t="shared" ref="U236:V236" si="222">C236/100</f>
        <v>0</v>
      </c>
      <c r="V236" s="199">
        <f t="shared" si="222"/>
        <v>0</v>
      </c>
      <c r="W236" s="199">
        <f t="shared" si="12"/>
        <v>0</v>
      </c>
      <c r="X236" s="202">
        <f t="shared" si="13"/>
        <v>0</v>
      </c>
      <c r="Y236" s="139"/>
      <c r="Z236" s="139"/>
      <c r="AA236" s="139"/>
      <c r="AB236" s="139"/>
      <c r="AC236" s="139"/>
      <c r="AD236" s="139"/>
      <c r="AE236" s="139"/>
      <c r="AF236" s="139"/>
      <c r="AG236" s="139"/>
      <c r="AH236" s="139"/>
      <c r="AI236" s="139"/>
    </row>
    <row r="237" ht="27.0" hidden="1" customHeight="1">
      <c r="A237" s="162">
        <v>206.0</v>
      </c>
      <c r="B237" s="193"/>
      <c r="C237" s="193"/>
      <c r="D237" s="193"/>
      <c r="E237" s="193"/>
      <c r="F237" s="194" t="str">
        <f t="shared" si="5"/>
        <v/>
      </c>
      <c r="G237" s="193"/>
      <c r="H237" s="195">
        <f t="shared" si="6"/>
        <v>0</v>
      </c>
      <c r="I237" s="139"/>
      <c r="J237" s="197"/>
      <c r="K237" s="198"/>
      <c r="L237" s="198"/>
      <c r="M237" s="139"/>
      <c r="N237" s="139"/>
      <c r="O237" s="195"/>
      <c r="P237" s="141"/>
      <c r="Q237" s="199">
        <f t="shared" si="7"/>
        <v>0</v>
      </c>
      <c r="R237" s="200" t="str">
        <f t="shared" si="8"/>
        <v/>
      </c>
      <c r="S237" s="200">
        <f t="shared" si="9"/>
        <v>0</v>
      </c>
      <c r="T237" s="203"/>
      <c r="U237" s="199">
        <f t="shared" ref="U237:V237" si="223">C237/100</f>
        <v>0</v>
      </c>
      <c r="V237" s="199">
        <f t="shared" si="223"/>
        <v>0</v>
      </c>
      <c r="W237" s="199">
        <f t="shared" si="12"/>
        <v>0</v>
      </c>
      <c r="X237" s="202">
        <f t="shared" si="13"/>
        <v>0</v>
      </c>
      <c r="Y237" s="139"/>
      <c r="Z237" s="139"/>
      <c r="AA237" s="139"/>
      <c r="AB237" s="139"/>
      <c r="AC237" s="139"/>
      <c r="AD237" s="139"/>
      <c r="AE237" s="139"/>
      <c r="AF237" s="139"/>
      <c r="AG237" s="139"/>
      <c r="AH237" s="139"/>
      <c r="AI237" s="139"/>
    </row>
    <row r="238" ht="27.0" hidden="1" customHeight="1">
      <c r="A238" s="162">
        <v>207.0</v>
      </c>
      <c r="B238" s="193"/>
      <c r="C238" s="193"/>
      <c r="D238" s="193"/>
      <c r="E238" s="193"/>
      <c r="F238" s="194" t="str">
        <f t="shared" si="5"/>
        <v/>
      </c>
      <c r="G238" s="193"/>
      <c r="H238" s="195">
        <f t="shared" si="6"/>
        <v>0</v>
      </c>
      <c r="I238" s="139"/>
      <c r="J238" s="197"/>
      <c r="K238" s="198"/>
      <c r="L238" s="198"/>
      <c r="M238" s="139"/>
      <c r="N238" s="139"/>
      <c r="O238" s="195"/>
      <c r="P238" s="141"/>
      <c r="Q238" s="199">
        <f t="shared" si="7"/>
        <v>0</v>
      </c>
      <c r="R238" s="200" t="str">
        <f t="shared" si="8"/>
        <v/>
      </c>
      <c r="S238" s="200">
        <f t="shared" si="9"/>
        <v>0</v>
      </c>
      <c r="T238" s="203"/>
      <c r="U238" s="199">
        <f t="shared" ref="U238:V238" si="224">C238/100</f>
        <v>0</v>
      </c>
      <c r="V238" s="199">
        <f t="shared" si="224"/>
        <v>0</v>
      </c>
      <c r="W238" s="199">
        <f t="shared" si="12"/>
        <v>0</v>
      </c>
      <c r="X238" s="202">
        <f t="shared" si="13"/>
        <v>0</v>
      </c>
      <c r="Y238" s="139"/>
      <c r="Z238" s="139"/>
      <c r="AA238" s="139"/>
      <c r="AB238" s="139"/>
      <c r="AC238" s="139"/>
      <c r="AD238" s="139"/>
      <c r="AE238" s="139"/>
      <c r="AF238" s="139"/>
      <c r="AG238" s="139"/>
      <c r="AH238" s="139"/>
      <c r="AI238" s="139"/>
    </row>
    <row r="239" ht="27.0" hidden="1" customHeight="1">
      <c r="A239" s="162">
        <v>208.0</v>
      </c>
      <c r="B239" s="193"/>
      <c r="C239" s="193"/>
      <c r="D239" s="193"/>
      <c r="E239" s="193"/>
      <c r="F239" s="194" t="str">
        <f t="shared" si="5"/>
        <v/>
      </c>
      <c r="G239" s="193"/>
      <c r="H239" s="195">
        <f t="shared" si="6"/>
        <v>0</v>
      </c>
      <c r="I239" s="139"/>
      <c r="J239" s="197"/>
      <c r="K239" s="198"/>
      <c r="L239" s="198"/>
      <c r="M239" s="139"/>
      <c r="N239" s="139"/>
      <c r="O239" s="195"/>
      <c r="P239" s="141"/>
      <c r="Q239" s="199">
        <f t="shared" si="7"/>
        <v>0</v>
      </c>
      <c r="R239" s="200" t="str">
        <f t="shared" si="8"/>
        <v/>
      </c>
      <c r="S239" s="200">
        <f t="shared" si="9"/>
        <v>0</v>
      </c>
      <c r="T239" s="203"/>
      <c r="U239" s="199">
        <f t="shared" ref="U239:V239" si="225">C239/100</f>
        <v>0</v>
      </c>
      <c r="V239" s="199">
        <f t="shared" si="225"/>
        <v>0</v>
      </c>
      <c r="W239" s="199">
        <f t="shared" si="12"/>
        <v>0</v>
      </c>
      <c r="X239" s="202">
        <f t="shared" si="13"/>
        <v>0</v>
      </c>
      <c r="Y239" s="139"/>
      <c r="Z239" s="139"/>
      <c r="AA239" s="139"/>
      <c r="AB239" s="139"/>
      <c r="AC239" s="139"/>
      <c r="AD239" s="139"/>
      <c r="AE239" s="139"/>
      <c r="AF239" s="139"/>
      <c r="AG239" s="139"/>
      <c r="AH239" s="139"/>
      <c r="AI239" s="139"/>
    </row>
    <row r="240" ht="27.0" hidden="1" customHeight="1">
      <c r="A240" s="162">
        <v>209.0</v>
      </c>
      <c r="B240" s="193"/>
      <c r="C240" s="193"/>
      <c r="D240" s="193"/>
      <c r="E240" s="193"/>
      <c r="F240" s="194" t="str">
        <f t="shared" si="5"/>
        <v/>
      </c>
      <c r="G240" s="193"/>
      <c r="H240" s="195">
        <f t="shared" si="6"/>
        <v>0</v>
      </c>
      <c r="I240" s="139"/>
      <c r="J240" s="197"/>
      <c r="K240" s="198"/>
      <c r="L240" s="198"/>
      <c r="M240" s="139"/>
      <c r="N240" s="139"/>
      <c r="O240" s="195"/>
      <c r="P240" s="141"/>
      <c r="Q240" s="199">
        <f t="shared" si="7"/>
        <v>0</v>
      </c>
      <c r="R240" s="200" t="str">
        <f t="shared" si="8"/>
        <v/>
      </c>
      <c r="S240" s="200">
        <f t="shared" si="9"/>
        <v>0</v>
      </c>
      <c r="T240" s="203"/>
      <c r="U240" s="199">
        <f t="shared" ref="U240:V240" si="226">C240/100</f>
        <v>0</v>
      </c>
      <c r="V240" s="199">
        <f t="shared" si="226"/>
        <v>0</v>
      </c>
      <c r="W240" s="199">
        <f t="shared" si="12"/>
        <v>0</v>
      </c>
      <c r="X240" s="202">
        <f t="shared" si="13"/>
        <v>0</v>
      </c>
      <c r="Y240" s="139"/>
      <c r="Z240" s="139"/>
      <c r="AA240" s="139"/>
      <c r="AB240" s="139"/>
      <c r="AC240" s="139"/>
      <c r="AD240" s="139"/>
      <c r="AE240" s="139"/>
      <c r="AF240" s="139"/>
      <c r="AG240" s="139"/>
      <c r="AH240" s="139"/>
      <c r="AI240" s="139"/>
    </row>
    <row r="241" ht="27.0" hidden="1" customHeight="1">
      <c r="A241" s="162">
        <v>210.0</v>
      </c>
      <c r="B241" s="193"/>
      <c r="C241" s="193"/>
      <c r="D241" s="193"/>
      <c r="E241" s="193"/>
      <c r="F241" s="194" t="str">
        <f t="shared" si="5"/>
        <v/>
      </c>
      <c r="G241" s="193"/>
      <c r="H241" s="195">
        <f t="shared" si="6"/>
        <v>0</v>
      </c>
      <c r="I241" s="139"/>
      <c r="J241" s="197"/>
      <c r="K241" s="198"/>
      <c r="L241" s="198"/>
      <c r="M241" s="139"/>
      <c r="N241" s="139"/>
      <c r="O241" s="195"/>
      <c r="P241" s="141"/>
      <c r="Q241" s="199">
        <f t="shared" si="7"/>
        <v>0</v>
      </c>
      <c r="R241" s="200" t="str">
        <f t="shared" si="8"/>
        <v/>
      </c>
      <c r="S241" s="200">
        <f t="shared" si="9"/>
        <v>0</v>
      </c>
      <c r="T241" s="203"/>
      <c r="U241" s="199">
        <f t="shared" ref="U241:V241" si="227">C241/100</f>
        <v>0</v>
      </c>
      <c r="V241" s="199">
        <f t="shared" si="227"/>
        <v>0</v>
      </c>
      <c r="W241" s="199">
        <f t="shared" si="12"/>
        <v>0</v>
      </c>
      <c r="X241" s="202">
        <f t="shared" si="13"/>
        <v>0</v>
      </c>
      <c r="Y241" s="139"/>
      <c r="Z241" s="139"/>
      <c r="AA241" s="139"/>
      <c r="AB241" s="139"/>
      <c r="AC241" s="139"/>
      <c r="AD241" s="139"/>
      <c r="AE241" s="139"/>
      <c r="AF241" s="139"/>
      <c r="AG241" s="139"/>
      <c r="AH241" s="139"/>
      <c r="AI241" s="139"/>
    </row>
    <row r="242" ht="27.0" hidden="1" customHeight="1">
      <c r="A242" s="162">
        <v>211.0</v>
      </c>
      <c r="B242" s="193"/>
      <c r="C242" s="193"/>
      <c r="D242" s="193"/>
      <c r="E242" s="193"/>
      <c r="F242" s="194" t="str">
        <f t="shared" si="5"/>
        <v/>
      </c>
      <c r="G242" s="193"/>
      <c r="H242" s="195">
        <f t="shared" si="6"/>
        <v>0</v>
      </c>
      <c r="I242" s="139"/>
      <c r="J242" s="197"/>
      <c r="K242" s="198"/>
      <c r="L242" s="198"/>
      <c r="M242" s="139"/>
      <c r="N242" s="139"/>
      <c r="O242" s="195"/>
      <c r="P242" s="141"/>
      <c r="Q242" s="199">
        <f t="shared" si="7"/>
        <v>0</v>
      </c>
      <c r="R242" s="200" t="str">
        <f t="shared" si="8"/>
        <v/>
      </c>
      <c r="S242" s="200">
        <f t="shared" si="9"/>
        <v>0</v>
      </c>
      <c r="T242" s="203"/>
      <c r="U242" s="199">
        <f t="shared" ref="U242:V242" si="228">C242/100</f>
        <v>0</v>
      </c>
      <c r="V242" s="199">
        <f t="shared" si="228"/>
        <v>0</v>
      </c>
      <c r="W242" s="199">
        <f t="shared" si="12"/>
        <v>0</v>
      </c>
      <c r="X242" s="202">
        <f t="shared" si="13"/>
        <v>0</v>
      </c>
      <c r="Y242" s="139"/>
      <c r="Z242" s="139"/>
      <c r="AA242" s="139"/>
      <c r="AB242" s="139"/>
      <c r="AC242" s="139"/>
      <c r="AD242" s="139"/>
      <c r="AE242" s="139"/>
      <c r="AF242" s="139"/>
      <c r="AG242" s="139"/>
      <c r="AH242" s="139"/>
      <c r="AI242" s="139"/>
    </row>
    <row r="243" ht="27.0" hidden="1" customHeight="1">
      <c r="A243" s="162">
        <v>212.0</v>
      </c>
      <c r="B243" s="193"/>
      <c r="C243" s="193"/>
      <c r="D243" s="193"/>
      <c r="E243" s="193"/>
      <c r="F243" s="194" t="str">
        <f t="shared" si="5"/>
        <v/>
      </c>
      <c r="G243" s="193"/>
      <c r="H243" s="195">
        <f t="shared" si="6"/>
        <v>0</v>
      </c>
      <c r="I243" s="139"/>
      <c r="J243" s="197"/>
      <c r="K243" s="198"/>
      <c r="L243" s="198"/>
      <c r="M243" s="139"/>
      <c r="N243" s="139"/>
      <c r="O243" s="195"/>
      <c r="P243" s="141"/>
      <c r="Q243" s="199">
        <f t="shared" si="7"/>
        <v>0</v>
      </c>
      <c r="R243" s="200" t="str">
        <f t="shared" si="8"/>
        <v/>
      </c>
      <c r="S243" s="200">
        <f t="shared" si="9"/>
        <v>0</v>
      </c>
      <c r="T243" s="203"/>
      <c r="U243" s="199">
        <f t="shared" ref="U243:V243" si="229">C243/100</f>
        <v>0</v>
      </c>
      <c r="V243" s="199">
        <f t="shared" si="229"/>
        <v>0</v>
      </c>
      <c r="W243" s="199">
        <f t="shared" si="12"/>
        <v>0</v>
      </c>
      <c r="X243" s="202">
        <f t="shared" si="13"/>
        <v>0</v>
      </c>
      <c r="Y243" s="139"/>
      <c r="Z243" s="139"/>
      <c r="AA243" s="139"/>
      <c r="AB243" s="139"/>
      <c r="AC243" s="139"/>
      <c r="AD243" s="139"/>
      <c r="AE243" s="139"/>
      <c r="AF243" s="139"/>
      <c r="AG243" s="139"/>
      <c r="AH243" s="139"/>
      <c r="AI243" s="139"/>
    </row>
    <row r="244" ht="27.0" hidden="1" customHeight="1">
      <c r="A244" s="162">
        <v>213.0</v>
      </c>
      <c r="B244" s="193"/>
      <c r="C244" s="193"/>
      <c r="D244" s="193"/>
      <c r="E244" s="193"/>
      <c r="F244" s="194" t="str">
        <f t="shared" si="5"/>
        <v/>
      </c>
      <c r="G244" s="193"/>
      <c r="H244" s="195">
        <f t="shared" si="6"/>
        <v>0</v>
      </c>
      <c r="I244" s="139"/>
      <c r="J244" s="197"/>
      <c r="K244" s="198"/>
      <c r="L244" s="198"/>
      <c r="M244" s="139"/>
      <c r="N244" s="139"/>
      <c r="O244" s="195"/>
      <c r="P244" s="141"/>
      <c r="Q244" s="199">
        <f t="shared" si="7"/>
        <v>0</v>
      </c>
      <c r="R244" s="200" t="str">
        <f t="shared" si="8"/>
        <v/>
      </c>
      <c r="S244" s="200">
        <f t="shared" si="9"/>
        <v>0</v>
      </c>
      <c r="T244" s="203"/>
      <c r="U244" s="199">
        <f t="shared" ref="U244:V244" si="230">C244/100</f>
        <v>0</v>
      </c>
      <c r="V244" s="199">
        <f t="shared" si="230"/>
        <v>0</v>
      </c>
      <c r="W244" s="199">
        <f t="shared" si="12"/>
        <v>0</v>
      </c>
      <c r="X244" s="202">
        <f t="shared" si="13"/>
        <v>0</v>
      </c>
      <c r="Y244" s="139"/>
      <c r="Z244" s="139"/>
      <c r="AA244" s="139"/>
      <c r="AB244" s="139"/>
      <c r="AC244" s="139"/>
      <c r="AD244" s="139"/>
      <c r="AE244" s="139"/>
      <c r="AF244" s="139"/>
      <c r="AG244" s="139"/>
      <c r="AH244" s="139"/>
      <c r="AI244" s="139"/>
    </row>
    <row r="245" ht="27.0" hidden="1" customHeight="1">
      <c r="A245" s="162">
        <v>214.0</v>
      </c>
      <c r="B245" s="193"/>
      <c r="C245" s="193"/>
      <c r="D245" s="193"/>
      <c r="E245" s="193"/>
      <c r="F245" s="194" t="str">
        <f t="shared" si="5"/>
        <v/>
      </c>
      <c r="G245" s="193"/>
      <c r="H245" s="195">
        <f t="shared" si="6"/>
        <v>0</v>
      </c>
      <c r="I245" s="139"/>
      <c r="J245" s="197"/>
      <c r="K245" s="198"/>
      <c r="L245" s="198"/>
      <c r="M245" s="139"/>
      <c r="N245" s="139"/>
      <c r="O245" s="195"/>
      <c r="P245" s="141"/>
      <c r="Q245" s="199">
        <f t="shared" si="7"/>
        <v>0</v>
      </c>
      <c r="R245" s="200" t="str">
        <f t="shared" si="8"/>
        <v/>
      </c>
      <c r="S245" s="200">
        <f t="shared" si="9"/>
        <v>0</v>
      </c>
      <c r="T245" s="203"/>
      <c r="U245" s="199">
        <f t="shared" ref="U245:V245" si="231">C245/100</f>
        <v>0</v>
      </c>
      <c r="V245" s="199">
        <f t="shared" si="231"/>
        <v>0</v>
      </c>
      <c r="W245" s="199">
        <f t="shared" si="12"/>
        <v>0</v>
      </c>
      <c r="X245" s="202">
        <f t="shared" si="13"/>
        <v>0</v>
      </c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</row>
    <row r="246" ht="27.0" hidden="1" customHeight="1">
      <c r="A246" s="162">
        <v>215.0</v>
      </c>
      <c r="B246" s="193"/>
      <c r="C246" s="193"/>
      <c r="D246" s="193"/>
      <c r="E246" s="193"/>
      <c r="F246" s="194" t="str">
        <f t="shared" si="5"/>
        <v/>
      </c>
      <c r="G246" s="193"/>
      <c r="H246" s="195">
        <f t="shared" si="6"/>
        <v>0</v>
      </c>
      <c r="I246" s="139"/>
      <c r="J246" s="197"/>
      <c r="K246" s="198"/>
      <c r="L246" s="198"/>
      <c r="M246" s="139"/>
      <c r="N246" s="139"/>
      <c r="O246" s="195"/>
      <c r="P246" s="141"/>
      <c r="Q246" s="199">
        <f t="shared" si="7"/>
        <v>0</v>
      </c>
      <c r="R246" s="200" t="str">
        <f t="shared" si="8"/>
        <v/>
      </c>
      <c r="S246" s="200">
        <f t="shared" si="9"/>
        <v>0</v>
      </c>
      <c r="T246" s="203"/>
      <c r="U246" s="199">
        <f t="shared" ref="U246:V246" si="232">C246/100</f>
        <v>0</v>
      </c>
      <c r="V246" s="199">
        <f t="shared" si="232"/>
        <v>0</v>
      </c>
      <c r="W246" s="199">
        <f t="shared" si="12"/>
        <v>0</v>
      </c>
      <c r="X246" s="202">
        <f t="shared" si="13"/>
        <v>0</v>
      </c>
      <c r="Y246" s="139"/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</row>
    <row r="247" ht="27.0" hidden="1" customHeight="1">
      <c r="A247" s="162">
        <v>216.0</v>
      </c>
      <c r="B247" s="193"/>
      <c r="C247" s="193"/>
      <c r="D247" s="193"/>
      <c r="E247" s="193"/>
      <c r="F247" s="194" t="str">
        <f t="shared" si="5"/>
        <v/>
      </c>
      <c r="G247" s="193"/>
      <c r="H247" s="195">
        <f t="shared" si="6"/>
        <v>0</v>
      </c>
      <c r="I247" s="139"/>
      <c r="J247" s="197"/>
      <c r="K247" s="198"/>
      <c r="L247" s="198"/>
      <c r="M247" s="139"/>
      <c r="N247" s="139"/>
      <c r="O247" s="195"/>
      <c r="P247" s="141"/>
      <c r="Q247" s="199">
        <f t="shared" si="7"/>
        <v>0</v>
      </c>
      <c r="R247" s="200" t="str">
        <f t="shared" si="8"/>
        <v/>
      </c>
      <c r="S247" s="200">
        <f t="shared" si="9"/>
        <v>0</v>
      </c>
      <c r="T247" s="203"/>
      <c r="U247" s="199">
        <f t="shared" ref="U247:V247" si="233">C247/100</f>
        <v>0</v>
      </c>
      <c r="V247" s="199">
        <f t="shared" si="233"/>
        <v>0</v>
      </c>
      <c r="W247" s="199">
        <f t="shared" si="12"/>
        <v>0</v>
      </c>
      <c r="X247" s="202">
        <f t="shared" si="13"/>
        <v>0</v>
      </c>
      <c r="Y247" s="139"/>
      <c r="Z247" s="139"/>
      <c r="AA247" s="139"/>
      <c r="AB247" s="139"/>
      <c r="AC247" s="139"/>
      <c r="AD247" s="139"/>
      <c r="AE247" s="139"/>
      <c r="AF247" s="139"/>
      <c r="AG247" s="139"/>
      <c r="AH247" s="139"/>
      <c r="AI247" s="139"/>
    </row>
    <row r="248" ht="27.0" hidden="1" customHeight="1">
      <c r="A248" s="162">
        <v>217.0</v>
      </c>
      <c r="B248" s="193"/>
      <c r="C248" s="193"/>
      <c r="D248" s="193"/>
      <c r="E248" s="193"/>
      <c r="F248" s="194" t="str">
        <f t="shared" si="5"/>
        <v/>
      </c>
      <c r="G248" s="193"/>
      <c r="H248" s="195">
        <f t="shared" si="6"/>
        <v>0</v>
      </c>
      <c r="I248" s="139"/>
      <c r="J248" s="197"/>
      <c r="K248" s="198"/>
      <c r="L248" s="198"/>
      <c r="M248" s="139"/>
      <c r="N248" s="139"/>
      <c r="O248" s="195"/>
      <c r="P248" s="141"/>
      <c r="Q248" s="199">
        <f t="shared" si="7"/>
        <v>0</v>
      </c>
      <c r="R248" s="200" t="str">
        <f t="shared" si="8"/>
        <v/>
      </c>
      <c r="S248" s="200">
        <f t="shared" si="9"/>
        <v>0</v>
      </c>
      <c r="T248" s="203"/>
      <c r="U248" s="199">
        <f t="shared" ref="U248:V248" si="234">C248/100</f>
        <v>0</v>
      </c>
      <c r="V248" s="199">
        <f t="shared" si="234"/>
        <v>0</v>
      </c>
      <c r="W248" s="199">
        <f t="shared" si="12"/>
        <v>0</v>
      </c>
      <c r="X248" s="202">
        <f t="shared" si="13"/>
        <v>0</v>
      </c>
      <c r="Y248" s="139"/>
      <c r="Z248" s="139"/>
      <c r="AA248" s="139"/>
      <c r="AB248" s="139"/>
      <c r="AC248" s="139"/>
      <c r="AD248" s="139"/>
      <c r="AE248" s="139"/>
      <c r="AF248" s="139"/>
      <c r="AG248" s="139"/>
      <c r="AH248" s="139"/>
      <c r="AI248" s="139"/>
    </row>
    <row r="249" ht="27.0" customHeight="1">
      <c r="A249" s="162"/>
      <c r="B249" s="178"/>
      <c r="C249" s="178"/>
      <c r="D249" s="178"/>
      <c r="E249" s="178"/>
      <c r="F249" s="181"/>
      <c r="G249" s="162"/>
      <c r="H249" s="204">
        <f>+O314</f>
        <v>0</v>
      </c>
      <c r="I249" s="139"/>
      <c r="J249" s="139"/>
      <c r="K249" s="139"/>
      <c r="L249" s="139"/>
      <c r="M249" s="139"/>
      <c r="N249" s="139"/>
      <c r="O249" s="139"/>
      <c r="P249" s="205"/>
      <c r="Q249" s="199">
        <f t="shared" si="7"/>
        <v>0</v>
      </c>
      <c r="R249" s="200" t="str">
        <f t="shared" si="8"/>
        <v/>
      </c>
      <c r="S249" s="200">
        <f t="shared" si="9"/>
        <v>0</v>
      </c>
      <c r="T249" s="203"/>
      <c r="U249" s="199">
        <f t="shared" ref="U249:V249" si="235">C249/100</f>
        <v>0</v>
      </c>
      <c r="V249" s="199">
        <f t="shared" si="235"/>
        <v>0</v>
      </c>
      <c r="W249" s="199">
        <f t="shared" si="12"/>
        <v>0</v>
      </c>
      <c r="X249" s="202">
        <f t="shared" si="13"/>
        <v>0</v>
      </c>
      <c r="Y249" s="139"/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</row>
    <row r="250" ht="27.0" customHeight="1">
      <c r="A250" s="162"/>
      <c r="B250" s="206"/>
      <c r="C250" s="206"/>
      <c r="D250" s="206"/>
      <c r="E250" s="206"/>
      <c r="F250" s="207"/>
      <c r="G250" s="208">
        <f>SUM(G32:G248)</f>
        <v>100</v>
      </c>
      <c r="H250" s="209">
        <f>SUM(H32:H249)</f>
        <v>0</v>
      </c>
      <c r="I250" s="210"/>
      <c r="J250" s="210"/>
      <c r="K250" s="210"/>
      <c r="L250" s="210"/>
      <c r="M250" s="210"/>
      <c r="N250" s="210"/>
      <c r="O250" s="210"/>
      <c r="P250" s="141"/>
      <c r="Q250" s="210">
        <f>+SUM(Q32:Q249)</f>
        <v>0</v>
      </c>
      <c r="R250" s="210">
        <f t="shared" ref="R250:S250" si="236">SUM(R32:R249)</f>
        <v>100</v>
      </c>
      <c r="S250" s="210">
        <f t="shared" si="236"/>
        <v>0</v>
      </c>
      <c r="T250" s="210"/>
      <c r="U250" s="210"/>
      <c r="V250" s="210"/>
      <c r="W250" s="210"/>
      <c r="X250" s="211">
        <f>SUM(X32:X249)</f>
        <v>0</v>
      </c>
      <c r="Y250" s="210"/>
      <c r="Z250" s="210"/>
      <c r="AA250" s="210"/>
      <c r="AB250" s="210"/>
      <c r="AC250" s="210"/>
      <c r="AD250" s="210"/>
      <c r="AE250" s="210"/>
      <c r="AF250" s="210"/>
      <c r="AG250" s="210"/>
      <c r="AH250" s="210"/>
      <c r="AI250" s="210"/>
    </row>
    <row r="251" ht="29.25" customHeight="1">
      <c r="A251" s="139"/>
      <c r="B251" s="139"/>
      <c r="C251" s="139"/>
      <c r="D251" s="139"/>
      <c r="E251" s="139"/>
      <c r="F251" s="140"/>
      <c r="G251" s="139"/>
      <c r="H251" s="139"/>
      <c r="I251" s="139"/>
      <c r="J251" s="139"/>
      <c r="K251" s="139"/>
      <c r="L251" s="139"/>
      <c r="M251" s="139"/>
      <c r="N251" s="139"/>
      <c r="O251" s="139"/>
      <c r="P251" s="141"/>
      <c r="Q251" s="203"/>
      <c r="R251" s="139"/>
      <c r="S251" s="139"/>
      <c r="T251" s="139"/>
      <c r="U251" s="139"/>
      <c r="V251" s="139"/>
      <c r="W251" s="139"/>
      <c r="X251" s="139"/>
      <c r="Y251" s="139"/>
      <c r="Z251" s="139"/>
      <c r="AA251" s="139"/>
      <c r="AB251" s="139"/>
      <c r="AC251" s="139"/>
      <c r="AD251" s="139"/>
      <c r="AE251" s="139"/>
      <c r="AF251" s="139"/>
      <c r="AG251" s="139"/>
      <c r="AH251" s="139"/>
      <c r="AI251" s="139"/>
    </row>
    <row r="252" ht="29.25" customHeight="1">
      <c r="A252" s="139"/>
      <c r="B252" s="139"/>
      <c r="C252" s="139"/>
      <c r="D252" s="139"/>
      <c r="E252" s="139"/>
      <c r="F252" s="140"/>
      <c r="G252" s="139"/>
      <c r="H252" s="139"/>
      <c r="I252" s="139"/>
      <c r="J252" s="139"/>
      <c r="K252" s="139"/>
      <c r="L252" s="139"/>
      <c r="M252" s="139"/>
      <c r="N252" s="139"/>
      <c r="O252" s="139"/>
      <c r="P252" s="205"/>
      <c r="Q252" s="139"/>
      <c r="R252" s="139" t="s">
        <v>48</v>
      </c>
      <c r="S252" s="139" t="s">
        <v>68</v>
      </c>
      <c r="T252" s="139"/>
      <c r="U252" s="139"/>
      <c r="V252" s="139"/>
      <c r="W252" s="139"/>
      <c r="X252" s="139"/>
      <c r="Y252" s="139"/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</row>
    <row r="253" ht="29.25" customHeight="1">
      <c r="A253" s="139"/>
      <c r="B253" s="139"/>
      <c r="C253" s="139"/>
      <c r="D253" s="139"/>
      <c r="E253" s="139"/>
      <c r="F253" s="140"/>
      <c r="G253" s="139"/>
      <c r="H253" s="139"/>
      <c r="I253" s="139"/>
      <c r="J253" s="139"/>
      <c r="K253" s="139"/>
      <c r="L253" s="139"/>
      <c r="M253" s="139"/>
      <c r="N253" s="139"/>
      <c r="O253" s="139"/>
      <c r="P253" s="141"/>
      <c r="Q253" s="139"/>
      <c r="R253" s="212"/>
      <c r="S253" s="213"/>
      <c r="T253" s="139"/>
      <c r="U253" s="139"/>
      <c r="V253" s="139"/>
      <c r="W253" s="139"/>
      <c r="X253" s="139"/>
      <c r="Y253" s="139"/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</row>
    <row r="254" ht="29.25" customHeight="1">
      <c r="A254" s="139" t="s">
        <v>32</v>
      </c>
      <c r="B254" s="139"/>
      <c r="C254" s="139"/>
      <c r="D254" s="139" t="s">
        <v>33</v>
      </c>
      <c r="E254" s="139"/>
      <c r="F254" s="140"/>
      <c r="G254" s="139"/>
      <c r="H254" s="139"/>
      <c r="I254" s="139"/>
      <c r="J254" s="139"/>
      <c r="K254" s="139"/>
      <c r="L254" s="139"/>
      <c r="M254" s="139"/>
      <c r="N254" s="139"/>
      <c r="O254" s="139"/>
      <c r="P254" s="141"/>
      <c r="Q254" s="139" t="s">
        <v>34</v>
      </c>
      <c r="R254" s="266">
        <f>+H250</f>
        <v>0</v>
      </c>
      <c r="S254" s="213">
        <f>+S250</f>
        <v>0</v>
      </c>
      <c r="T254" s="139"/>
      <c r="U254" s="139"/>
      <c r="V254" s="139"/>
      <c r="W254" s="139"/>
      <c r="X254" s="139"/>
      <c r="Y254" s="139"/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</row>
    <row r="255" ht="29.25" customHeight="1">
      <c r="A255" s="139"/>
      <c r="B255" s="139"/>
      <c r="C255" s="139"/>
      <c r="D255" s="139"/>
      <c r="E255" s="139"/>
      <c r="F255" s="140"/>
      <c r="G255" s="139"/>
      <c r="H255" s="139"/>
      <c r="I255" s="139"/>
      <c r="J255" s="139"/>
      <c r="K255" s="139"/>
      <c r="L255" s="139"/>
      <c r="M255" s="139"/>
      <c r="N255" s="139"/>
      <c r="O255" s="139"/>
      <c r="P255" s="205"/>
      <c r="Q255" s="139"/>
      <c r="R255" s="214">
        <f>+G250</f>
        <v>100</v>
      </c>
      <c r="S255" s="139"/>
      <c r="T255" s="139"/>
      <c r="U255" s="139"/>
      <c r="V255" s="139"/>
      <c r="W255" s="139"/>
      <c r="X255" s="139"/>
      <c r="Y255" s="139"/>
      <c r="Z255" s="139"/>
      <c r="AA255" s="139"/>
      <c r="AB255" s="139"/>
      <c r="AC255" s="139"/>
      <c r="AD255" s="139"/>
      <c r="AE255" s="139"/>
      <c r="AF255" s="139"/>
      <c r="AG255" s="139"/>
      <c r="AH255" s="139"/>
      <c r="AI255" s="139"/>
    </row>
    <row r="256" ht="39.0" customHeight="1">
      <c r="A256" s="178"/>
      <c r="B256" s="162" t="s">
        <v>12</v>
      </c>
      <c r="C256" s="179" t="s">
        <v>69</v>
      </c>
      <c r="D256" s="52"/>
      <c r="E256" s="53"/>
      <c r="F256" s="181" t="s">
        <v>14</v>
      </c>
      <c r="G256" s="162" t="s">
        <v>15</v>
      </c>
      <c r="H256" s="162" t="s">
        <v>16</v>
      </c>
      <c r="I256" s="139"/>
      <c r="J256" s="139"/>
      <c r="K256" s="139"/>
      <c r="L256" s="139"/>
      <c r="M256" s="139"/>
      <c r="N256" s="139"/>
      <c r="O256" s="139"/>
      <c r="P256" s="141"/>
      <c r="Q256" s="139"/>
      <c r="R256" s="139"/>
      <c r="S256" s="139"/>
      <c r="T256" s="139"/>
      <c r="U256" s="139"/>
      <c r="V256" s="139"/>
      <c r="W256" s="139"/>
      <c r="X256" s="139"/>
      <c r="Y256" s="139"/>
      <c r="Z256" s="139"/>
      <c r="AA256" s="139"/>
      <c r="AB256" s="139"/>
      <c r="AC256" s="139"/>
      <c r="AD256" s="139"/>
      <c r="AE256" s="139"/>
      <c r="AF256" s="139"/>
      <c r="AG256" s="139"/>
      <c r="AH256" s="139"/>
      <c r="AI256" s="139"/>
    </row>
    <row r="257" ht="27.0" customHeight="1">
      <c r="A257" s="155">
        <v>1.0</v>
      </c>
      <c r="B257" s="215"/>
      <c r="C257" s="215"/>
      <c r="D257" s="215"/>
      <c r="E257" s="215"/>
      <c r="F257" s="216"/>
      <c r="G257" s="215"/>
      <c r="H257" s="217"/>
      <c r="I257" s="139"/>
      <c r="J257" s="178">
        <f t="shared" ref="J257:J265" si="237">D257*25.4/1000</f>
        <v>0</v>
      </c>
      <c r="K257" s="162" t="str">
        <f t="shared" ref="K257:K261" si="238">+G257</f>
        <v/>
      </c>
      <c r="L257" s="162">
        <f t="shared" ref="L257:L261" si="239">K257*J257</f>
        <v>0</v>
      </c>
      <c r="M257" s="139"/>
      <c r="N257" s="139"/>
      <c r="O257" s="139"/>
      <c r="P257" s="141"/>
      <c r="Q257" s="139"/>
      <c r="R257" s="139"/>
      <c r="S257" s="139"/>
      <c r="T257" s="139"/>
      <c r="U257" s="139"/>
      <c r="V257" s="139"/>
      <c r="W257" s="139"/>
      <c r="X257" s="139"/>
      <c r="Y257" s="139"/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</row>
    <row r="258" ht="27.0" customHeight="1">
      <c r="A258" s="155">
        <v>2.0</v>
      </c>
      <c r="B258" s="215"/>
      <c r="C258" s="215"/>
      <c r="D258" s="215"/>
      <c r="E258" s="215"/>
      <c r="F258" s="216"/>
      <c r="G258" s="215"/>
      <c r="H258" s="217">
        <f t="shared" ref="H258:H270" si="240">+G258*F258</f>
        <v>0</v>
      </c>
      <c r="I258" s="139"/>
      <c r="J258" s="178">
        <f t="shared" si="237"/>
        <v>0</v>
      </c>
      <c r="K258" s="162" t="str">
        <f t="shared" si="238"/>
        <v/>
      </c>
      <c r="L258" s="162">
        <f t="shared" si="239"/>
        <v>0</v>
      </c>
      <c r="M258" s="139"/>
      <c r="N258" s="139"/>
      <c r="O258" s="139"/>
      <c r="P258" s="139"/>
      <c r="Q258" s="139"/>
      <c r="R258" s="139"/>
      <c r="S258" s="139"/>
      <c r="T258" s="139"/>
      <c r="U258" s="139"/>
      <c r="V258" s="139"/>
      <c r="W258" s="139"/>
      <c r="X258" s="139"/>
      <c r="Y258" s="139"/>
      <c r="Z258" s="139"/>
      <c r="AA258" s="139"/>
      <c r="AB258" s="139"/>
      <c r="AC258" s="139"/>
      <c r="AD258" s="139"/>
      <c r="AE258" s="139"/>
      <c r="AF258" s="139"/>
      <c r="AG258" s="139"/>
      <c r="AH258" s="139"/>
      <c r="AI258" s="139"/>
    </row>
    <row r="259" ht="27.0" customHeight="1">
      <c r="A259" s="155">
        <v>3.0</v>
      </c>
      <c r="B259" s="218"/>
      <c r="C259" s="218"/>
      <c r="D259" s="218"/>
      <c r="E259" s="218"/>
      <c r="F259" s="219"/>
      <c r="G259" s="218"/>
      <c r="H259" s="195">
        <f t="shared" si="240"/>
        <v>0</v>
      </c>
      <c r="I259" s="139"/>
      <c r="J259" s="178">
        <f t="shared" si="237"/>
        <v>0</v>
      </c>
      <c r="K259" s="162" t="str">
        <f t="shared" si="238"/>
        <v/>
      </c>
      <c r="L259" s="162">
        <f t="shared" si="239"/>
        <v>0</v>
      </c>
      <c r="M259" s="139"/>
      <c r="N259" s="139"/>
      <c r="O259" s="139"/>
      <c r="P259" s="139"/>
      <c r="Q259" s="220"/>
      <c r="R259" s="139"/>
      <c r="S259" s="139"/>
      <c r="T259" s="139"/>
      <c r="U259" s="139"/>
      <c r="V259" s="139"/>
      <c r="W259" s="139"/>
      <c r="X259" s="139"/>
      <c r="Y259" s="139"/>
      <c r="Z259" s="139"/>
      <c r="AA259" s="139"/>
      <c r="AB259" s="139"/>
      <c r="AC259" s="139"/>
      <c r="AD259" s="139"/>
      <c r="AE259" s="139"/>
      <c r="AF259" s="139"/>
      <c r="AG259" s="139"/>
      <c r="AH259" s="139"/>
      <c r="AI259" s="139"/>
    </row>
    <row r="260" ht="27.0" customHeight="1">
      <c r="A260" s="155">
        <v>4.0</v>
      </c>
      <c r="B260" s="218"/>
      <c r="C260" s="218"/>
      <c r="D260" s="218"/>
      <c r="E260" s="218"/>
      <c r="F260" s="219"/>
      <c r="G260" s="218"/>
      <c r="H260" s="195">
        <f t="shared" si="240"/>
        <v>0</v>
      </c>
      <c r="I260" s="139"/>
      <c r="J260" s="178">
        <f t="shared" si="237"/>
        <v>0</v>
      </c>
      <c r="K260" s="162" t="str">
        <f t="shared" si="238"/>
        <v/>
      </c>
      <c r="L260" s="162">
        <f t="shared" si="239"/>
        <v>0</v>
      </c>
      <c r="M260" s="139"/>
      <c r="N260" s="139"/>
      <c r="O260" s="139"/>
      <c r="P260" s="139"/>
      <c r="Q260" s="139"/>
      <c r="R260" s="139"/>
      <c r="S260" s="139"/>
      <c r="T260" s="139"/>
      <c r="U260" s="139"/>
      <c r="V260" s="139"/>
      <c r="W260" s="139"/>
      <c r="X260" s="139"/>
      <c r="Y260" s="139"/>
      <c r="Z260" s="139"/>
      <c r="AA260" s="139"/>
      <c r="AB260" s="139"/>
      <c r="AC260" s="139"/>
      <c r="AD260" s="139"/>
      <c r="AE260" s="139"/>
      <c r="AF260" s="139"/>
      <c r="AG260" s="139"/>
      <c r="AH260" s="139"/>
      <c r="AI260" s="139"/>
    </row>
    <row r="261" ht="27.0" customHeight="1">
      <c r="A261" s="155">
        <v>5.0</v>
      </c>
      <c r="B261" s="218"/>
      <c r="C261" s="218"/>
      <c r="D261" s="218"/>
      <c r="E261" s="218"/>
      <c r="F261" s="219"/>
      <c r="G261" s="218"/>
      <c r="H261" s="195">
        <f t="shared" si="240"/>
        <v>0</v>
      </c>
      <c r="I261" s="139"/>
      <c r="J261" s="178">
        <f t="shared" si="237"/>
        <v>0</v>
      </c>
      <c r="K261" s="162" t="str">
        <f t="shared" si="238"/>
        <v/>
      </c>
      <c r="L261" s="162">
        <f t="shared" si="239"/>
        <v>0</v>
      </c>
      <c r="M261" s="139"/>
      <c r="N261" s="139"/>
      <c r="O261" s="139"/>
      <c r="P261" s="139"/>
      <c r="Q261" s="139"/>
      <c r="R261" s="139"/>
      <c r="S261" s="139"/>
      <c r="T261" s="139"/>
      <c r="U261" s="139"/>
      <c r="V261" s="139"/>
      <c r="W261" s="139"/>
      <c r="X261" s="139"/>
      <c r="Y261" s="139"/>
      <c r="Z261" s="139"/>
      <c r="AA261" s="139"/>
      <c r="AB261" s="139"/>
      <c r="AC261" s="139"/>
      <c r="AD261" s="139"/>
      <c r="AE261" s="139"/>
      <c r="AF261" s="139"/>
      <c r="AG261" s="139"/>
      <c r="AH261" s="139"/>
      <c r="AI261" s="139"/>
    </row>
    <row r="262" ht="27.0" hidden="1" customHeight="1">
      <c r="A262" s="155">
        <v>6.0</v>
      </c>
      <c r="B262" s="218"/>
      <c r="C262" s="218"/>
      <c r="D262" s="218"/>
      <c r="E262" s="218"/>
      <c r="F262" s="219"/>
      <c r="G262" s="218"/>
      <c r="H262" s="195">
        <f t="shared" si="240"/>
        <v>0</v>
      </c>
      <c r="I262" s="139"/>
      <c r="J262" s="139">
        <f t="shared" si="237"/>
        <v>0</v>
      </c>
      <c r="K262" s="221"/>
      <c r="L262" s="221"/>
      <c r="M262" s="139"/>
      <c r="N262" s="139"/>
      <c r="O262" s="139"/>
      <c r="P262" s="139"/>
      <c r="Q262" s="139"/>
      <c r="R262" s="139"/>
      <c r="S262" s="139"/>
      <c r="T262" s="139"/>
      <c r="U262" s="139"/>
      <c r="V262" s="139"/>
      <c r="W262" s="139"/>
      <c r="X262" s="139"/>
      <c r="Y262" s="139"/>
      <c r="Z262" s="139"/>
      <c r="AA262" s="139"/>
      <c r="AB262" s="139"/>
      <c r="AC262" s="139"/>
      <c r="AD262" s="139"/>
      <c r="AE262" s="139"/>
      <c r="AF262" s="139"/>
      <c r="AG262" s="139"/>
      <c r="AH262" s="139"/>
      <c r="AI262" s="139"/>
    </row>
    <row r="263" ht="27.0" hidden="1" customHeight="1">
      <c r="A263" s="155">
        <v>7.0</v>
      </c>
      <c r="B263" s="218"/>
      <c r="C263" s="218"/>
      <c r="D263" s="218"/>
      <c r="E263" s="218"/>
      <c r="F263" s="219"/>
      <c r="G263" s="218"/>
      <c r="H263" s="195">
        <f t="shared" si="240"/>
        <v>0</v>
      </c>
      <c r="I263" s="139"/>
      <c r="J263" s="139">
        <f t="shared" si="237"/>
        <v>0</v>
      </c>
      <c r="K263" s="221"/>
      <c r="L263" s="221"/>
      <c r="M263" s="139"/>
      <c r="N263" s="139"/>
      <c r="O263" s="139"/>
      <c r="P263" s="139"/>
      <c r="Q263" s="139"/>
      <c r="R263" s="139"/>
      <c r="S263" s="139"/>
      <c r="T263" s="139"/>
      <c r="U263" s="139"/>
      <c r="V263" s="139"/>
      <c r="W263" s="139"/>
      <c r="X263" s="139"/>
      <c r="Y263" s="139"/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</row>
    <row r="264" ht="27.0" hidden="1" customHeight="1">
      <c r="A264" s="155">
        <v>8.0</v>
      </c>
      <c r="B264" s="218"/>
      <c r="C264" s="218"/>
      <c r="D264" s="218"/>
      <c r="E264" s="218"/>
      <c r="F264" s="219"/>
      <c r="G264" s="218"/>
      <c r="H264" s="195">
        <f t="shared" si="240"/>
        <v>0</v>
      </c>
      <c r="I264" s="139"/>
      <c r="J264" s="139">
        <f t="shared" si="237"/>
        <v>0</v>
      </c>
      <c r="K264" s="221"/>
      <c r="L264" s="221"/>
      <c r="M264" s="139"/>
      <c r="N264" s="139"/>
      <c r="O264" s="139"/>
      <c r="P264" s="139"/>
      <c r="Q264" s="139"/>
      <c r="R264" s="139"/>
      <c r="S264" s="139"/>
      <c r="T264" s="139"/>
      <c r="U264" s="139"/>
      <c r="V264" s="139"/>
      <c r="W264" s="139"/>
      <c r="X264" s="139"/>
      <c r="Y264" s="139"/>
      <c r="Z264" s="139"/>
      <c r="AA264" s="139"/>
      <c r="AB264" s="139"/>
      <c r="AC264" s="139"/>
      <c r="AD264" s="139"/>
      <c r="AE264" s="139"/>
      <c r="AF264" s="139"/>
      <c r="AG264" s="139"/>
      <c r="AH264" s="139"/>
      <c r="AI264" s="139"/>
    </row>
    <row r="265" ht="27.0" hidden="1" customHeight="1">
      <c r="A265" s="155">
        <v>9.0</v>
      </c>
      <c r="B265" s="218"/>
      <c r="C265" s="218"/>
      <c r="D265" s="218"/>
      <c r="E265" s="218"/>
      <c r="F265" s="219"/>
      <c r="G265" s="218"/>
      <c r="H265" s="195">
        <f t="shared" si="240"/>
        <v>0</v>
      </c>
      <c r="I265" s="139"/>
      <c r="J265" s="139">
        <f t="shared" si="237"/>
        <v>0</v>
      </c>
      <c r="K265" s="221"/>
      <c r="L265" s="221"/>
      <c r="M265" s="139"/>
      <c r="N265" s="139"/>
      <c r="O265" s="139"/>
      <c r="P265" s="139"/>
      <c r="Q265" s="139"/>
      <c r="R265" s="139"/>
      <c r="S265" s="139"/>
      <c r="T265" s="139"/>
      <c r="U265" s="139"/>
      <c r="V265" s="139"/>
      <c r="W265" s="139"/>
      <c r="X265" s="139"/>
      <c r="Y265" s="139"/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</row>
    <row r="266" ht="27.0" hidden="1" customHeight="1">
      <c r="A266" s="155">
        <v>10.0</v>
      </c>
      <c r="B266" s="193"/>
      <c r="C266" s="193"/>
      <c r="D266" s="193"/>
      <c r="E266" s="193"/>
      <c r="F266" s="194"/>
      <c r="G266" s="193"/>
      <c r="H266" s="195">
        <f t="shared" si="240"/>
        <v>0</v>
      </c>
      <c r="I266" s="139"/>
      <c r="J266" s="139"/>
      <c r="K266" s="221"/>
      <c r="L266" s="221"/>
      <c r="M266" s="139"/>
      <c r="N266" s="139"/>
      <c r="O266" s="139"/>
      <c r="P266" s="139"/>
      <c r="Q266" s="139"/>
      <c r="R266" s="139"/>
      <c r="S266" s="139"/>
      <c r="T266" s="139"/>
      <c r="U266" s="139"/>
      <c r="V266" s="139"/>
      <c r="W266" s="139"/>
      <c r="X266" s="139"/>
      <c r="Y266" s="139"/>
      <c r="Z266" s="139"/>
      <c r="AA266" s="139"/>
      <c r="AB266" s="139"/>
      <c r="AC266" s="139"/>
      <c r="AD266" s="139"/>
      <c r="AE266" s="139"/>
      <c r="AF266" s="139"/>
      <c r="AG266" s="139"/>
      <c r="AH266" s="139"/>
      <c r="AI266" s="139"/>
    </row>
    <row r="267" ht="27.0" hidden="1" customHeight="1">
      <c r="A267" s="155">
        <v>11.0</v>
      </c>
      <c r="B267" s="193"/>
      <c r="C267" s="193"/>
      <c r="D267" s="193"/>
      <c r="E267" s="193"/>
      <c r="F267" s="194"/>
      <c r="G267" s="193"/>
      <c r="H267" s="195">
        <f t="shared" si="240"/>
        <v>0</v>
      </c>
      <c r="I267" s="139"/>
      <c r="J267" s="139"/>
      <c r="K267" s="221"/>
      <c r="L267" s="221"/>
      <c r="M267" s="139"/>
      <c r="N267" s="139"/>
      <c r="O267" s="139"/>
      <c r="P267" s="139"/>
      <c r="Q267" s="139"/>
      <c r="R267" s="139"/>
      <c r="S267" s="139"/>
      <c r="T267" s="139"/>
      <c r="U267" s="139"/>
      <c r="V267" s="139"/>
      <c r="W267" s="139"/>
      <c r="X267" s="139"/>
      <c r="Y267" s="139"/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</row>
    <row r="268" ht="27.0" hidden="1" customHeight="1">
      <c r="A268" s="155">
        <v>12.0</v>
      </c>
      <c r="B268" s="193"/>
      <c r="C268" s="193"/>
      <c r="D268" s="193"/>
      <c r="E268" s="193"/>
      <c r="F268" s="194"/>
      <c r="G268" s="193"/>
      <c r="H268" s="195">
        <f t="shared" si="240"/>
        <v>0</v>
      </c>
      <c r="I268" s="139"/>
      <c r="J268" s="139"/>
      <c r="K268" s="221"/>
      <c r="L268" s="221"/>
      <c r="M268" s="139"/>
      <c r="N268" s="139"/>
      <c r="O268" s="139"/>
      <c r="P268" s="139"/>
      <c r="Q268" s="139"/>
      <c r="R268" s="139"/>
      <c r="S268" s="139"/>
      <c r="T268" s="139"/>
      <c r="U268" s="139"/>
      <c r="V268" s="139"/>
      <c r="W268" s="139"/>
      <c r="X268" s="139"/>
      <c r="Y268" s="139"/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</row>
    <row r="269" ht="27.0" hidden="1" customHeight="1">
      <c r="A269" s="155">
        <v>13.0</v>
      </c>
      <c r="B269" s="193"/>
      <c r="C269" s="193"/>
      <c r="D269" s="193"/>
      <c r="E269" s="193"/>
      <c r="F269" s="194"/>
      <c r="G269" s="193"/>
      <c r="H269" s="195">
        <f t="shared" si="240"/>
        <v>0</v>
      </c>
      <c r="I269" s="139"/>
      <c r="J269" s="139"/>
      <c r="K269" s="221"/>
      <c r="L269" s="221"/>
      <c r="M269" s="139"/>
      <c r="N269" s="139"/>
      <c r="O269" s="139"/>
      <c r="P269" s="139"/>
      <c r="Q269" s="139"/>
      <c r="R269" s="139"/>
      <c r="S269" s="139"/>
      <c r="T269" s="139"/>
      <c r="U269" s="139"/>
      <c r="V269" s="139"/>
      <c r="W269" s="139"/>
      <c r="X269" s="139"/>
      <c r="Y269" s="139"/>
      <c r="Z269" s="139"/>
      <c r="AA269" s="139"/>
      <c r="AB269" s="139"/>
      <c r="AC269" s="139"/>
      <c r="AD269" s="139"/>
      <c r="AE269" s="139"/>
      <c r="AF269" s="139"/>
      <c r="AG269" s="139"/>
      <c r="AH269" s="139"/>
      <c r="AI269" s="139"/>
    </row>
    <row r="270" ht="27.0" hidden="1" customHeight="1">
      <c r="A270" s="155">
        <v>14.0</v>
      </c>
      <c r="B270" s="193"/>
      <c r="C270" s="193"/>
      <c r="D270" s="193"/>
      <c r="E270" s="193"/>
      <c r="F270" s="194"/>
      <c r="G270" s="193"/>
      <c r="H270" s="195">
        <f t="shared" si="240"/>
        <v>0</v>
      </c>
      <c r="I270" s="139"/>
      <c r="J270" s="139"/>
      <c r="K270" s="221"/>
      <c r="L270" s="221"/>
      <c r="M270" s="139"/>
      <c r="N270" s="139"/>
      <c r="O270" s="139"/>
      <c r="P270" s="139"/>
      <c r="Q270" s="139"/>
      <c r="R270" s="139"/>
      <c r="S270" s="139"/>
      <c r="T270" s="139"/>
      <c r="U270" s="139"/>
      <c r="V270" s="139"/>
      <c r="W270" s="139"/>
      <c r="X270" s="139"/>
      <c r="Y270" s="139"/>
      <c r="Z270" s="139"/>
      <c r="AA270" s="139"/>
      <c r="AB270" s="139"/>
      <c r="AC270" s="139"/>
      <c r="AD270" s="139"/>
      <c r="AE270" s="139"/>
      <c r="AF270" s="139"/>
      <c r="AG270" s="139"/>
      <c r="AH270" s="139"/>
      <c r="AI270" s="139"/>
    </row>
    <row r="271" ht="24.75" customHeight="1">
      <c r="A271" s="162"/>
      <c r="B271" s="197"/>
      <c r="C271" s="197"/>
      <c r="D271" s="197"/>
      <c r="E271" s="197"/>
      <c r="F271" s="222" t="s">
        <v>38</v>
      </c>
      <c r="G271" s="197"/>
      <c r="H271" s="223">
        <f>SUM(H257:H270)</f>
        <v>0</v>
      </c>
      <c r="I271" s="139"/>
      <c r="J271" s="139"/>
      <c r="K271" s="139"/>
      <c r="L271" s="139"/>
      <c r="M271" s="139"/>
      <c r="N271" s="139"/>
      <c r="O271" s="139"/>
      <c r="P271" s="141"/>
      <c r="Q271" s="224"/>
      <c r="R271" s="139"/>
      <c r="S271" s="139"/>
      <c r="T271" s="139"/>
      <c r="U271" s="139"/>
      <c r="V271" s="139"/>
      <c r="W271" s="139"/>
      <c r="X271" s="139"/>
      <c r="Y271" s="139"/>
      <c r="Z271" s="139"/>
      <c r="AA271" s="139"/>
      <c r="AB271" s="139"/>
      <c r="AC271" s="139"/>
      <c r="AD271" s="139"/>
      <c r="AE271" s="139"/>
      <c r="AF271" s="139"/>
      <c r="AG271" s="139"/>
      <c r="AH271" s="139"/>
      <c r="AI271" s="139"/>
    </row>
    <row r="272" ht="18.75" customHeight="1">
      <c r="A272" s="176"/>
      <c r="B272" s="144"/>
      <c r="C272" s="144"/>
      <c r="D272" s="144"/>
      <c r="E272" s="144"/>
      <c r="F272" s="145"/>
      <c r="G272" s="144"/>
      <c r="H272" s="177"/>
      <c r="I272" s="139"/>
      <c r="J272" s="139"/>
      <c r="K272" s="139"/>
      <c r="L272" s="139"/>
      <c r="M272" s="139"/>
      <c r="N272" s="139"/>
      <c r="O272" s="139"/>
      <c r="P272" s="141"/>
      <c r="Q272" s="224"/>
      <c r="R272" s="139"/>
      <c r="S272" s="139"/>
      <c r="T272" s="139"/>
      <c r="U272" s="139"/>
      <c r="V272" s="139"/>
      <c r="W272" s="139"/>
      <c r="X272" s="139"/>
      <c r="Y272" s="139"/>
      <c r="Z272" s="139"/>
      <c r="AA272" s="139"/>
      <c r="AB272" s="139"/>
      <c r="AC272" s="139"/>
      <c r="AD272" s="139"/>
      <c r="AE272" s="139"/>
      <c r="AF272" s="139"/>
      <c r="AG272" s="139"/>
      <c r="AH272" s="139"/>
      <c r="AI272" s="139"/>
    </row>
    <row r="273" ht="18.75" customHeight="1">
      <c r="A273" s="139"/>
      <c r="B273" s="139"/>
      <c r="C273" s="139"/>
      <c r="D273" s="139"/>
      <c r="E273" s="139"/>
      <c r="F273" s="140"/>
      <c r="G273" s="139"/>
      <c r="H273" s="139"/>
      <c r="I273" s="139"/>
      <c r="J273" s="139"/>
      <c r="K273" s="139"/>
      <c r="L273" s="139"/>
      <c r="M273" s="139"/>
      <c r="N273" s="139"/>
      <c r="O273" s="139"/>
      <c r="P273" s="141"/>
      <c r="Q273" s="224"/>
      <c r="R273" s="139"/>
      <c r="S273" s="139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  <c r="AE273" s="139"/>
      <c r="AF273" s="139"/>
      <c r="AG273" s="139"/>
      <c r="AH273" s="139"/>
      <c r="AI273" s="139"/>
    </row>
    <row r="274" ht="18.75" customHeight="1">
      <c r="A274" s="139"/>
      <c r="B274" s="139"/>
      <c r="C274" s="139"/>
      <c r="D274" s="139"/>
      <c r="E274" s="139"/>
      <c r="F274" s="140"/>
      <c r="G274" s="139"/>
      <c r="H274" s="139"/>
      <c r="I274" s="139"/>
      <c r="J274" s="139"/>
      <c r="K274" s="139"/>
      <c r="L274" s="139"/>
      <c r="M274" s="139"/>
      <c r="N274" s="139"/>
      <c r="O274" s="139"/>
      <c r="P274" s="224"/>
      <c r="Q274" s="224"/>
      <c r="R274" s="139"/>
      <c r="S274" s="139"/>
      <c r="T274" s="139"/>
      <c r="U274" s="139"/>
      <c r="V274" s="139"/>
      <c r="W274" s="139"/>
      <c r="X274" s="139"/>
      <c r="Y274" s="139"/>
      <c r="Z274" s="139"/>
      <c r="AA274" s="139"/>
      <c r="AB274" s="139"/>
      <c r="AC274" s="139"/>
      <c r="AD274" s="139"/>
      <c r="AE274" s="139"/>
      <c r="AF274" s="139"/>
      <c r="AG274" s="139"/>
      <c r="AH274" s="139"/>
      <c r="AI274" s="139"/>
    </row>
    <row r="275" ht="18.75" customHeight="1">
      <c r="A275" s="139" t="s">
        <v>39</v>
      </c>
      <c r="B275" s="139"/>
      <c r="C275" s="139"/>
      <c r="D275" s="139"/>
      <c r="E275" s="139"/>
      <c r="F275" s="140"/>
      <c r="G275" s="139"/>
      <c r="H275" s="139"/>
      <c r="I275" s="139"/>
      <c r="J275" s="139"/>
      <c r="K275" s="139"/>
      <c r="L275" s="139"/>
      <c r="M275" s="139"/>
      <c r="N275" s="139"/>
      <c r="O275" s="139"/>
      <c r="P275" s="224"/>
      <c r="Q275" s="224"/>
      <c r="R275" s="139"/>
      <c r="S275" s="139"/>
      <c r="T275" s="139"/>
      <c r="U275" s="139"/>
      <c r="V275" s="139"/>
      <c r="W275" s="139"/>
      <c r="X275" s="139"/>
      <c r="Y275" s="139"/>
      <c r="Z275" s="139"/>
      <c r="AA275" s="139"/>
      <c r="AB275" s="139"/>
      <c r="AC275" s="139"/>
      <c r="AD275" s="139"/>
      <c r="AE275" s="139"/>
      <c r="AF275" s="139"/>
      <c r="AG275" s="139"/>
      <c r="AH275" s="139"/>
      <c r="AI275" s="139"/>
    </row>
    <row r="276" ht="18.75" customHeight="1">
      <c r="A276" s="139"/>
      <c r="B276" s="139"/>
      <c r="C276" s="139"/>
      <c r="D276" s="139"/>
      <c r="E276" s="139"/>
      <c r="F276" s="140"/>
      <c r="G276" s="139"/>
      <c r="H276" s="139"/>
      <c r="I276" s="139"/>
      <c r="J276" s="139"/>
      <c r="K276" s="139"/>
      <c r="L276" s="139"/>
      <c r="M276" s="139"/>
      <c r="N276" s="139"/>
      <c r="O276" s="139"/>
      <c r="P276" s="224"/>
      <c r="Q276" s="224"/>
      <c r="R276" s="139"/>
      <c r="S276" s="139"/>
      <c r="T276" s="139"/>
      <c r="U276" s="139"/>
      <c r="V276" s="139"/>
      <c r="W276" s="139"/>
      <c r="X276" s="139"/>
      <c r="Y276" s="139"/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</row>
    <row r="277" ht="42.0" customHeight="1">
      <c r="A277" s="178"/>
      <c r="B277" s="162" t="s">
        <v>12</v>
      </c>
      <c r="C277" s="179" t="s">
        <v>75</v>
      </c>
      <c r="D277" s="52"/>
      <c r="E277" s="53"/>
      <c r="F277" s="181" t="s">
        <v>14</v>
      </c>
      <c r="G277" s="226" t="s">
        <v>15</v>
      </c>
      <c r="H277" s="162" t="s">
        <v>16</v>
      </c>
      <c r="I277" s="139"/>
      <c r="J277" s="139"/>
      <c r="K277" s="139"/>
      <c r="L277" s="139"/>
      <c r="M277" s="139"/>
      <c r="N277" s="139"/>
      <c r="O277" s="139"/>
      <c r="P277" s="224"/>
      <c r="Q277" s="224"/>
      <c r="R277" s="139"/>
      <c r="S277" s="139"/>
      <c r="T277" s="139"/>
      <c r="U277" s="139"/>
      <c r="V277" s="139"/>
      <c r="W277" s="139"/>
      <c r="X277" s="139"/>
      <c r="Y277" s="139"/>
      <c r="Z277" s="139"/>
      <c r="AA277" s="139"/>
      <c r="AB277" s="139"/>
      <c r="AC277" s="139"/>
      <c r="AD277" s="139"/>
      <c r="AE277" s="139"/>
      <c r="AF277" s="139"/>
      <c r="AG277" s="139"/>
      <c r="AH277" s="139"/>
      <c r="AI277" s="139"/>
    </row>
    <row r="278" ht="24.75" customHeight="1">
      <c r="A278" s="162">
        <v>1.0</v>
      </c>
      <c r="B278" s="148"/>
      <c r="C278" s="200"/>
      <c r="D278" s="200"/>
      <c r="E278" s="200"/>
      <c r="F278" s="227"/>
      <c r="G278" s="200"/>
      <c r="H278" s="195">
        <f t="shared" ref="H278:H312" si="241">+G278*F278</f>
        <v>0</v>
      </c>
      <c r="I278" s="178"/>
      <c r="J278" s="178"/>
      <c r="K278" s="178"/>
      <c r="L278" s="178"/>
      <c r="M278" s="178"/>
      <c r="N278" s="178"/>
      <c r="O278" s="228"/>
      <c r="P278" s="224"/>
      <c r="Q278" s="224"/>
      <c r="R278" s="139"/>
      <c r="S278" s="139"/>
      <c r="T278" s="139"/>
      <c r="U278" s="139"/>
      <c r="V278" s="139"/>
      <c r="W278" s="139"/>
      <c r="X278" s="139"/>
      <c r="Y278" s="139"/>
      <c r="Z278" s="139"/>
      <c r="AA278" s="139"/>
      <c r="AB278" s="139"/>
      <c r="AC278" s="178"/>
      <c r="AD278" s="178"/>
      <c r="AE278" s="178"/>
      <c r="AF278" s="178"/>
      <c r="AG278" s="178"/>
      <c r="AH278" s="178"/>
      <c r="AI278" s="178"/>
    </row>
    <row r="279" ht="24.75" customHeight="1">
      <c r="A279" s="162">
        <v>2.0</v>
      </c>
      <c r="B279" s="229"/>
      <c r="C279" s="200"/>
      <c r="D279" s="200"/>
      <c r="E279" s="200"/>
      <c r="F279" s="227"/>
      <c r="G279" s="200"/>
      <c r="H279" s="195">
        <f t="shared" si="241"/>
        <v>0</v>
      </c>
      <c r="I279" s="178"/>
      <c r="J279" s="178"/>
      <c r="K279" s="178"/>
      <c r="L279" s="178"/>
      <c r="M279" s="178"/>
      <c r="N279" s="178"/>
      <c r="O279" s="228"/>
      <c r="P279" s="224"/>
      <c r="Q279" s="139"/>
      <c r="R279" s="139"/>
      <c r="S279" s="139"/>
      <c r="T279" s="139"/>
      <c r="U279" s="139"/>
      <c r="V279" s="139"/>
      <c r="W279" s="139"/>
      <c r="X279" s="139"/>
      <c r="Y279" s="139"/>
      <c r="Z279" s="139"/>
      <c r="AA279" s="139"/>
      <c r="AB279" s="139"/>
      <c r="AC279" s="178"/>
      <c r="AD279" s="178"/>
      <c r="AE279" s="178"/>
      <c r="AF279" s="178"/>
      <c r="AG279" s="178"/>
      <c r="AH279" s="178"/>
      <c r="AI279" s="178"/>
    </row>
    <row r="280" ht="24.75" customHeight="1">
      <c r="A280" s="162">
        <v>3.0</v>
      </c>
      <c r="B280" s="229"/>
      <c r="C280" s="200"/>
      <c r="D280" s="200"/>
      <c r="E280" s="200"/>
      <c r="F280" s="227"/>
      <c r="G280" s="200"/>
      <c r="H280" s="195">
        <f t="shared" si="241"/>
        <v>0</v>
      </c>
      <c r="I280" s="178"/>
      <c r="J280" s="178"/>
      <c r="K280" s="178"/>
      <c r="L280" s="178"/>
      <c r="M280" s="178"/>
      <c r="N280" s="178"/>
      <c r="O280" s="228"/>
      <c r="P280" s="224"/>
      <c r="Q280" s="139"/>
      <c r="R280" s="139"/>
      <c r="S280" s="139"/>
      <c r="T280" s="139"/>
      <c r="U280" s="139"/>
      <c r="V280" s="139"/>
      <c r="W280" s="139"/>
      <c r="X280" s="139"/>
      <c r="Y280" s="139"/>
      <c r="Z280" s="139"/>
      <c r="AA280" s="139"/>
      <c r="AB280" s="139"/>
      <c r="AC280" s="178"/>
      <c r="AD280" s="178"/>
      <c r="AE280" s="178"/>
      <c r="AF280" s="178"/>
      <c r="AG280" s="178"/>
      <c r="AH280" s="178"/>
      <c r="AI280" s="178"/>
    </row>
    <row r="281" ht="24.75" customHeight="1">
      <c r="A281" s="162">
        <v>4.0</v>
      </c>
      <c r="B281" s="229"/>
      <c r="C281" s="200"/>
      <c r="D281" s="200"/>
      <c r="E281" s="200"/>
      <c r="F281" s="227"/>
      <c r="G281" s="200"/>
      <c r="H281" s="195">
        <f t="shared" si="241"/>
        <v>0</v>
      </c>
      <c r="I281" s="178"/>
      <c r="J281" s="178"/>
      <c r="K281" s="178"/>
      <c r="L281" s="178"/>
      <c r="M281" s="178"/>
      <c r="N281" s="178"/>
      <c r="O281" s="228"/>
      <c r="P281" s="224"/>
      <c r="Q281" s="139"/>
      <c r="R281" s="139"/>
      <c r="S281" s="139"/>
      <c r="T281" s="139"/>
      <c r="U281" s="139"/>
      <c r="V281" s="139"/>
      <c r="W281" s="139"/>
      <c r="X281" s="139"/>
      <c r="Y281" s="139"/>
      <c r="Z281" s="139"/>
      <c r="AA281" s="139"/>
      <c r="AB281" s="139"/>
      <c r="AC281" s="178"/>
      <c r="AD281" s="178"/>
      <c r="AE281" s="178"/>
      <c r="AF281" s="178"/>
      <c r="AG281" s="178"/>
      <c r="AH281" s="178"/>
      <c r="AI281" s="178"/>
    </row>
    <row r="282" ht="24.75" customHeight="1">
      <c r="A282" s="162">
        <v>5.0</v>
      </c>
      <c r="B282" s="229"/>
      <c r="C282" s="200"/>
      <c r="D282" s="200"/>
      <c r="E282" s="200"/>
      <c r="F282" s="227"/>
      <c r="G282" s="200"/>
      <c r="H282" s="195">
        <f t="shared" si="241"/>
        <v>0</v>
      </c>
      <c r="I282" s="178"/>
      <c r="J282" s="178"/>
      <c r="K282" s="178"/>
      <c r="L282" s="178"/>
      <c r="M282" s="178"/>
      <c r="N282" s="178"/>
      <c r="O282" s="228"/>
      <c r="P282" s="224"/>
      <c r="Q282" s="139"/>
      <c r="R282" s="139"/>
      <c r="S282" s="139"/>
      <c r="T282" s="139"/>
      <c r="U282" s="139"/>
      <c r="V282" s="139"/>
      <c r="W282" s="139"/>
      <c r="X282" s="139"/>
      <c r="Y282" s="139"/>
      <c r="Z282" s="139"/>
      <c r="AA282" s="139"/>
      <c r="AB282" s="139"/>
      <c r="AC282" s="178"/>
      <c r="AD282" s="178"/>
      <c r="AE282" s="178"/>
      <c r="AF282" s="178"/>
      <c r="AG282" s="178"/>
      <c r="AH282" s="178"/>
      <c r="AI282" s="178"/>
    </row>
    <row r="283" ht="24.75" customHeight="1">
      <c r="A283" s="162">
        <v>6.0</v>
      </c>
      <c r="B283" s="229"/>
      <c r="C283" s="200"/>
      <c r="D283" s="200"/>
      <c r="E283" s="200"/>
      <c r="F283" s="227"/>
      <c r="G283" s="200"/>
      <c r="H283" s="195">
        <f t="shared" si="241"/>
        <v>0</v>
      </c>
      <c r="I283" s="178"/>
      <c r="J283" s="178"/>
      <c r="K283" s="178"/>
      <c r="L283" s="178"/>
      <c r="M283" s="178"/>
      <c r="N283" s="178"/>
      <c r="O283" s="228"/>
      <c r="P283" s="224"/>
      <c r="Q283" s="139"/>
      <c r="R283" s="139"/>
      <c r="S283" s="139"/>
      <c r="T283" s="139"/>
      <c r="U283" s="139"/>
      <c r="V283" s="139"/>
      <c r="W283" s="139"/>
      <c r="X283" s="139"/>
      <c r="Y283" s="139"/>
      <c r="Z283" s="139"/>
      <c r="AA283" s="139"/>
      <c r="AB283" s="139"/>
      <c r="AC283" s="178"/>
      <c r="AD283" s="178"/>
      <c r="AE283" s="178"/>
      <c r="AF283" s="178"/>
      <c r="AG283" s="178"/>
      <c r="AH283" s="178"/>
      <c r="AI283" s="178"/>
    </row>
    <row r="284" ht="24.75" customHeight="1">
      <c r="A284" s="162">
        <v>7.0</v>
      </c>
      <c r="B284" s="229"/>
      <c r="C284" s="200"/>
      <c r="D284" s="200"/>
      <c r="E284" s="200"/>
      <c r="F284" s="227"/>
      <c r="G284" s="200"/>
      <c r="H284" s="195">
        <f t="shared" si="241"/>
        <v>0</v>
      </c>
      <c r="I284" s="178"/>
      <c r="J284" s="178"/>
      <c r="K284" s="178"/>
      <c r="L284" s="178"/>
      <c r="M284" s="178"/>
      <c r="N284" s="178"/>
      <c r="O284" s="228"/>
      <c r="P284" s="224"/>
      <c r="Q284" s="139"/>
      <c r="R284" s="139"/>
      <c r="S284" s="139"/>
      <c r="T284" s="139"/>
      <c r="U284" s="139"/>
      <c r="V284" s="139"/>
      <c r="W284" s="139"/>
      <c r="X284" s="139"/>
      <c r="Y284" s="139"/>
      <c r="Z284" s="139"/>
      <c r="AA284" s="139"/>
      <c r="AB284" s="139"/>
      <c r="AC284" s="178"/>
      <c r="AD284" s="178"/>
      <c r="AE284" s="178"/>
      <c r="AF284" s="178"/>
      <c r="AG284" s="178"/>
      <c r="AH284" s="178"/>
      <c r="AI284" s="178"/>
    </row>
    <row r="285" ht="24.75" customHeight="1">
      <c r="A285" s="162">
        <v>8.0</v>
      </c>
      <c r="B285" s="229"/>
      <c r="C285" s="200"/>
      <c r="D285" s="200"/>
      <c r="E285" s="200"/>
      <c r="F285" s="227"/>
      <c r="G285" s="200"/>
      <c r="H285" s="195">
        <f t="shared" si="241"/>
        <v>0</v>
      </c>
      <c r="I285" s="178"/>
      <c r="J285" s="178"/>
      <c r="K285" s="178"/>
      <c r="L285" s="178"/>
      <c r="M285" s="178"/>
      <c r="N285" s="178"/>
      <c r="O285" s="228"/>
      <c r="P285" s="224"/>
      <c r="Q285" s="139"/>
      <c r="R285" s="139"/>
      <c r="S285" s="139"/>
      <c r="T285" s="139"/>
      <c r="U285" s="139"/>
      <c r="V285" s="139"/>
      <c r="W285" s="139"/>
      <c r="X285" s="139"/>
      <c r="Y285" s="139"/>
      <c r="Z285" s="139"/>
      <c r="AA285" s="139"/>
      <c r="AB285" s="139"/>
      <c r="AC285" s="178"/>
      <c r="AD285" s="178"/>
      <c r="AE285" s="178"/>
      <c r="AF285" s="178"/>
      <c r="AG285" s="178"/>
      <c r="AH285" s="178"/>
      <c r="AI285" s="178"/>
    </row>
    <row r="286" ht="24.75" customHeight="1">
      <c r="A286" s="162">
        <v>9.0</v>
      </c>
      <c r="B286" s="229"/>
      <c r="C286" s="200"/>
      <c r="D286" s="200"/>
      <c r="E286" s="200"/>
      <c r="F286" s="227"/>
      <c r="G286" s="200"/>
      <c r="H286" s="195">
        <f t="shared" si="241"/>
        <v>0</v>
      </c>
      <c r="I286" s="178"/>
      <c r="J286" s="178"/>
      <c r="K286" s="178"/>
      <c r="L286" s="178"/>
      <c r="M286" s="178"/>
      <c r="N286" s="178"/>
      <c r="O286" s="228"/>
      <c r="P286" s="224"/>
      <c r="Q286" s="139"/>
      <c r="R286" s="139"/>
      <c r="S286" s="139"/>
      <c r="T286" s="139"/>
      <c r="U286" s="139"/>
      <c r="V286" s="139"/>
      <c r="W286" s="139"/>
      <c r="X286" s="139"/>
      <c r="Y286" s="139"/>
      <c r="Z286" s="139"/>
      <c r="AA286" s="139"/>
      <c r="AB286" s="139"/>
      <c r="AC286" s="178"/>
      <c r="AD286" s="178"/>
      <c r="AE286" s="178"/>
      <c r="AF286" s="178"/>
      <c r="AG286" s="178"/>
      <c r="AH286" s="178"/>
      <c r="AI286" s="178"/>
    </row>
    <row r="287" ht="24.75" customHeight="1">
      <c r="A287" s="162">
        <v>10.0</v>
      </c>
      <c r="B287" s="229"/>
      <c r="C287" s="200"/>
      <c r="D287" s="200"/>
      <c r="E287" s="200"/>
      <c r="F287" s="227"/>
      <c r="G287" s="200"/>
      <c r="H287" s="195">
        <f t="shared" si="241"/>
        <v>0</v>
      </c>
      <c r="I287" s="178"/>
      <c r="J287" s="178"/>
      <c r="K287" s="178"/>
      <c r="L287" s="178"/>
      <c r="M287" s="178"/>
      <c r="N287" s="178"/>
      <c r="O287" s="228"/>
      <c r="P287" s="224"/>
      <c r="Q287" s="139"/>
      <c r="R287" s="139"/>
      <c r="S287" s="139"/>
      <c r="T287" s="139"/>
      <c r="U287" s="139"/>
      <c r="V287" s="139"/>
      <c r="W287" s="139"/>
      <c r="X287" s="139"/>
      <c r="Y287" s="139"/>
      <c r="Z287" s="139"/>
      <c r="AA287" s="139"/>
      <c r="AB287" s="139"/>
      <c r="AC287" s="178"/>
      <c r="AD287" s="178"/>
      <c r="AE287" s="178"/>
      <c r="AF287" s="178"/>
      <c r="AG287" s="178"/>
      <c r="AH287" s="178"/>
      <c r="AI287" s="178"/>
    </row>
    <row r="288" ht="24.75" customHeight="1">
      <c r="A288" s="162">
        <v>11.0</v>
      </c>
      <c r="B288" s="229"/>
      <c r="C288" s="200"/>
      <c r="D288" s="200"/>
      <c r="E288" s="200"/>
      <c r="F288" s="227"/>
      <c r="G288" s="200"/>
      <c r="H288" s="195">
        <f t="shared" si="241"/>
        <v>0</v>
      </c>
      <c r="I288" s="178"/>
      <c r="J288" s="178"/>
      <c r="K288" s="178"/>
      <c r="L288" s="178"/>
      <c r="M288" s="178"/>
      <c r="N288" s="178"/>
      <c r="O288" s="228"/>
      <c r="P288" s="224"/>
      <c r="Q288" s="139"/>
      <c r="R288" s="139"/>
      <c r="S288" s="139"/>
      <c r="T288" s="139"/>
      <c r="U288" s="139"/>
      <c r="V288" s="139"/>
      <c r="W288" s="139"/>
      <c r="X288" s="139"/>
      <c r="Y288" s="139"/>
      <c r="Z288" s="139"/>
      <c r="AA288" s="139"/>
      <c r="AB288" s="139"/>
      <c r="AC288" s="178"/>
      <c r="AD288" s="178"/>
      <c r="AE288" s="178"/>
      <c r="AF288" s="178"/>
      <c r="AG288" s="178"/>
      <c r="AH288" s="178"/>
      <c r="AI288" s="178"/>
    </row>
    <row r="289" ht="24.75" customHeight="1">
      <c r="A289" s="162">
        <v>12.0</v>
      </c>
      <c r="B289" s="229"/>
      <c r="C289" s="200"/>
      <c r="D289" s="200"/>
      <c r="E289" s="200"/>
      <c r="F289" s="227"/>
      <c r="G289" s="200"/>
      <c r="H289" s="195">
        <f t="shared" si="241"/>
        <v>0</v>
      </c>
      <c r="I289" s="178"/>
      <c r="J289" s="178"/>
      <c r="K289" s="178"/>
      <c r="L289" s="178"/>
      <c r="M289" s="178"/>
      <c r="N289" s="178"/>
      <c r="O289" s="228"/>
      <c r="P289" s="224"/>
      <c r="Q289" s="139"/>
      <c r="R289" s="139"/>
      <c r="S289" s="139"/>
      <c r="T289" s="139"/>
      <c r="U289" s="139"/>
      <c r="V289" s="139"/>
      <c r="W289" s="139"/>
      <c r="X289" s="139"/>
      <c r="Y289" s="139"/>
      <c r="Z289" s="139"/>
      <c r="AA289" s="139"/>
      <c r="AB289" s="139"/>
      <c r="AC289" s="178"/>
      <c r="AD289" s="178"/>
      <c r="AE289" s="178"/>
      <c r="AF289" s="178"/>
      <c r="AG289" s="178"/>
      <c r="AH289" s="178"/>
      <c r="AI289" s="178"/>
    </row>
    <row r="290" ht="24.75" customHeight="1">
      <c r="A290" s="162">
        <v>13.0</v>
      </c>
      <c r="B290" s="229"/>
      <c r="C290" s="200"/>
      <c r="D290" s="200"/>
      <c r="E290" s="200"/>
      <c r="F290" s="227"/>
      <c r="G290" s="200"/>
      <c r="H290" s="195">
        <f t="shared" si="241"/>
        <v>0</v>
      </c>
      <c r="I290" s="178"/>
      <c r="J290" s="178"/>
      <c r="K290" s="178"/>
      <c r="L290" s="178"/>
      <c r="M290" s="178"/>
      <c r="N290" s="178"/>
      <c r="O290" s="228"/>
      <c r="P290" s="224"/>
      <c r="Q290" s="139"/>
      <c r="R290" s="139"/>
      <c r="S290" s="139"/>
      <c r="T290" s="139"/>
      <c r="U290" s="139"/>
      <c r="V290" s="139"/>
      <c r="W290" s="139"/>
      <c r="X290" s="139"/>
      <c r="Y290" s="139"/>
      <c r="Z290" s="139"/>
      <c r="AA290" s="139"/>
      <c r="AB290" s="139"/>
      <c r="AC290" s="178"/>
      <c r="AD290" s="178"/>
      <c r="AE290" s="178"/>
      <c r="AF290" s="178"/>
      <c r="AG290" s="178"/>
      <c r="AH290" s="178"/>
      <c r="AI290" s="178"/>
    </row>
    <row r="291" ht="24.75" customHeight="1">
      <c r="A291" s="162">
        <v>14.0</v>
      </c>
      <c r="B291" s="229"/>
      <c r="C291" s="200"/>
      <c r="D291" s="200"/>
      <c r="E291" s="200"/>
      <c r="F291" s="227"/>
      <c r="G291" s="200"/>
      <c r="H291" s="195">
        <f t="shared" si="241"/>
        <v>0</v>
      </c>
      <c r="I291" s="178"/>
      <c r="J291" s="178"/>
      <c r="K291" s="178"/>
      <c r="L291" s="178"/>
      <c r="M291" s="178"/>
      <c r="N291" s="178"/>
      <c r="O291" s="228"/>
      <c r="P291" s="224"/>
      <c r="Q291" s="139"/>
      <c r="R291" s="139"/>
      <c r="S291" s="139"/>
      <c r="T291" s="139"/>
      <c r="U291" s="139"/>
      <c r="V291" s="139"/>
      <c r="W291" s="139"/>
      <c r="X291" s="139"/>
      <c r="Y291" s="139"/>
      <c r="Z291" s="139"/>
      <c r="AA291" s="139"/>
      <c r="AB291" s="139"/>
      <c r="AC291" s="178"/>
      <c r="AD291" s="178"/>
      <c r="AE291" s="178"/>
      <c r="AF291" s="178"/>
      <c r="AG291" s="178"/>
      <c r="AH291" s="178"/>
      <c r="AI291" s="178"/>
    </row>
    <row r="292" ht="24.75" customHeight="1">
      <c r="A292" s="162">
        <v>15.0</v>
      </c>
      <c r="B292" s="229"/>
      <c r="C292" s="200"/>
      <c r="D292" s="200"/>
      <c r="E292" s="200"/>
      <c r="F292" s="227"/>
      <c r="G292" s="200"/>
      <c r="H292" s="195">
        <f t="shared" si="241"/>
        <v>0</v>
      </c>
      <c r="I292" s="178"/>
      <c r="J292" s="178"/>
      <c r="K292" s="178"/>
      <c r="L292" s="178"/>
      <c r="M292" s="178"/>
      <c r="N292" s="178"/>
      <c r="O292" s="228"/>
      <c r="P292" s="224"/>
      <c r="Q292" s="139"/>
      <c r="R292" s="139"/>
      <c r="S292" s="139"/>
      <c r="T292" s="139"/>
      <c r="U292" s="139"/>
      <c r="V292" s="139"/>
      <c r="W292" s="139"/>
      <c r="X292" s="139"/>
      <c r="Y292" s="139"/>
      <c r="Z292" s="139"/>
      <c r="AA292" s="139"/>
      <c r="AB292" s="139"/>
      <c r="AC292" s="178"/>
      <c r="AD292" s="178"/>
      <c r="AE292" s="178"/>
      <c r="AF292" s="178"/>
      <c r="AG292" s="178"/>
      <c r="AH292" s="178"/>
      <c r="AI292" s="178"/>
    </row>
    <row r="293" ht="24.75" customHeight="1">
      <c r="A293" s="162">
        <v>16.0</v>
      </c>
      <c r="B293" s="229"/>
      <c r="C293" s="200"/>
      <c r="D293" s="200"/>
      <c r="E293" s="200"/>
      <c r="F293" s="227"/>
      <c r="G293" s="200"/>
      <c r="H293" s="195">
        <f t="shared" si="241"/>
        <v>0</v>
      </c>
      <c r="I293" s="178"/>
      <c r="J293" s="178"/>
      <c r="K293" s="178"/>
      <c r="L293" s="178"/>
      <c r="M293" s="178"/>
      <c r="N293" s="178"/>
      <c r="O293" s="228"/>
      <c r="P293" s="224"/>
      <c r="Q293" s="139"/>
      <c r="R293" s="139"/>
      <c r="S293" s="139"/>
      <c r="T293" s="139"/>
      <c r="U293" s="139"/>
      <c r="V293" s="139"/>
      <c r="W293" s="139"/>
      <c r="X293" s="139"/>
      <c r="Y293" s="139"/>
      <c r="Z293" s="139"/>
      <c r="AA293" s="139"/>
      <c r="AB293" s="139"/>
      <c r="AC293" s="178"/>
      <c r="AD293" s="178"/>
      <c r="AE293" s="178"/>
      <c r="AF293" s="178"/>
      <c r="AG293" s="178"/>
      <c r="AH293" s="178"/>
      <c r="AI293" s="178"/>
    </row>
    <row r="294" ht="24.75" customHeight="1">
      <c r="A294" s="162">
        <v>17.0</v>
      </c>
      <c r="B294" s="229"/>
      <c r="C294" s="200"/>
      <c r="D294" s="200"/>
      <c r="E294" s="200"/>
      <c r="F294" s="227"/>
      <c r="G294" s="200"/>
      <c r="H294" s="195">
        <f t="shared" si="241"/>
        <v>0</v>
      </c>
      <c r="I294" s="178"/>
      <c r="J294" s="178"/>
      <c r="K294" s="178"/>
      <c r="L294" s="178"/>
      <c r="M294" s="178"/>
      <c r="N294" s="178"/>
      <c r="O294" s="228"/>
      <c r="P294" s="224"/>
      <c r="Q294" s="139"/>
      <c r="R294" s="139"/>
      <c r="S294" s="139"/>
      <c r="T294" s="139"/>
      <c r="U294" s="139"/>
      <c r="V294" s="139"/>
      <c r="W294" s="139"/>
      <c r="X294" s="139"/>
      <c r="Y294" s="139"/>
      <c r="Z294" s="139"/>
      <c r="AA294" s="139"/>
      <c r="AB294" s="139"/>
      <c r="AC294" s="178"/>
      <c r="AD294" s="178"/>
      <c r="AE294" s="178"/>
      <c r="AF294" s="178"/>
      <c r="AG294" s="178"/>
      <c r="AH294" s="178"/>
      <c r="AI294" s="178"/>
    </row>
    <row r="295" ht="24.75" customHeight="1">
      <c r="A295" s="162">
        <v>18.0</v>
      </c>
      <c r="B295" s="229"/>
      <c r="C295" s="200"/>
      <c r="D295" s="200"/>
      <c r="E295" s="200"/>
      <c r="F295" s="227"/>
      <c r="G295" s="200"/>
      <c r="H295" s="195">
        <f t="shared" si="241"/>
        <v>0</v>
      </c>
      <c r="I295" s="178"/>
      <c r="J295" s="178"/>
      <c r="K295" s="178"/>
      <c r="L295" s="178"/>
      <c r="M295" s="178"/>
      <c r="N295" s="178"/>
      <c r="O295" s="228"/>
      <c r="P295" s="224"/>
      <c r="Q295" s="139"/>
      <c r="R295" s="139"/>
      <c r="S295" s="139"/>
      <c r="T295" s="139"/>
      <c r="U295" s="139"/>
      <c r="V295" s="139"/>
      <c r="W295" s="139"/>
      <c r="X295" s="139"/>
      <c r="Y295" s="139"/>
      <c r="Z295" s="139"/>
      <c r="AA295" s="139"/>
      <c r="AB295" s="139"/>
      <c r="AC295" s="178"/>
      <c r="AD295" s="178"/>
      <c r="AE295" s="178"/>
      <c r="AF295" s="178"/>
      <c r="AG295" s="178"/>
      <c r="AH295" s="178"/>
      <c r="AI295" s="178"/>
    </row>
    <row r="296" ht="24.75" customHeight="1">
      <c r="A296" s="162">
        <v>19.0</v>
      </c>
      <c r="B296" s="229"/>
      <c r="C296" s="200"/>
      <c r="D296" s="200"/>
      <c r="E296" s="200"/>
      <c r="F296" s="227"/>
      <c r="G296" s="200"/>
      <c r="H296" s="195">
        <f t="shared" si="241"/>
        <v>0</v>
      </c>
      <c r="I296" s="178"/>
      <c r="J296" s="178"/>
      <c r="K296" s="178"/>
      <c r="L296" s="178"/>
      <c r="M296" s="178"/>
      <c r="N296" s="178"/>
      <c r="O296" s="228"/>
      <c r="P296" s="140"/>
      <c r="Q296" s="139"/>
      <c r="R296" s="139"/>
      <c r="S296" s="139"/>
      <c r="T296" s="139"/>
      <c r="U296" s="139"/>
      <c r="V296" s="139"/>
      <c r="W296" s="139"/>
      <c r="X296" s="139"/>
      <c r="Y296" s="139"/>
      <c r="Z296" s="139"/>
      <c r="AA296" s="139"/>
      <c r="AB296" s="139"/>
      <c r="AC296" s="178"/>
      <c r="AD296" s="178"/>
      <c r="AE296" s="178"/>
      <c r="AF296" s="178"/>
      <c r="AG296" s="178"/>
      <c r="AH296" s="178"/>
      <c r="AI296" s="178"/>
    </row>
    <row r="297" ht="24.75" customHeight="1">
      <c r="A297" s="162">
        <v>20.0</v>
      </c>
      <c r="B297" s="229"/>
      <c r="C297" s="200"/>
      <c r="D297" s="200"/>
      <c r="E297" s="200"/>
      <c r="F297" s="227"/>
      <c r="G297" s="200"/>
      <c r="H297" s="195">
        <f t="shared" si="241"/>
        <v>0</v>
      </c>
      <c r="I297" s="178"/>
      <c r="J297" s="178"/>
      <c r="K297" s="178"/>
      <c r="L297" s="178"/>
      <c r="M297" s="178"/>
      <c r="N297" s="178"/>
      <c r="O297" s="228"/>
      <c r="P297" s="224"/>
      <c r="Q297" s="139"/>
      <c r="R297" s="139"/>
      <c r="S297" s="139"/>
      <c r="T297" s="139"/>
      <c r="U297" s="139"/>
      <c r="V297" s="139"/>
      <c r="W297" s="139"/>
      <c r="X297" s="139"/>
      <c r="Y297" s="139"/>
      <c r="Z297" s="139"/>
      <c r="AA297" s="139"/>
      <c r="AB297" s="139"/>
      <c r="AC297" s="178"/>
      <c r="AD297" s="178"/>
      <c r="AE297" s="178"/>
      <c r="AF297" s="178"/>
      <c r="AG297" s="178"/>
      <c r="AH297" s="178"/>
      <c r="AI297" s="178"/>
    </row>
    <row r="298" ht="24.75" hidden="1" customHeight="1">
      <c r="A298" s="162">
        <v>21.0</v>
      </c>
      <c r="B298" s="229"/>
      <c r="C298" s="200"/>
      <c r="D298" s="200"/>
      <c r="E298" s="200"/>
      <c r="F298" s="227"/>
      <c r="G298" s="200"/>
      <c r="H298" s="195">
        <f t="shared" si="241"/>
        <v>0</v>
      </c>
      <c r="I298" s="178"/>
      <c r="J298" s="178"/>
      <c r="K298" s="178"/>
      <c r="L298" s="178"/>
      <c r="M298" s="178"/>
      <c r="N298" s="178"/>
      <c r="O298" s="228"/>
      <c r="P298" s="224"/>
      <c r="Q298" s="139"/>
      <c r="R298" s="139"/>
      <c r="S298" s="139"/>
      <c r="T298" s="139"/>
      <c r="U298" s="139"/>
      <c r="V298" s="139"/>
      <c r="W298" s="139"/>
      <c r="X298" s="139"/>
      <c r="Y298" s="139"/>
      <c r="Z298" s="139"/>
      <c r="AA298" s="139"/>
      <c r="AB298" s="139"/>
      <c r="AC298" s="178"/>
      <c r="AD298" s="178"/>
      <c r="AE298" s="178"/>
      <c r="AF298" s="178"/>
      <c r="AG298" s="178"/>
      <c r="AH298" s="178"/>
      <c r="AI298" s="178"/>
    </row>
    <row r="299" ht="24.75" hidden="1" customHeight="1">
      <c r="A299" s="162">
        <v>22.0</v>
      </c>
      <c r="B299" s="229"/>
      <c r="C299" s="200"/>
      <c r="D299" s="200"/>
      <c r="E299" s="200"/>
      <c r="F299" s="227"/>
      <c r="G299" s="200"/>
      <c r="H299" s="195">
        <f t="shared" si="241"/>
        <v>0</v>
      </c>
      <c r="I299" s="178"/>
      <c r="J299" s="178"/>
      <c r="K299" s="178"/>
      <c r="L299" s="178"/>
      <c r="M299" s="178"/>
      <c r="N299" s="178"/>
      <c r="O299" s="139"/>
      <c r="P299" s="139"/>
      <c r="Q299" s="139"/>
      <c r="R299" s="139"/>
      <c r="S299" s="139"/>
      <c r="T299" s="139"/>
      <c r="U299" s="139"/>
      <c r="V299" s="139"/>
      <c r="W299" s="139"/>
      <c r="X299" s="139"/>
      <c r="Y299" s="139"/>
      <c r="Z299" s="139"/>
      <c r="AA299" s="139"/>
      <c r="AB299" s="139"/>
      <c r="AC299" s="178"/>
      <c r="AD299" s="178"/>
      <c r="AE299" s="178"/>
      <c r="AF299" s="178"/>
      <c r="AG299" s="178"/>
      <c r="AH299" s="178"/>
      <c r="AI299" s="178"/>
    </row>
    <row r="300" ht="24.75" hidden="1" customHeight="1">
      <c r="A300" s="162">
        <v>23.0</v>
      </c>
      <c r="B300" s="229"/>
      <c r="C300" s="200"/>
      <c r="D300" s="200"/>
      <c r="E300" s="200"/>
      <c r="F300" s="227"/>
      <c r="G300" s="200"/>
      <c r="H300" s="195">
        <f t="shared" si="241"/>
        <v>0</v>
      </c>
      <c r="I300" s="178"/>
      <c r="J300" s="178"/>
      <c r="K300" s="178"/>
      <c r="L300" s="178"/>
      <c r="M300" s="178"/>
      <c r="N300" s="178"/>
      <c r="O300" s="139"/>
      <c r="P300" s="139"/>
      <c r="Q300" s="139"/>
      <c r="R300" s="139"/>
      <c r="S300" s="139"/>
      <c r="T300" s="139"/>
      <c r="U300" s="139"/>
      <c r="V300" s="139"/>
      <c r="W300" s="139"/>
      <c r="X300" s="139"/>
      <c r="Y300" s="139"/>
      <c r="Z300" s="139"/>
      <c r="AA300" s="139"/>
      <c r="AB300" s="139"/>
      <c r="AC300" s="178"/>
      <c r="AD300" s="178"/>
      <c r="AE300" s="178"/>
      <c r="AF300" s="178"/>
      <c r="AG300" s="178"/>
      <c r="AH300" s="178"/>
      <c r="AI300" s="178"/>
    </row>
    <row r="301" ht="24.75" hidden="1" customHeight="1">
      <c r="A301" s="162">
        <v>24.0</v>
      </c>
      <c r="B301" s="229"/>
      <c r="C301" s="200"/>
      <c r="D301" s="200"/>
      <c r="E301" s="200"/>
      <c r="F301" s="227"/>
      <c r="G301" s="200"/>
      <c r="H301" s="195">
        <f t="shared" si="241"/>
        <v>0</v>
      </c>
      <c r="I301" s="178"/>
      <c r="J301" s="178"/>
      <c r="K301" s="178"/>
      <c r="L301" s="178"/>
      <c r="M301" s="178"/>
      <c r="N301" s="178"/>
      <c r="O301" s="139"/>
      <c r="P301" s="139"/>
      <c r="Q301" s="139"/>
      <c r="R301" s="139"/>
      <c r="S301" s="139"/>
      <c r="T301" s="139"/>
      <c r="U301" s="139"/>
      <c r="V301" s="139"/>
      <c r="W301" s="139"/>
      <c r="X301" s="139"/>
      <c r="Y301" s="139"/>
      <c r="Z301" s="139"/>
      <c r="AA301" s="139"/>
      <c r="AB301" s="139"/>
      <c r="AC301" s="139"/>
      <c r="AD301" s="139"/>
      <c r="AE301" s="139"/>
      <c r="AF301" s="139"/>
      <c r="AG301" s="139"/>
      <c r="AH301" s="139"/>
      <c r="AI301" s="139"/>
    </row>
    <row r="302" ht="24.75" hidden="1" customHeight="1">
      <c r="A302" s="162">
        <v>25.0</v>
      </c>
      <c r="B302" s="229"/>
      <c r="C302" s="200"/>
      <c r="D302" s="200"/>
      <c r="E302" s="200"/>
      <c r="F302" s="227"/>
      <c r="G302" s="200"/>
      <c r="H302" s="195">
        <f t="shared" si="241"/>
        <v>0</v>
      </c>
      <c r="I302" s="178"/>
      <c r="J302" s="178"/>
      <c r="K302" s="178"/>
      <c r="L302" s="178"/>
      <c r="M302" s="178"/>
      <c r="N302" s="178"/>
      <c r="O302" s="139"/>
      <c r="P302" s="139"/>
      <c r="Q302" s="139"/>
      <c r="R302" s="139"/>
      <c r="S302" s="139"/>
      <c r="T302" s="139"/>
      <c r="U302" s="139"/>
      <c r="V302" s="139"/>
      <c r="W302" s="139"/>
      <c r="X302" s="139"/>
      <c r="Y302" s="139"/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</row>
    <row r="303" ht="24.75" hidden="1" customHeight="1">
      <c r="A303" s="162">
        <v>26.0</v>
      </c>
      <c r="B303" s="229"/>
      <c r="C303" s="200"/>
      <c r="D303" s="200"/>
      <c r="E303" s="200"/>
      <c r="F303" s="227"/>
      <c r="G303" s="200"/>
      <c r="H303" s="195">
        <f t="shared" si="241"/>
        <v>0</v>
      </c>
      <c r="I303" s="178"/>
      <c r="J303" s="178"/>
      <c r="K303" s="178"/>
      <c r="L303" s="178"/>
      <c r="M303" s="178"/>
      <c r="N303" s="178"/>
      <c r="O303" s="139"/>
      <c r="P303" s="139"/>
      <c r="Q303" s="139"/>
      <c r="R303" s="139"/>
      <c r="S303" s="139"/>
      <c r="T303" s="139"/>
      <c r="U303" s="139"/>
      <c r="V303" s="139"/>
      <c r="W303" s="139"/>
      <c r="X303" s="139"/>
      <c r="Y303" s="139"/>
      <c r="Z303" s="139"/>
      <c r="AA303" s="139"/>
      <c r="AB303" s="139"/>
      <c r="AC303" s="139"/>
      <c r="AD303" s="139"/>
      <c r="AE303" s="139"/>
      <c r="AF303" s="139"/>
      <c r="AG303" s="139"/>
      <c r="AH303" s="139"/>
      <c r="AI303" s="139"/>
    </row>
    <row r="304" ht="24.75" hidden="1" customHeight="1">
      <c r="A304" s="162">
        <v>27.0</v>
      </c>
      <c r="B304" s="229"/>
      <c r="C304" s="200"/>
      <c r="D304" s="200"/>
      <c r="E304" s="200"/>
      <c r="F304" s="200"/>
      <c r="G304" s="200"/>
      <c r="H304" s="195">
        <f t="shared" si="241"/>
        <v>0</v>
      </c>
      <c r="I304" s="178"/>
      <c r="J304" s="178"/>
      <c r="K304" s="178"/>
      <c r="L304" s="178"/>
      <c r="M304" s="178"/>
      <c r="N304" s="178"/>
      <c r="O304" s="139"/>
      <c r="P304" s="139"/>
      <c r="Q304" s="139"/>
      <c r="R304" s="139"/>
      <c r="S304" s="139"/>
      <c r="T304" s="139"/>
      <c r="U304" s="139"/>
      <c r="V304" s="139"/>
      <c r="W304" s="139"/>
      <c r="X304" s="139"/>
      <c r="Y304" s="139"/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</row>
    <row r="305" ht="24.75" hidden="1" customHeight="1">
      <c r="A305" s="162">
        <v>28.0</v>
      </c>
      <c r="B305" s="229"/>
      <c r="C305" s="200"/>
      <c r="D305" s="200"/>
      <c r="E305" s="200"/>
      <c r="F305" s="200"/>
      <c r="G305" s="200"/>
      <c r="H305" s="195">
        <f t="shared" si="241"/>
        <v>0</v>
      </c>
      <c r="I305" s="178"/>
      <c r="J305" s="178"/>
      <c r="K305" s="178"/>
      <c r="L305" s="178"/>
      <c r="M305" s="178"/>
      <c r="N305" s="178"/>
      <c r="O305" s="139"/>
      <c r="P305" s="139"/>
      <c r="Q305" s="139"/>
      <c r="R305" s="139"/>
      <c r="S305" s="139"/>
      <c r="T305" s="139"/>
      <c r="U305" s="139"/>
      <c r="V305" s="139"/>
      <c r="W305" s="139"/>
      <c r="X305" s="139"/>
      <c r="Y305" s="139"/>
      <c r="Z305" s="139"/>
      <c r="AA305" s="139"/>
      <c r="AB305" s="139"/>
      <c r="AC305" s="139"/>
      <c r="AD305" s="139"/>
      <c r="AE305" s="139"/>
      <c r="AF305" s="139"/>
      <c r="AG305" s="139"/>
      <c r="AH305" s="139"/>
      <c r="AI305" s="139"/>
    </row>
    <row r="306" ht="24.75" hidden="1" customHeight="1">
      <c r="A306" s="162">
        <v>29.0</v>
      </c>
      <c r="B306" s="230"/>
      <c r="C306" s="200"/>
      <c r="D306" s="200"/>
      <c r="E306" s="200"/>
      <c r="F306" s="200"/>
      <c r="G306" s="200"/>
      <c r="H306" s="195">
        <f t="shared" si="241"/>
        <v>0</v>
      </c>
      <c r="I306" s="178"/>
      <c r="J306" s="178"/>
      <c r="K306" s="178"/>
      <c r="L306" s="178"/>
      <c r="M306" s="178"/>
      <c r="N306" s="178"/>
      <c r="O306" s="139"/>
      <c r="P306" s="139"/>
      <c r="Q306" s="139"/>
      <c r="R306" s="139"/>
      <c r="S306" s="139"/>
      <c r="T306" s="139"/>
      <c r="U306" s="139"/>
      <c r="V306" s="139"/>
      <c r="W306" s="139"/>
      <c r="X306" s="139"/>
      <c r="Y306" s="139"/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</row>
    <row r="307" ht="24.75" hidden="1" customHeight="1">
      <c r="A307" s="162">
        <v>30.0</v>
      </c>
      <c r="B307" s="230"/>
      <c r="C307" s="200"/>
      <c r="D307" s="200"/>
      <c r="E307" s="200"/>
      <c r="F307" s="227"/>
      <c r="G307" s="200"/>
      <c r="H307" s="195">
        <f t="shared" si="241"/>
        <v>0</v>
      </c>
      <c r="I307" s="178"/>
      <c r="J307" s="178"/>
      <c r="K307" s="178"/>
      <c r="L307" s="178"/>
      <c r="M307" s="178"/>
      <c r="N307" s="178"/>
      <c r="O307" s="139"/>
      <c r="P307" s="139"/>
      <c r="Q307" s="139"/>
      <c r="R307" s="139"/>
      <c r="S307" s="139"/>
      <c r="T307" s="139"/>
      <c r="U307" s="139"/>
      <c r="V307" s="139"/>
      <c r="W307" s="139"/>
      <c r="X307" s="139"/>
      <c r="Y307" s="139"/>
      <c r="Z307" s="139"/>
      <c r="AA307" s="139"/>
      <c r="AB307" s="139"/>
      <c r="AC307" s="139"/>
      <c r="AD307" s="139"/>
      <c r="AE307" s="139"/>
      <c r="AF307" s="139"/>
      <c r="AG307" s="139"/>
      <c r="AH307" s="139"/>
      <c r="AI307" s="139"/>
    </row>
    <row r="308" ht="24.75" hidden="1" customHeight="1">
      <c r="A308" s="162">
        <v>31.0</v>
      </c>
      <c r="B308" s="218"/>
      <c r="C308" s="200"/>
      <c r="D308" s="200"/>
      <c r="E308" s="200"/>
      <c r="F308" s="227"/>
      <c r="G308" s="200"/>
      <c r="H308" s="195">
        <f t="shared" si="241"/>
        <v>0</v>
      </c>
      <c r="I308" s="178"/>
      <c r="J308" s="178"/>
      <c r="K308" s="178"/>
      <c r="L308" s="178"/>
      <c r="M308" s="178"/>
      <c r="N308" s="178"/>
      <c r="O308" s="139"/>
      <c r="P308" s="139"/>
      <c r="Q308" s="139"/>
      <c r="R308" s="139"/>
      <c r="S308" s="139"/>
      <c r="T308" s="139"/>
      <c r="U308" s="139"/>
      <c r="V308" s="139"/>
      <c r="W308" s="139"/>
      <c r="X308" s="139"/>
      <c r="Y308" s="139"/>
      <c r="Z308" s="139"/>
      <c r="AA308" s="139"/>
      <c r="AB308" s="139"/>
      <c r="AC308" s="139"/>
      <c r="AD308" s="139"/>
      <c r="AE308" s="139"/>
      <c r="AF308" s="139"/>
      <c r="AG308" s="139"/>
      <c r="AH308" s="139"/>
      <c r="AI308" s="139"/>
    </row>
    <row r="309" ht="24.75" hidden="1" customHeight="1">
      <c r="A309" s="162">
        <v>32.0</v>
      </c>
      <c r="B309" s="218"/>
      <c r="C309" s="162"/>
      <c r="D309" s="162"/>
      <c r="E309" s="162"/>
      <c r="F309" s="162"/>
      <c r="G309" s="162"/>
      <c r="H309" s="195">
        <f t="shared" si="241"/>
        <v>0</v>
      </c>
      <c r="I309" s="178"/>
      <c r="J309" s="178"/>
      <c r="K309" s="178"/>
      <c r="L309" s="178"/>
      <c r="M309" s="178"/>
      <c r="N309" s="178"/>
      <c r="O309" s="139"/>
      <c r="P309" s="139"/>
      <c r="Q309" s="139"/>
      <c r="R309" s="139"/>
      <c r="S309" s="139"/>
      <c r="T309" s="139"/>
      <c r="U309" s="139"/>
      <c r="V309" s="139"/>
      <c r="W309" s="139"/>
      <c r="X309" s="139"/>
      <c r="Y309" s="139"/>
      <c r="Z309" s="139"/>
      <c r="AA309" s="139"/>
      <c r="AB309" s="139"/>
      <c r="AC309" s="139"/>
      <c r="AD309" s="139"/>
      <c r="AE309" s="139"/>
      <c r="AF309" s="139"/>
      <c r="AG309" s="139"/>
      <c r="AH309" s="139"/>
      <c r="AI309" s="139"/>
    </row>
    <row r="310" ht="24.75" hidden="1" customHeight="1">
      <c r="A310" s="162">
        <v>33.0</v>
      </c>
      <c r="B310" s="230"/>
      <c r="C310" s="162"/>
      <c r="D310" s="162"/>
      <c r="E310" s="162"/>
      <c r="F310" s="162"/>
      <c r="G310" s="162"/>
      <c r="H310" s="195">
        <f t="shared" si="241"/>
        <v>0</v>
      </c>
      <c r="I310" s="178"/>
      <c r="J310" s="178"/>
      <c r="K310" s="178"/>
      <c r="L310" s="178"/>
      <c r="M310" s="178"/>
      <c r="N310" s="178"/>
      <c r="O310" s="139"/>
      <c r="P310" s="139"/>
      <c r="Q310" s="139"/>
      <c r="R310" s="139"/>
      <c r="S310" s="139"/>
      <c r="T310" s="139"/>
      <c r="U310" s="139"/>
      <c r="V310" s="139"/>
      <c r="W310" s="139"/>
      <c r="X310" s="139"/>
      <c r="Y310" s="139"/>
      <c r="Z310" s="139"/>
      <c r="AA310" s="139"/>
      <c r="AB310" s="139"/>
      <c r="AC310" s="139"/>
      <c r="AD310" s="139"/>
      <c r="AE310" s="139"/>
      <c r="AF310" s="139"/>
      <c r="AG310" s="139"/>
      <c r="AH310" s="139"/>
      <c r="AI310" s="139"/>
    </row>
    <row r="311" ht="24.75" hidden="1" customHeight="1">
      <c r="A311" s="162">
        <v>34.0</v>
      </c>
      <c r="B311" s="231"/>
      <c r="C311" s="162"/>
      <c r="D311" s="162"/>
      <c r="E311" s="162"/>
      <c r="F311" s="162"/>
      <c r="G311" s="162"/>
      <c r="H311" s="195">
        <f t="shared" si="241"/>
        <v>0</v>
      </c>
      <c r="I311" s="178"/>
      <c r="J311" s="178"/>
      <c r="K311" s="178"/>
      <c r="L311" s="178"/>
      <c r="M311" s="178"/>
      <c r="N311" s="178"/>
      <c r="O311" s="139"/>
      <c r="P311" s="139"/>
      <c r="Q311" s="139"/>
      <c r="R311" s="139"/>
      <c r="S311" s="139"/>
      <c r="T311" s="139"/>
      <c r="U311" s="139"/>
      <c r="V311" s="139"/>
      <c r="W311" s="139"/>
      <c r="X311" s="139"/>
      <c r="Y311" s="139"/>
      <c r="Z311" s="139"/>
      <c r="AA311" s="139"/>
      <c r="AB311" s="139"/>
      <c r="AC311" s="139"/>
      <c r="AD311" s="139"/>
      <c r="AE311" s="139"/>
      <c r="AF311" s="139"/>
      <c r="AG311" s="139"/>
      <c r="AH311" s="139"/>
      <c r="AI311" s="139"/>
    </row>
    <row r="312" ht="24.75" hidden="1" customHeight="1">
      <c r="A312" s="162">
        <v>35.0</v>
      </c>
      <c r="B312" s="232"/>
      <c r="C312" s="162"/>
      <c r="D312" s="162"/>
      <c r="E312" s="162"/>
      <c r="F312" s="162"/>
      <c r="G312" s="162"/>
      <c r="H312" s="195">
        <f t="shared" si="241"/>
        <v>0</v>
      </c>
      <c r="I312" s="178"/>
      <c r="J312" s="178"/>
      <c r="K312" s="178"/>
      <c r="L312" s="178"/>
      <c r="M312" s="178"/>
      <c r="N312" s="178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</row>
    <row r="313" ht="18.75" customHeight="1">
      <c r="A313" s="139"/>
      <c r="B313" s="139"/>
      <c r="C313" s="139"/>
      <c r="D313" s="139"/>
      <c r="E313" s="139"/>
      <c r="F313" s="140" t="s">
        <v>38</v>
      </c>
      <c r="G313" s="139"/>
      <c r="H313" s="233">
        <f>SUM(H278:H312)</f>
        <v>0</v>
      </c>
      <c r="I313" s="234"/>
      <c r="J313" s="234"/>
      <c r="K313" s="234"/>
      <c r="L313" s="234"/>
      <c r="M313" s="234"/>
      <c r="N313" s="234"/>
      <c r="O313" s="234"/>
      <c r="P313" s="139"/>
      <c r="Q313" s="224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</row>
    <row r="314" ht="18.75" customHeight="1">
      <c r="A314" s="144"/>
      <c r="B314" s="144"/>
      <c r="C314" s="144"/>
      <c r="D314" s="144"/>
      <c r="E314" s="144"/>
      <c r="F314" s="145"/>
      <c r="G314" s="175"/>
      <c r="H314" s="206">
        <f>+H313*60%</f>
        <v>0</v>
      </c>
      <c r="I314" s="206"/>
      <c r="J314" s="206"/>
      <c r="K314" s="206"/>
      <c r="L314" s="206"/>
      <c r="M314" s="206"/>
      <c r="N314" s="206"/>
      <c r="O314" s="206">
        <f>+H313*40%</f>
        <v>0</v>
      </c>
      <c r="P314" s="139"/>
      <c r="Q314" s="224"/>
      <c r="R314" s="139"/>
      <c r="S314" s="139"/>
      <c r="T314" s="139"/>
      <c r="U314" s="139"/>
      <c r="V314" s="139"/>
      <c r="W314" s="139"/>
      <c r="X314" s="139"/>
      <c r="Y314" s="139"/>
      <c r="Z314" s="139"/>
      <c r="AA314" s="139"/>
      <c r="AB314" s="139"/>
      <c r="AC314" s="139"/>
      <c r="AD314" s="139"/>
      <c r="AE314" s="139"/>
      <c r="AF314" s="139"/>
      <c r="AG314" s="139"/>
      <c r="AH314" s="139"/>
      <c r="AI314" s="139"/>
    </row>
    <row r="315" ht="18.75" customHeight="1">
      <c r="A315" s="139"/>
      <c r="B315" s="139"/>
      <c r="C315" s="139"/>
      <c r="D315" s="139"/>
      <c r="E315" s="139"/>
      <c r="F315" s="140"/>
      <c r="G315" s="139"/>
      <c r="H315" s="139"/>
      <c r="I315" s="139"/>
      <c r="J315" s="139"/>
      <c r="K315" s="139"/>
      <c r="L315" s="139"/>
      <c r="M315" s="139"/>
      <c r="N315" s="139"/>
      <c r="O315" s="139"/>
      <c r="P315" s="139"/>
      <c r="Q315" s="224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</row>
    <row r="316" ht="18.75" customHeight="1">
      <c r="A316" s="139"/>
      <c r="B316" s="139"/>
      <c r="C316" s="139"/>
      <c r="D316" s="139"/>
      <c r="E316" s="139"/>
      <c r="F316" s="140"/>
      <c r="G316" s="139"/>
      <c r="H316" s="139"/>
      <c r="I316" s="139"/>
      <c r="J316" s="139"/>
      <c r="K316" s="139"/>
      <c r="L316" s="139"/>
      <c r="M316" s="139"/>
      <c r="N316" s="139"/>
      <c r="O316" s="139"/>
      <c r="P316" s="139"/>
      <c r="Q316" s="224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</row>
    <row r="317" ht="19.5" customHeight="1">
      <c r="A317" s="235" t="s">
        <v>41</v>
      </c>
      <c r="B317" s="139"/>
      <c r="C317" s="139"/>
      <c r="D317" s="139"/>
      <c r="E317" s="139"/>
      <c r="F317" s="140"/>
      <c r="G317" s="139"/>
      <c r="H317" s="139"/>
      <c r="I317" s="139"/>
      <c r="J317" s="139"/>
      <c r="K317" s="139"/>
      <c r="L317" s="139"/>
      <c r="M317" s="139"/>
      <c r="N317" s="139"/>
      <c r="O317" s="139"/>
      <c r="P317" s="139"/>
      <c r="Q317" s="224"/>
      <c r="R317" s="139"/>
      <c r="S317" s="139"/>
      <c r="T317" s="139"/>
      <c r="U317" s="139"/>
      <c r="V317" s="139"/>
      <c r="W317" s="139"/>
      <c r="X317" s="139"/>
      <c r="Y317" s="139"/>
      <c r="Z317" s="139"/>
      <c r="AA317" s="139"/>
      <c r="AB317" s="139"/>
      <c r="AC317" s="139"/>
      <c r="AD317" s="139"/>
      <c r="AE317" s="139"/>
      <c r="AF317" s="139"/>
      <c r="AG317" s="139"/>
      <c r="AH317" s="139"/>
      <c r="AI317" s="139"/>
    </row>
    <row r="318" ht="57.0" customHeight="1">
      <c r="A318" s="236"/>
      <c r="B318" s="237" t="s">
        <v>42</v>
      </c>
      <c r="C318" s="237" t="s">
        <v>43</v>
      </c>
      <c r="D318" s="237" t="s">
        <v>44</v>
      </c>
      <c r="E318" s="237" t="s">
        <v>45</v>
      </c>
      <c r="F318" s="238" t="s">
        <v>46</v>
      </c>
      <c r="G318" s="239" t="s">
        <v>47</v>
      </c>
      <c r="H318" s="139"/>
      <c r="I318" s="139"/>
      <c r="J318" s="139"/>
      <c r="K318" s="139"/>
      <c r="L318" s="139"/>
      <c r="M318" s="139"/>
      <c r="N318" s="139"/>
      <c r="O318" s="139"/>
      <c r="P318" s="141"/>
      <c r="Q318" s="224"/>
      <c r="R318" s="139"/>
      <c r="S318" s="139"/>
      <c r="T318" s="139"/>
      <c r="U318" s="139"/>
      <c r="V318" s="139"/>
      <c r="W318" s="139"/>
      <c r="X318" s="139"/>
      <c r="Y318" s="139"/>
      <c r="Z318" s="139"/>
      <c r="AA318" s="139"/>
      <c r="AB318" s="139"/>
      <c r="AC318" s="139"/>
      <c r="AD318" s="139"/>
      <c r="AE318" s="139"/>
      <c r="AF318" s="139"/>
      <c r="AG318" s="139"/>
      <c r="AH318" s="139"/>
      <c r="AI318" s="139"/>
    </row>
    <row r="319" ht="18.75" customHeight="1">
      <c r="A319" s="240" t="s">
        <v>48</v>
      </c>
      <c r="B319" s="241">
        <f>+E25</f>
        <v>0</v>
      </c>
      <c r="C319" s="242">
        <f>+H250</f>
        <v>0</v>
      </c>
      <c r="D319" s="242">
        <f>+H271</f>
        <v>0</v>
      </c>
      <c r="E319" s="243">
        <f>H314</f>
        <v>0</v>
      </c>
      <c r="F319" s="244">
        <f>+G25</f>
        <v>0</v>
      </c>
      <c r="G319" s="245">
        <f>+B319-C319-D319-E319-F319</f>
        <v>0</v>
      </c>
      <c r="H319" s="139"/>
      <c r="I319" s="139"/>
      <c r="J319" s="139"/>
      <c r="K319" s="139"/>
      <c r="L319" s="139"/>
      <c r="M319" s="139"/>
      <c r="N319" s="139"/>
      <c r="O319" s="139"/>
      <c r="P319" s="141"/>
      <c r="Q319" s="224"/>
      <c r="R319" s="139"/>
      <c r="S319" s="139"/>
      <c r="T319" s="139"/>
      <c r="U319" s="139"/>
      <c r="V319" s="139"/>
      <c r="W319" s="139"/>
      <c r="X319" s="139"/>
      <c r="Y319" s="139"/>
      <c r="Z319" s="139"/>
      <c r="AA319" s="139"/>
      <c r="AB319" s="139"/>
      <c r="AC319" s="139"/>
      <c r="AD319" s="139"/>
      <c r="AE319" s="139"/>
      <c r="AF319" s="139"/>
      <c r="AG319" s="139"/>
      <c r="AH319" s="139"/>
      <c r="AI319" s="139"/>
    </row>
    <row r="320" ht="19.5" customHeight="1">
      <c r="A320" s="246" t="s">
        <v>49</v>
      </c>
      <c r="B320" s="247"/>
      <c r="C320" s="248" t="str">
        <f>+C319/B319</f>
        <v>#DIV/0!</v>
      </c>
      <c r="D320" s="248" t="str">
        <f>+D319/B319</f>
        <v>#DIV/0!</v>
      </c>
      <c r="E320" s="248" t="str">
        <f>+E319/B319</f>
        <v>#DIV/0!</v>
      </c>
      <c r="F320" s="249" t="str">
        <f>+F319/B319</f>
        <v>#DIV/0!</v>
      </c>
      <c r="G320" s="250" t="str">
        <f>+G319/B319</f>
        <v>#DIV/0!</v>
      </c>
      <c r="H320" s="139"/>
      <c r="I320" s="139"/>
      <c r="J320" s="139"/>
      <c r="K320" s="139"/>
      <c r="L320" s="139"/>
      <c r="M320" s="139"/>
      <c r="N320" s="139"/>
      <c r="O320" s="139"/>
      <c r="P320" s="141"/>
      <c r="Q320" s="224"/>
      <c r="R320" s="139"/>
      <c r="S320" s="139"/>
      <c r="T320" s="139"/>
      <c r="U320" s="139"/>
      <c r="V320" s="139"/>
      <c r="W320" s="139"/>
      <c r="X320" s="139"/>
      <c r="Y320" s="139"/>
      <c r="Z320" s="139"/>
      <c r="AA320" s="139"/>
      <c r="AB320" s="139"/>
      <c r="AC320" s="139"/>
      <c r="AD320" s="139"/>
      <c r="AE320" s="139"/>
      <c r="AF320" s="139"/>
      <c r="AG320" s="139"/>
      <c r="AH320" s="139"/>
      <c r="AI320" s="139"/>
    </row>
    <row r="321" ht="19.5" customHeight="1">
      <c r="A321" s="165"/>
      <c r="B321" s="221"/>
      <c r="C321" s="251"/>
      <c r="D321" s="251"/>
      <c r="E321" s="251"/>
      <c r="F321" s="252"/>
      <c r="G321" s="253"/>
      <c r="H321" s="139"/>
      <c r="I321" s="139"/>
      <c r="J321" s="139"/>
      <c r="K321" s="139"/>
      <c r="L321" s="139"/>
      <c r="M321" s="139"/>
      <c r="N321" s="139"/>
      <c r="O321" s="139"/>
      <c r="P321" s="141"/>
      <c r="Q321" s="224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39"/>
      <c r="AG321" s="139"/>
      <c r="AH321" s="139"/>
      <c r="AI321" s="139"/>
    </row>
    <row r="322" ht="18.75" customHeight="1">
      <c r="A322" s="254"/>
      <c r="B322" s="255"/>
      <c r="C322" s="255"/>
      <c r="D322" s="255" t="s">
        <v>50</v>
      </c>
      <c r="E322" s="255" t="s">
        <v>48</v>
      </c>
      <c r="F322" s="256">
        <f>+D319+E319+F319+G319</f>
        <v>0</v>
      </c>
      <c r="G322" s="257"/>
      <c r="H322" s="139"/>
      <c r="I322" s="139"/>
      <c r="J322" s="139"/>
      <c r="K322" s="139"/>
      <c r="L322" s="139"/>
      <c r="M322" s="139"/>
      <c r="N322" s="139"/>
      <c r="O322" s="139"/>
      <c r="P322" s="141"/>
      <c r="Q322" s="140"/>
      <c r="R322" s="139"/>
      <c r="S322" s="139"/>
      <c r="T322" s="139"/>
      <c r="U322" s="139"/>
      <c r="V322" s="139"/>
      <c r="W322" s="139"/>
      <c r="X322" s="139"/>
      <c r="Y322" s="139"/>
      <c r="Z322" s="139"/>
      <c r="AA322" s="139"/>
      <c r="AB322" s="139"/>
      <c r="AC322" s="139"/>
      <c r="AD322" s="139"/>
      <c r="AE322" s="139"/>
      <c r="AF322" s="139"/>
      <c r="AG322" s="139"/>
      <c r="AH322" s="139"/>
      <c r="AI322" s="139"/>
    </row>
    <row r="323" ht="18.75" customHeight="1">
      <c r="A323" s="258"/>
      <c r="B323" s="139"/>
      <c r="C323" s="139"/>
      <c r="D323" s="139"/>
      <c r="E323" s="139" t="s">
        <v>49</v>
      </c>
      <c r="F323" s="252" t="str">
        <f>+F322/B319</f>
        <v>#DIV/0!</v>
      </c>
      <c r="G323" s="259"/>
      <c r="H323" s="139"/>
      <c r="I323" s="139"/>
      <c r="J323" s="139"/>
      <c r="K323" s="139"/>
      <c r="L323" s="139"/>
      <c r="M323" s="139"/>
      <c r="N323" s="139"/>
      <c r="O323" s="139"/>
      <c r="P323" s="141"/>
      <c r="Q323" s="140"/>
      <c r="R323" s="139"/>
      <c r="S323" s="139"/>
      <c r="T323" s="139"/>
      <c r="U323" s="139"/>
      <c r="V323" s="139"/>
      <c r="W323" s="139"/>
      <c r="X323" s="139"/>
      <c r="Y323" s="139"/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</row>
    <row r="324" ht="18.75" customHeight="1">
      <c r="A324" s="258"/>
      <c r="B324" s="139"/>
      <c r="C324" s="139" t="s">
        <v>51</v>
      </c>
      <c r="D324" s="139"/>
      <c r="E324" s="139"/>
      <c r="F324" s="140"/>
      <c r="G324" s="259"/>
      <c r="H324" s="139"/>
      <c r="I324" s="139"/>
      <c r="J324" s="139"/>
      <c r="K324" s="139"/>
      <c r="L324" s="139"/>
      <c r="M324" s="139"/>
      <c r="N324" s="139"/>
      <c r="O324" s="139"/>
      <c r="P324" s="141"/>
      <c r="Q324" s="140"/>
      <c r="R324" s="139"/>
      <c r="S324" s="139"/>
      <c r="T324" s="139"/>
      <c r="U324" s="139"/>
      <c r="V324" s="139"/>
      <c r="W324" s="139"/>
      <c r="X324" s="139"/>
      <c r="Y324" s="139"/>
      <c r="Z324" s="139"/>
      <c r="AA324" s="139"/>
      <c r="AB324" s="139"/>
      <c r="AC324" s="139"/>
      <c r="AD324" s="139"/>
      <c r="AE324" s="139"/>
      <c r="AF324" s="139"/>
      <c r="AG324" s="139"/>
      <c r="AH324" s="139"/>
      <c r="AI324" s="139"/>
    </row>
    <row r="325" ht="18.75" customHeight="1">
      <c r="A325" s="258"/>
      <c r="B325" s="139"/>
      <c r="C325" s="139"/>
      <c r="D325" s="139" t="s">
        <v>52</v>
      </c>
      <c r="E325" s="139"/>
      <c r="F325" s="140">
        <f>+F324*(F322-F319)</f>
        <v>0</v>
      </c>
      <c r="G325" s="259"/>
      <c r="H325" s="139"/>
      <c r="I325" s="139"/>
      <c r="J325" s="139"/>
      <c r="K325" s="139"/>
      <c r="L325" s="139"/>
      <c r="M325" s="139"/>
      <c r="N325" s="139"/>
      <c r="O325" s="139"/>
      <c r="P325" s="141"/>
      <c r="Q325" s="139"/>
      <c r="R325" s="139"/>
      <c r="S325" s="139"/>
      <c r="T325" s="139"/>
      <c r="U325" s="139"/>
      <c r="V325" s="139"/>
      <c r="W325" s="139"/>
      <c r="X325" s="139"/>
      <c r="Y325" s="139"/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</row>
    <row r="326" ht="19.5" customHeight="1">
      <c r="A326" s="260"/>
      <c r="B326" s="261"/>
      <c r="C326" s="261"/>
      <c r="D326" s="261"/>
      <c r="E326" s="261"/>
      <c r="F326" s="262"/>
      <c r="G326" s="263"/>
      <c r="H326" s="139"/>
      <c r="I326" s="139"/>
      <c r="J326" s="139"/>
      <c r="K326" s="139"/>
      <c r="L326" s="139"/>
      <c r="M326" s="139"/>
      <c r="N326" s="139"/>
      <c r="O326" s="139"/>
      <c r="P326" s="141"/>
      <c r="Q326" s="139"/>
      <c r="R326" s="139"/>
      <c r="S326" s="139"/>
      <c r="T326" s="139"/>
      <c r="U326" s="139"/>
      <c r="V326" s="139"/>
      <c r="W326" s="139"/>
      <c r="X326" s="139"/>
      <c r="Y326" s="139"/>
      <c r="Z326" s="139"/>
      <c r="AA326" s="139"/>
      <c r="AB326" s="139"/>
      <c r="AC326" s="139"/>
      <c r="AD326" s="139"/>
      <c r="AE326" s="139"/>
      <c r="AF326" s="139"/>
      <c r="AG326" s="139"/>
      <c r="AH326" s="139"/>
      <c r="AI326" s="139"/>
    </row>
    <row r="327" ht="18.75" customHeight="1">
      <c r="A327" s="139"/>
      <c r="B327" s="139"/>
      <c r="C327" s="139"/>
      <c r="D327" s="139"/>
      <c r="E327" s="139"/>
      <c r="F327" s="140"/>
      <c r="G327" s="139"/>
      <c r="H327" s="139"/>
      <c r="I327" s="139"/>
      <c r="J327" s="139"/>
      <c r="K327" s="139"/>
      <c r="L327" s="139"/>
      <c r="M327" s="139"/>
      <c r="N327" s="139"/>
      <c r="O327" s="139"/>
      <c r="P327" s="141"/>
      <c r="Q327" s="139"/>
      <c r="R327" s="139"/>
      <c r="S327" s="139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  <c r="AE327" s="139"/>
      <c r="AF327" s="139"/>
      <c r="AG327" s="139"/>
      <c r="AH327" s="139"/>
      <c r="AI327" s="139"/>
    </row>
    <row r="328" ht="18.75" customHeight="1">
      <c r="A328" s="139"/>
      <c r="B328" s="139"/>
      <c r="C328" s="139"/>
      <c r="D328" s="139"/>
      <c r="E328" s="139"/>
      <c r="F328" s="140"/>
      <c r="G328" s="139"/>
      <c r="H328" s="139"/>
      <c r="I328" s="139"/>
      <c r="J328" s="139"/>
      <c r="K328" s="139"/>
      <c r="L328" s="139"/>
      <c r="M328" s="139"/>
      <c r="N328" s="139"/>
      <c r="O328" s="139"/>
      <c r="P328" s="141"/>
      <c r="Q328" s="139"/>
      <c r="R328" s="139"/>
      <c r="S328" s="139"/>
      <c r="T328" s="139"/>
      <c r="U328" s="139"/>
      <c r="V328" s="139"/>
      <c r="W328" s="139"/>
      <c r="X328" s="139"/>
      <c r="Y328" s="139"/>
      <c r="Z328" s="139"/>
      <c r="AA328" s="139"/>
      <c r="AB328" s="139"/>
      <c r="AC328" s="139"/>
      <c r="AD328" s="139"/>
      <c r="AE328" s="139"/>
      <c r="AF328" s="139"/>
      <c r="AG328" s="139"/>
      <c r="AH328" s="139"/>
      <c r="AI328" s="139"/>
    </row>
    <row r="329" ht="18.75" customHeight="1">
      <c r="A329" s="139"/>
      <c r="B329" s="139"/>
      <c r="C329" s="139"/>
      <c r="D329" s="139"/>
      <c r="E329" s="139"/>
      <c r="F329" s="140"/>
      <c r="G329" s="139"/>
      <c r="H329" s="139"/>
      <c r="I329" s="139"/>
      <c r="J329" s="139"/>
      <c r="K329" s="139"/>
      <c r="L329" s="139"/>
      <c r="M329" s="139"/>
      <c r="N329" s="139"/>
      <c r="O329" s="139"/>
      <c r="P329" s="141"/>
      <c r="Q329" s="139"/>
      <c r="R329" s="139"/>
      <c r="S329" s="139"/>
      <c r="T329" s="139"/>
      <c r="U329" s="139"/>
      <c r="V329" s="139"/>
      <c r="W329" s="139"/>
      <c r="X329" s="139"/>
      <c r="Y329" s="139"/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</row>
    <row r="330" ht="18.0" customHeight="1">
      <c r="A330" s="7"/>
      <c r="B330" s="7"/>
      <c r="C330" s="7"/>
      <c r="D330" s="7"/>
      <c r="E330" s="7"/>
      <c r="F330" s="264"/>
      <c r="G330" s="7"/>
      <c r="H330" s="7"/>
      <c r="I330" s="7"/>
      <c r="J330" s="7"/>
      <c r="K330" s="7"/>
      <c r="L330" s="7"/>
      <c r="M330" s="7"/>
      <c r="N330" s="7"/>
      <c r="O330" s="7"/>
      <c r="P330" s="265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</row>
    <row r="331" ht="18.0" customHeight="1">
      <c r="A331" s="7"/>
      <c r="B331" s="7"/>
      <c r="C331" s="7"/>
      <c r="D331" s="7"/>
      <c r="E331" s="7"/>
      <c r="F331" s="264"/>
      <c r="G331" s="7"/>
      <c r="H331" s="7"/>
      <c r="I331" s="7"/>
      <c r="J331" s="7"/>
      <c r="K331" s="7"/>
      <c r="L331" s="7"/>
      <c r="M331" s="7"/>
      <c r="N331" s="7"/>
      <c r="O331" s="7"/>
      <c r="P331" s="265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</row>
    <row r="332" ht="18.0" customHeight="1">
      <c r="A332" s="7"/>
      <c r="B332" s="7"/>
      <c r="C332" s="7"/>
      <c r="D332" s="7"/>
      <c r="E332" s="7"/>
      <c r="F332" s="264"/>
      <c r="G332" s="7"/>
      <c r="H332" s="7"/>
      <c r="I332" s="7"/>
      <c r="J332" s="7"/>
      <c r="K332" s="7"/>
      <c r="L332" s="7"/>
      <c r="M332" s="7"/>
      <c r="N332" s="7"/>
      <c r="O332" s="7"/>
      <c r="P332" s="265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</row>
    <row r="333" ht="18.0" customHeight="1">
      <c r="A333" s="7"/>
      <c r="B333" s="7"/>
      <c r="C333" s="7"/>
      <c r="D333" s="7"/>
      <c r="E333" s="7"/>
      <c r="F333" s="264"/>
      <c r="G333" s="7"/>
      <c r="H333" s="7"/>
      <c r="I333" s="7"/>
      <c r="J333" s="7"/>
      <c r="K333" s="7"/>
      <c r="L333" s="7"/>
      <c r="M333" s="7"/>
      <c r="N333" s="7"/>
      <c r="O333" s="7"/>
      <c r="P333" s="265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</row>
    <row r="334" ht="18.0" customHeight="1">
      <c r="A334" s="7"/>
      <c r="B334" s="7"/>
      <c r="C334" s="7"/>
      <c r="D334" s="7"/>
      <c r="E334" s="7"/>
      <c r="F334" s="264"/>
      <c r="G334" s="7"/>
      <c r="H334" s="7"/>
      <c r="I334" s="7"/>
      <c r="J334" s="7"/>
      <c r="K334" s="7"/>
      <c r="L334" s="7"/>
      <c r="M334" s="7"/>
      <c r="N334" s="7"/>
      <c r="O334" s="7"/>
      <c r="P334" s="265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</row>
    <row r="335" ht="18.0" customHeight="1">
      <c r="A335" s="7"/>
      <c r="B335" s="7"/>
      <c r="C335" s="7"/>
      <c r="D335" s="7"/>
      <c r="E335" s="7"/>
      <c r="F335" s="264"/>
      <c r="G335" s="7"/>
      <c r="H335" s="7"/>
      <c r="I335" s="7"/>
      <c r="J335" s="7"/>
      <c r="K335" s="7"/>
      <c r="L335" s="7"/>
      <c r="M335" s="7"/>
      <c r="N335" s="7"/>
      <c r="O335" s="7"/>
      <c r="P335" s="265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</row>
    <row r="336" ht="18.0" customHeight="1">
      <c r="A336" s="7"/>
      <c r="B336" s="7"/>
      <c r="C336" s="7"/>
      <c r="D336" s="7"/>
      <c r="E336" s="7"/>
      <c r="F336" s="264"/>
      <c r="G336" s="7"/>
      <c r="H336" s="7"/>
      <c r="I336" s="7"/>
      <c r="J336" s="7"/>
      <c r="K336" s="7"/>
      <c r="L336" s="7"/>
      <c r="M336" s="7"/>
      <c r="N336" s="7"/>
      <c r="O336" s="7"/>
      <c r="P336" s="265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</row>
    <row r="337" ht="18.0" customHeight="1">
      <c r="A337" s="7"/>
      <c r="B337" s="7"/>
      <c r="C337" s="7"/>
      <c r="D337" s="7"/>
      <c r="E337" s="7"/>
      <c r="F337" s="264"/>
      <c r="G337" s="7"/>
      <c r="H337" s="7"/>
      <c r="I337" s="7"/>
      <c r="J337" s="7"/>
      <c r="K337" s="7"/>
      <c r="L337" s="7"/>
      <c r="M337" s="7"/>
      <c r="N337" s="7"/>
      <c r="O337" s="7"/>
      <c r="P337" s="265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</row>
    <row r="338" ht="18.0" customHeight="1">
      <c r="A338" s="7"/>
      <c r="B338" s="7"/>
      <c r="C338" s="7"/>
      <c r="D338" s="7"/>
      <c r="E338" s="7"/>
      <c r="F338" s="264"/>
      <c r="G338" s="7"/>
      <c r="H338" s="7"/>
      <c r="I338" s="7"/>
      <c r="J338" s="7"/>
      <c r="K338" s="7"/>
      <c r="L338" s="7"/>
      <c r="M338" s="7"/>
      <c r="N338" s="7"/>
      <c r="O338" s="7"/>
      <c r="P338" s="265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</row>
    <row r="339" ht="18.0" customHeight="1">
      <c r="A339" s="7"/>
      <c r="B339" s="7"/>
      <c r="C339" s="7"/>
      <c r="D339" s="7"/>
      <c r="E339" s="7"/>
      <c r="F339" s="264"/>
      <c r="G339" s="7"/>
      <c r="H339" s="7"/>
      <c r="I339" s="7"/>
      <c r="J339" s="7"/>
      <c r="K339" s="7"/>
      <c r="L339" s="7"/>
      <c r="M339" s="7"/>
      <c r="N339" s="7"/>
      <c r="O339" s="7"/>
      <c r="P339" s="265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</row>
    <row r="340" ht="18.0" customHeight="1">
      <c r="A340" s="7"/>
      <c r="B340" s="7"/>
      <c r="C340" s="7"/>
      <c r="D340" s="7"/>
      <c r="E340" s="7"/>
      <c r="F340" s="264"/>
      <c r="G340" s="7"/>
      <c r="H340" s="7"/>
      <c r="I340" s="7"/>
      <c r="J340" s="7"/>
      <c r="K340" s="7"/>
      <c r="L340" s="7"/>
      <c r="M340" s="7"/>
      <c r="N340" s="7"/>
      <c r="O340" s="7"/>
      <c r="P340" s="265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</row>
    <row r="341" ht="18.0" customHeight="1">
      <c r="A341" s="7"/>
      <c r="B341" s="7"/>
      <c r="C341" s="7"/>
      <c r="D341" s="7"/>
      <c r="E341" s="7"/>
      <c r="F341" s="264"/>
      <c r="G341" s="7"/>
      <c r="H341" s="7"/>
      <c r="I341" s="7"/>
      <c r="J341" s="7"/>
      <c r="K341" s="7"/>
      <c r="L341" s="7"/>
      <c r="M341" s="7"/>
      <c r="N341" s="7"/>
      <c r="O341" s="7"/>
      <c r="P341" s="265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</row>
    <row r="342" ht="18.0" customHeight="1">
      <c r="A342" s="7"/>
      <c r="B342" s="7"/>
      <c r="C342" s="7"/>
      <c r="D342" s="7"/>
      <c r="E342" s="7"/>
      <c r="F342" s="264"/>
      <c r="G342" s="7"/>
      <c r="H342" s="7"/>
      <c r="I342" s="7"/>
      <c r="J342" s="7"/>
      <c r="K342" s="7"/>
      <c r="L342" s="7"/>
      <c r="M342" s="7"/>
      <c r="N342" s="7"/>
      <c r="O342" s="7"/>
      <c r="P342" s="265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</row>
    <row r="343" ht="18.0" customHeight="1">
      <c r="A343" s="7"/>
      <c r="B343" s="7"/>
      <c r="C343" s="7"/>
      <c r="D343" s="7"/>
      <c r="E343" s="7"/>
      <c r="F343" s="264"/>
      <c r="G343" s="7"/>
      <c r="H343" s="7"/>
      <c r="I343" s="7"/>
      <c r="J343" s="7"/>
      <c r="K343" s="7"/>
      <c r="L343" s="7"/>
      <c r="M343" s="7"/>
      <c r="N343" s="7"/>
      <c r="O343" s="7"/>
      <c r="P343" s="265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</row>
    <row r="344" ht="18.0" customHeight="1">
      <c r="A344" s="7"/>
      <c r="B344" s="7"/>
      <c r="C344" s="7"/>
      <c r="D344" s="7"/>
      <c r="E344" s="7"/>
      <c r="F344" s="264"/>
      <c r="G344" s="7"/>
      <c r="H344" s="7"/>
      <c r="I344" s="7"/>
      <c r="J344" s="7"/>
      <c r="K344" s="7"/>
      <c r="L344" s="7"/>
      <c r="M344" s="7"/>
      <c r="N344" s="7"/>
      <c r="O344" s="7"/>
      <c r="P344" s="265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</row>
    <row r="345" ht="18.0" customHeight="1">
      <c r="A345" s="7"/>
      <c r="B345" s="7"/>
      <c r="C345" s="7"/>
      <c r="D345" s="7"/>
      <c r="E345" s="7"/>
      <c r="F345" s="264"/>
      <c r="G345" s="7"/>
      <c r="H345" s="7"/>
      <c r="I345" s="7"/>
      <c r="J345" s="7"/>
      <c r="K345" s="7"/>
      <c r="L345" s="7"/>
      <c r="M345" s="7"/>
      <c r="N345" s="7"/>
      <c r="O345" s="7"/>
      <c r="P345" s="265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</row>
    <row r="346" ht="18.0" customHeight="1">
      <c r="A346" s="7"/>
      <c r="B346" s="7"/>
      <c r="C346" s="7"/>
      <c r="D346" s="7"/>
      <c r="E346" s="7"/>
      <c r="F346" s="264"/>
      <c r="G346" s="7"/>
      <c r="H346" s="7"/>
      <c r="I346" s="7"/>
      <c r="J346" s="7"/>
      <c r="K346" s="7"/>
      <c r="L346" s="7"/>
      <c r="M346" s="7"/>
      <c r="N346" s="7"/>
      <c r="O346" s="7"/>
      <c r="P346" s="265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</row>
    <row r="347" ht="18.0" customHeight="1">
      <c r="A347" s="7"/>
      <c r="B347" s="7"/>
      <c r="C347" s="7"/>
      <c r="D347" s="7"/>
      <c r="E347" s="7"/>
      <c r="F347" s="264"/>
      <c r="G347" s="7"/>
      <c r="H347" s="7"/>
      <c r="I347" s="7"/>
      <c r="J347" s="7"/>
      <c r="K347" s="7"/>
      <c r="L347" s="7"/>
      <c r="M347" s="7"/>
      <c r="N347" s="7"/>
      <c r="O347" s="7"/>
      <c r="P347" s="265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</row>
    <row r="348" ht="18.0" customHeight="1">
      <c r="A348" s="7"/>
      <c r="B348" s="7"/>
      <c r="C348" s="7"/>
      <c r="D348" s="7"/>
      <c r="E348" s="7"/>
      <c r="F348" s="264"/>
      <c r="G348" s="7"/>
      <c r="H348" s="7"/>
      <c r="I348" s="7"/>
      <c r="J348" s="7"/>
      <c r="K348" s="7"/>
      <c r="L348" s="7"/>
      <c r="M348" s="7"/>
      <c r="N348" s="7"/>
      <c r="O348" s="7"/>
      <c r="P348" s="265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</row>
    <row r="349" ht="18.0" customHeight="1">
      <c r="A349" s="7"/>
      <c r="B349" s="7"/>
      <c r="C349" s="7"/>
      <c r="D349" s="7"/>
      <c r="E349" s="7"/>
      <c r="F349" s="264"/>
      <c r="G349" s="7"/>
      <c r="H349" s="7"/>
      <c r="I349" s="7"/>
      <c r="J349" s="7"/>
      <c r="K349" s="7"/>
      <c r="L349" s="7"/>
      <c r="M349" s="7"/>
      <c r="N349" s="7"/>
      <c r="O349" s="7"/>
      <c r="P349" s="265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</row>
    <row r="350" ht="18.0" customHeight="1">
      <c r="A350" s="7"/>
      <c r="B350" s="7"/>
      <c r="C350" s="7"/>
      <c r="D350" s="7"/>
      <c r="E350" s="7"/>
      <c r="F350" s="264"/>
      <c r="G350" s="7"/>
      <c r="H350" s="7"/>
      <c r="I350" s="7"/>
      <c r="J350" s="7"/>
      <c r="K350" s="7"/>
      <c r="L350" s="7"/>
      <c r="M350" s="7"/>
      <c r="N350" s="7"/>
      <c r="O350" s="7"/>
      <c r="P350" s="265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</row>
    <row r="351" ht="18.0" customHeight="1">
      <c r="A351" s="7"/>
      <c r="B351" s="7"/>
      <c r="C351" s="7"/>
      <c r="D351" s="7"/>
      <c r="E351" s="7"/>
      <c r="F351" s="264"/>
      <c r="G351" s="7"/>
      <c r="H351" s="7"/>
      <c r="I351" s="7"/>
      <c r="J351" s="7"/>
      <c r="K351" s="7"/>
      <c r="L351" s="7"/>
      <c r="M351" s="7"/>
      <c r="N351" s="7"/>
      <c r="O351" s="7"/>
      <c r="P351" s="265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</row>
    <row r="352" ht="18.0" customHeight="1">
      <c r="A352" s="7"/>
      <c r="B352" s="7"/>
      <c r="C352" s="7"/>
      <c r="D352" s="7"/>
      <c r="E352" s="7"/>
      <c r="F352" s="264"/>
      <c r="G352" s="7"/>
      <c r="H352" s="7"/>
      <c r="I352" s="7"/>
      <c r="J352" s="7"/>
      <c r="K352" s="7"/>
      <c r="L352" s="7"/>
      <c r="M352" s="7"/>
      <c r="N352" s="7"/>
      <c r="O352" s="7"/>
      <c r="P352" s="265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</row>
    <row r="353" ht="18.0" customHeight="1">
      <c r="A353" s="7"/>
      <c r="B353" s="7"/>
      <c r="C353" s="7"/>
      <c r="D353" s="7"/>
      <c r="E353" s="7"/>
      <c r="F353" s="264"/>
      <c r="G353" s="7"/>
      <c r="H353" s="7"/>
      <c r="I353" s="7"/>
      <c r="J353" s="7"/>
      <c r="K353" s="7"/>
      <c r="L353" s="7"/>
      <c r="M353" s="7"/>
      <c r="N353" s="7"/>
      <c r="O353" s="7"/>
      <c r="P353" s="265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</row>
    <row r="354" ht="18.0" customHeight="1">
      <c r="A354" s="7"/>
      <c r="B354" s="7"/>
      <c r="C354" s="7"/>
      <c r="D354" s="7"/>
      <c r="E354" s="7"/>
      <c r="F354" s="264"/>
      <c r="G354" s="7"/>
      <c r="H354" s="7"/>
      <c r="I354" s="7"/>
      <c r="J354" s="7"/>
      <c r="K354" s="7"/>
      <c r="L354" s="7"/>
      <c r="M354" s="7"/>
      <c r="N354" s="7"/>
      <c r="O354" s="7"/>
      <c r="P354" s="265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</row>
    <row r="355" ht="18.0" customHeight="1">
      <c r="A355" s="7"/>
      <c r="B355" s="7"/>
      <c r="C355" s="7"/>
      <c r="D355" s="7"/>
      <c r="E355" s="7"/>
      <c r="F355" s="264"/>
      <c r="G355" s="7"/>
      <c r="H355" s="7"/>
      <c r="I355" s="7"/>
      <c r="J355" s="7"/>
      <c r="K355" s="7"/>
      <c r="L355" s="7"/>
      <c r="M355" s="7"/>
      <c r="N355" s="7"/>
      <c r="O355" s="7"/>
      <c r="P355" s="265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</row>
    <row r="356" ht="18.0" customHeight="1">
      <c r="A356" s="7"/>
      <c r="B356" s="7"/>
      <c r="C356" s="7"/>
      <c r="D356" s="7"/>
      <c r="E356" s="7"/>
      <c r="F356" s="264"/>
      <c r="G356" s="7"/>
      <c r="H356" s="7"/>
      <c r="I356" s="7"/>
      <c r="J356" s="7"/>
      <c r="K356" s="7"/>
      <c r="L356" s="7"/>
      <c r="M356" s="7"/>
      <c r="N356" s="7"/>
      <c r="O356" s="7"/>
      <c r="P356" s="265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</row>
    <row r="357" ht="18.0" customHeight="1">
      <c r="A357" s="7"/>
      <c r="B357" s="7"/>
      <c r="C357" s="7"/>
      <c r="D357" s="7"/>
      <c r="E357" s="7"/>
      <c r="F357" s="264"/>
      <c r="G357" s="7"/>
      <c r="H357" s="7"/>
      <c r="I357" s="7"/>
      <c r="J357" s="7"/>
      <c r="K357" s="7"/>
      <c r="L357" s="7"/>
      <c r="M357" s="7"/>
      <c r="N357" s="7"/>
      <c r="O357" s="7"/>
      <c r="P357" s="265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</row>
    <row r="358" ht="18.0" customHeight="1">
      <c r="A358" s="7"/>
      <c r="B358" s="7"/>
      <c r="C358" s="7"/>
      <c r="D358" s="7"/>
      <c r="E358" s="7"/>
      <c r="F358" s="264"/>
      <c r="G358" s="7"/>
      <c r="H358" s="7"/>
      <c r="I358" s="7"/>
      <c r="J358" s="7"/>
      <c r="K358" s="7"/>
      <c r="L358" s="7"/>
      <c r="M358" s="7"/>
      <c r="N358" s="7"/>
      <c r="O358" s="7"/>
      <c r="P358" s="265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</row>
    <row r="359" ht="18.0" customHeight="1">
      <c r="A359" s="7"/>
      <c r="B359" s="7"/>
      <c r="C359" s="7"/>
      <c r="D359" s="7"/>
      <c r="E359" s="7"/>
      <c r="F359" s="264"/>
      <c r="G359" s="7"/>
      <c r="H359" s="7"/>
      <c r="I359" s="7"/>
      <c r="J359" s="7"/>
      <c r="K359" s="7"/>
      <c r="L359" s="7"/>
      <c r="M359" s="7"/>
      <c r="N359" s="7"/>
      <c r="O359" s="7"/>
      <c r="P359" s="265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</row>
    <row r="360" ht="18.0" customHeight="1">
      <c r="A360" s="7"/>
      <c r="B360" s="7"/>
      <c r="C360" s="7"/>
      <c r="D360" s="7"/>
      <c r="E360" s="7"/>
      <c r="F360" s="264"/>
      <c r="G360" s="7"/>
      <c r="H360" s="7"/>
      <c r="I360" s="7"/>
      <c r="J360" s="7"/>
      <c r="K360" s="7"/>
      <c r="L360" s="7"/>
      <c r="M360" s="7"/>
      <c r="N360" s="7"/>
      <c r="O360" s="7"/>
      <c r="P360" s="265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</row>
    <row r="361" ht="18.0" customHeight="1">
      <c r="A361" s="7"/>
      <c r="B361" s="7"/>
      <c r="C361" s="7"/>
      <c r="D361" s="7"/>
      <c r="E361" s="7"/>
      <c r="F361" s="264"/>
      <c r="G361" s="7"/>
      <c r="H361" s="7"/>
      <c r="I361" s="7"/>
      <c r="J361" s="7"/>
      <c r="K361" s="7"/>
      <c r="L361" s="7"/>
      <c r="M361" s="7"/>
      <c r="N361" s="7"/>
      <c r="O361" s="7"/>
      <c r="P361" s="265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</row>
    <row r="362" ht="18.0" customHeight="1">
      <c r="A362" s="7"/>
      <c r="B362" s="7"/>
      <c r="C362" s="7"/>
      <c r="D362" s="7"/>
      <c r="E362" s="7"/>
      <c r="F362" s="264"/>
      <c r="G362" s="7"/>
      <c r="H362" s="7"/>
      <c r="I362" s="7"/>
      <c r="J362" s="7"/>
      <c r="K362" s="7"/>
      <c r="L362" s="7"/>
      <c r="M362" s="7"/>
      <c r="N362" s="7"/>
      <c r="O362" s="7"/>
      <c r="P362" s="265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</row>
    <row r="363" ht="18.0" customHeight="1">
      <c r="A363" s="7"/>
      <c r="B363" s="7"/>
      <c r="C363" s="7"/>
      <c r="D363" s="7"/>
      <c r="E363" s="7"/>
      <c r="F363" s="264"/>
      <c r="G363" s="7"/>
      <c r="H363" s="7"/>
      <c r="I363" s="7"/>
      <c r="J363" s="7"/>
      <c r="K363" s="7"/>
      <c r="L363" s="7"/>
      <c r="M363" s="7"/>
      <c r="N363" s="7"/>
      <c r="O363" s="7"/>
      <c r="P363" s="265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</row>
    <row r="364" ht="18.0" customHeight="1">
      <c r="A364" s="7"/>
      <c r="B364" s="7"/>
      <c r="C364" s="7"/>
      <c r="D364" s="7"/>
      <c r="E364" s="7"/>
      <c r="F364" s="264"/>
      <c r="G364" s="7"/>
      <c r="H364" s="7"/>
      <c r="I364" s="7"/>
      <c r="J364" s="7"/>
      <c r="K364" s="7"/>
      <c r="L364" s="7"/>
      <c r="M364" s="7"/>
      <c r="N364" s="7"/>
      <c r="O364" s="7"/>
      <c r="P364" s="265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</row>
    <row r="365" ht="18.0" customHeight="1">
      <c r="A365" s="7"/>
      <c r="B365" s="7"/>
      <c r="C365" s="7"/>
      <c r="D365" s="7"/>
      <c r="E365" s="7"/>
      <c r="F365" s="264"/>
      <c r="G365" s="7"/>
      <c r="H365" s="7"/>
      <c r="I365" s="7"/>
      <c r="J365" s="7"/>
      <c r="K365" s="7"/>
      <c r="L365" s="7"/>
      <c r="M365" s="7"/>
      <c r="N365" s="7"/>
      <c r="O365" s="7"/>
      <c r="P365" s="265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</row>
    <row r="366" ht="18.0" customHeight="1">
      <c r="A366" s="7"/>
      <c r="B366" s="7"/>
      <c r="C366" s="7"/>
      <c r="D366" s="7"/>
      <c r="E366" s="7"/>
      <c r="F366" s="264"/>
      <c r="G366" s="7"/>
      <c r="H366" s="7"/>
      <c r="I366" s="7"/>
      <c r="J366" s="7"/>
      <c r="K366" s="7"/>
      <c r="L366" s="7"/>
      <c r="M366" s="7"/>
      <c r="N366" s="7"/>
      <c r="O366" s="7"/>
      <c r="P366" s="265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</row>
    <row r="367" ht="18.0" customHeight="1">
      <c r="A367" s="7"/>
      <c r="B367" s="7"/>
      <c r="C367" s="7"/>
      <c r="D367" s="7"/>
      <c r="E367" s="7"/>
      <c r="F367" s="264"/>
      <c r="G367" s="7"/>
      <c r="H367" s="7"/>
      <c r="I367" s="7"/>
      <c r="J367" s="7"/>
      <c r="K367" s="7"/>
      <c r="L367" s="7"/>
      <c r="M367" s="7"/>
      <c r="N367" s="7"/>
      <c r="O367" s="7"/>
      <c r="P367" s="265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</row>
    <row r="368" ht="18.0" customHeight="1">
      <c r="A368" s="7"/>
      <c r="B368" s="7"/>
      <c r="C368" s="7"/>
      <c r="D368" s="7"/>
      <c r="E368" s="7"/>
      <c r="F368" s="264"/>
      <c r="G368" s="7"/>
      <c r="H368" s="7"/>
      <c r="I368" s="7"/>
      <c r="J368" s="7"/>
      <c r="K368" s="7"/>
      <c r="L368" s="7"/>
      <c r="M368" s="7"/>
      <c r="N368" s="7"/>
      <c r="O368" s="7"/>
      <c r="P368" s="265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</row>
    <row r="369" ht="18.0" customHeight="1">
      <c r="A369" s="7"/>
      <c r="B369" s="7"/>
      <c r="C369" s="7"/>
      <c r="D369" s="7"/>
      <c r="E369" s="7"/>
      <c r="F369" s="264"/>
      <c r="G369" s="7"/>
      <c r="H369" s="7"/>
      <c r="I369" s="7"/>
      <c r="J369" s="7"/>
      <c r="K369" s="7"/>
      <c r="L369" s="7"/>
      <c r="M369" s="7"/>
      <c r="N369" s="7"/>
      <c r="O369" s="7"/>
      <c r="P369" s="265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</row>
    <row r="370" ht="18.0" customHeight="1">
      <c r="A370" s="7"/>
      <c r="B370" s="7"/>
      <c r="C370" s="7"/>
      <c r="D370" s="7"/>
      <c r="E370" s="7"/>
      <c r="F370" s="264"/>
      <c r="G370" s="7"/>
      <c r="H370" s="7"/>
      <c r="I370" s="7"/>
      <c r="J370" s="7"/>
      <c r="K370" s="7"/>
      <c r="L370" s="7"/>
      <c r="M370" s="7"/>
      <c r="N370" s="7"/>
      <c r="O370" s="7"/>
      <c r="P370" s="265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</row>
    <row r="371" ht="18.0" customHeight="1">
      <c r="A371" s="7"/>
      <c r="B371" s="7"/>
      <c r="C371" s="7"/>
      <c r="D371" s="7"/>
      <c r="E371" s="7"/>
      <c r="F371" s="264"/>
      <c r="G371" s="7"/>
      <c r="H371" s="7"/>
      <c r="I371" s="7"/>
      <c r="J371" s="7"/>
      <c r="K371" s="7"/>
      <c r="L371" s="7"/>
      <c r="M371" s="7"/>
      <c r="N371" s="7"/>
      <c r="O371" s="7"/>
      <c r="P371" s="265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</row>
    <row r="372" ht="18.0" customHeight="1">
      <c r="A372" s="7"/>
      <c r="B372" s="7"/>
      <c r="C372" s="7"/>
      <c r="D372" s="7"/>
      <c r="E372" s="7"/>
      <c r="F372" s="264"/>
      <c r="G372" s="7"/>
      <c r="H372" s="7"/>
      <c r="I372" s="7"/>
      <c r="J372" s="7"/>
      <c r="K372" s="7"/>
      <c r="L372" s="7"/>
      <c r="M372" s="7"/>
      <c r="N372" s="7"/>
      <c r="O372" s="7"/>
      <c r="P372" s="265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</row>
    <row r="373" ht="18.0" customHeight="1">
      <c r="A373" s="7"/>
      <c r="B373" s="7"/>
      <c r="C373" s="7"/>
      <c r="D373" s="7"/>
      <c r="E373" s="7"/>
      <c r="F373" s="264"/>
      <c r="G373" s="7"/>
      <c r="H373" s="7"/>
      <c r="I373" s="7"/>
      <c r="J373" s="7"/>
      <c r="K373" s="7"/>
      <c r="L373" s="7"/>
      <c r="M373" s="7"/>
      <c r="N373" s="7"/>
      <c r="O373" s="7"/>
      <c r="P373" s="265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</row>
    <row r="374" ht="18.0" customHeight="1">
      <c r="A374" s="7"/>
      <c r="B374" s="7"/>
      <c r="C374" s="7"/>
      <c r="D374" s="7"/>
      <c r="E374" s="7"/>
      <c r="F374" s="264"/>
      <c r="G374" s="7"/>
      <c r="H374" s="7"/>
      <c r="I374" s="7"/>
      <c r="J374" s="7"/>
      <c r="K374" s="7"/>
      <c r="L374" s="7"/>
      <c r="M374" s="7"/>
      <c r="N374" s="7"/>
      <c r="O374" s="7"/>
      <c r="P374" s="265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</row>
    <row r="375" ht="18.0" customHeight="1">
      <c r="A375" s="7"/>
      <c r="B375" s="7"/>
      <c r="C375" s="7"/>
      <c r="D375" s="7"/>
      <c r="E375" s="7"/>
      <c r="F375" s="264"/>
      <c r="G375" s="7"/>
      <c r="H375" s="7"/>
      <c r="I375" s="7"/>
      <c r="J375" s="7"/>
      <c r="K375" s="7"/>
      <c r="L375" s="7"/>
      <c r="M375" s="7"/>
      <c r="N375" s="7"/>
      <c r="O375" s="7"/>
      <c r="P375" s="265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</row>
    <row r="376" ht="18.0" customHeight="1">
      <c r="A376" s="7"/>
      <c r="B376" s="7"/>
      <c r="C376" s="7"/>
      <c r="D376" s="7"/>
      <c r="E376" s="7"/>
      <c r="F376" s="264"/>
      <c r="G376" s="7"/>
      <c r="H376" s="7"/>
      <c r="I376" s="7"/>
      <c r="J376" s="7"/>
      <c r="K376" s="7"/>
      <c r="L376" s="7"/>
      <c r="M376" s="7"/>
      <c r="N376" s="7"/>
      <c r="O376" s="7"/>
      <c r="P376" s="265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</row>
    <row r="377" ht="18.0" customHeight="1">
      <c r="A377" s="7"/>
      <c r="B377" s="7"/>
      <c r="C377" s="7"/>
      <c r="D377" s="7"/>
      <c r="E377" s="7"/>
      <c r="F377" s="264"/>
      <c r="G377" s="7"/>
      <c r="H377" s="7"/>
      <c r="I377" s="7"/>
      <c r="J377" s="7"/>
      <c r="K377" s="7"/>
      <c r="L377" s="7"/>
      <c r="M377" s="7"/>
      <c r="N377" s="7"/>
      <c r="O377" s="7"/>
      <c r="P377" s="265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</row>
    <row r="378" ht="18.0" customHeight="1">
      <c r="A378" s="7"/>
      <c r="B378" s="7"/>
      <c r="C378" s="7"/>
      <c r="D378" s="7"/>
      <c r="E378" s="7"/>
      <c r="F378" s="264"/>
      <c r="G378" s="7"/>
      <c r="H378" s="7"/>
      <c r="I378" s="7"/>
      <c r="J378" s="7"/>
      <c r="K378" s="7"/>
      <c r="L378" s="7"/>
      <c r="M378" s="7"/>
      <c r="N378" s="7"/>
      <c r="O378" s="7"/>
      <c r="P378" s="265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</row>
    <row r="379" ht="18.0" customHeight="1">
      <c r="A379" s="7"/>
      <c r="B379" s="7"/>
      <c r="C379" s="7"/>
      <c r="D379" s="7"/>
      <c r="E379" s="7"/>
      <c r="F379" s="264"/>
      <c r="G379" s="7"/>
      <c r="H379" s="7"/>
      <c r="I379" s="7"/>
      <c r="J379" s="7"/>
      <c r="K379" s="7"/>
      <c r="L379" s="7"/>
      <c r="M379" s="7"/>
      <c r="N379" s="7"/>
      <c r="O379" s="7"/>
      <c r="P379" s="265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</row>
    <row r="380" ht="18.0" customHeight="1">
      <c r="A380" s="7"/>
      <c r="B380" s="7"/>
      <c r="C380" s="7"/>
      <c r="D380" s="7"/>
      <c r="E380" s="7"/>
      <c r="F380" s="264"/>
      <c r="G380" s="7"/>
      <c r="H380" s="7"/>
      <c r="I380" s="7"/>
      <c r="J380" s="7"/>
      <c r="K380" s="7"/>
      <c r="L380" s="7"/>
      <c r="M380" s="7"/>
      <c r="N380" s="7"/>
      <c r="O380" s="7"/>
      <c r="P380" s="265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</row>
    <row r="381" ht="18.0" customHeight="1">
      <c r="A381" s="7"/>
      <c r="B381" s="7"/>
      <c r="C381" s="7"/>
      <c r="D381" s="7"/>
      <c r="E381" s="7"/>
      <c r="F381" s="264"/>
      <c r="G381" s="7"/>
      <c r="H381" s="7"/>
      <c r="I381" s="7"/>
      <c r="J381" s="7"/>
      <c r="K381" s="7"/>
      <c r="L381" s="7"/>
      <c r="M381" s="7"/>
      <c r="N381" s="7"/>
      <c r="O381" s="7"/>
      <c r="P381" s="265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</row>
    <row r="382" ht="18.0" customHeight="1">
      <c r="A382" s="7"/>
      <c r="B382" s="7"/>
      <c r="C382" s="7"/>
      <c r="D382" s="7"/>
      <c r="E382" s="7"/>
      <c r="F382" s="264"/>
      <c r="G382" s="7"/>
      <c r="H382" s="7"/>
      <c r="I382" s="7"/>
      <c r="J382" s="7"/>
      <c r="K382" s="7"/>
      <c r="L382" s="7"/>
      <c r="M382" s="7"/>
      <c r="N382" s="7"/>
      <c r="O382" s="7"/>
      <c r="P382" s="265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</row>
    <row r="383" ht="18.0" customHeight="1">
      <c r="A383" s="7"/>
      <c r="B383" s="7"/>
      <c r="C383" s="7"/>
      <c r="D383" s="7"/>
      <c r="E383" s="7"/>
      <c r="F383" s="264"/>
      <c r="G383" s="7"/>
      <c r="H383" s="7"/>
      <c r="I383" s="7"/>
      <c r="J383" s="7"/>
      <c r="K383" s="7"/>
      <c r="L383" s="7"/>
      <c r="M383" s="7"/>
      <c r="N383" s="7"/>
      <c r="O383" s="7"/>
      <c r="P383" s="265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</row>
    <row r="384" ht="18.0" customHeight="1">
      <c r="A384" s="7"/>
      <c r="B384" s="7"/>
      <c r="C384" s="7"/>
      <c r="D384" s="7"/>
      <c r="E384" s="7"/>
      <c r="F384" s="264"/>
      <c r="G384" s="7"/>
      <c r="H384" s="7"/>
      <c r="I384" s="7"/>
      <c r="J384" s="7"/>
      <c r="K384" s="7"/>
      <c r="L384" s="7"/>
      <c r="M384" s="7"/>
      <c r="N384" s="7"/>
      <c r="O384" s="7"/>
      <c r="P384" s="265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</row>
    <row r="385" ht="18.0" customHeight="1">
      <c r="A385" s="7"/>
      <c r="B385" s="7"/>
      <c r="C385" s="7"/>
      <c r="D385" s="7"/>
      <c r="E385" s="7"/>
      <c r="F385" s="264"/>
      <c r="G385" s="7"/>
      <c r="H385" s="7"/>
      <c r="I385" s="7"/>
      <c r="J385" s="7"/>
      <c r="K385" s="7"/>
      <c r="L385" s="7"/>
      <c r="M385" s="7"/>
      <c r="N385" s="7"/>
      <c r="O385" s="7"/>
      <c r="P385" s="265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</row>
    <row r="386" ht="18.0" customHeight="1">
      <c r="A386" s="7"/>
      <c r="B386" s="7"/>
      <c r="C386" s="7"/>
      <c r="D386" s="7"/>
      <c r="E386" s="7"/>
      <c r="F386" s="264"/>
      <c r="G386" s="7"/>
      <c r="H386" s="7"/>
      <c r="I386" s="7"/>
      <c r="J386" s="7"/>
      <c r="K386" s="7"/>
      <c r="L386" s="7"/>
      <c r="M386" s="7"/>
      <c r="N386" s="7"/>
      <c r="O386" s="7"/>
      <c r="P386" s="265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</row>
    <row r="387" ht="18.0" customHeight="1">
      <c r="A387" s="7"/>
      <c r="B387" s="7"/>
      <c r="C387" s="7"/>
      <c r="D387" s="7"/>
      <c r="E387" s="7"/>
      <c r="F387" s="264"/>
      <c r="G387" s="7"/>
      <c r="H387" s="7"/>
      <c r="I387" s="7"/>
      <c r="J387" s="7"/>
      <c r="K387" s="7"/>
      <c r="L387" s="7"/>
      <c r="M387" s="7"/>
      <c r="N387" s="7"/>
      <c r="O387" s="7"/>
      <c r="P387" s="265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</row>
    <row r="388" ht="18.0" customHeight="1">
      <c r="A388" s="7"/>
      <c r="B388" s="7"/>
      <c r="C388" s="7"/>
      <c r="D388" s="7"/>
      <c r="E388" s="7"/>
      <c r="F388" s="264"/>
      <c r="G388" s="7"/>
      <c r="H388" s="7"/>
      <c r="I388" s="7"/>
      <c r="J388" s="7"/>
      <c r="K388" s="7"/>
      <c r="L388" s="7"/>
      <c r="M388" s="7"/>
      <c r="N388" s="7"/>
      <c r="O388" s="7"/>
      <c r="P388" s="265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</row>
    <row r="389" ht="18.0" customHeight="1">
      <c r="A389" s="7"/>
      <c r="B389" s="7"/>
      <c r="C389" s="7"/>
      <c r="D389" s="7"/>
      <c r="E389" s="7"/>
      <c r="F389" s="264"/>
      <c r="G389" s="7"/>
      <c r="H389" s="7"/>
      <c r="I389" s="7"/>
      <c r="J389" s="7"/>
      <c r="K389" s="7"/>
      <c r="L389" s="7"/>
      <c r="M389" s="7"/>
      <c r="N389" s="7"/>
      <c r="O389" s="7"/>
      <c r="P389" s="265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</row>
    <row r="390" ht="18.0" customHeight="1">
      <c r="A390" s="7"/>
      <c r="B390" s="7"/>
      <c r="C390" s="7"/>
      <c r="D390" s="7"/>
      <c r="E390" s="7"/>
      <c r="F390" s="264"/>
      <c r="G390" s="7"/>
      <c r="H390" s="7"/>
      <c r="I390" s="7"/>
      <c r="J390" s="7"/>
      <c r="K390" s="7"/>
      <c r="L390" s="7"/>
      <c r="M390" s="7"/>
      <c r="N390" s="7"/>
      <c r="O390" s="7"/>
      <c r="P390" s="265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</row>
    <row r="391" ht="18.0" customHeight="1">
      <c r="A391" s="7"/>
      <c r="B391" s="7"/>
      <c r="C391" s="7"/>
      <c r="D391" s="7"/>
      <c r="E391" s="7"/>
      <c r="F391" s="264"/>
      <c r="G391" s="7"/>
      <c r="H391" s="7"/>
      <c r="I391" s="7"/>
      <c r="J391" s="7"/>
      <c r="K391" s="7"/>
      <c r="L391" s="7"/>
      <c r="M391" s="7"/>
      <c r="N391" s="7"/>
      <c r="O391" s="7"/>
      <c r="P391" s="265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</row>
    <row r="392" ht="18.0" customHeight="1">
      <c r="A392" s="7"/>
      <c r="B392" s="7"/>
      <c r="C392" s="7"/>
      <c r="D392" s="7"/>
      <c r="E392" s="7"/>
      <c r="F392" s="264"/>
      <c r="G392" s="7"/>
      <c r="H392" s="7"/>
      <c r="I392" s="7"/>
      <c r="J392" s="7"/>
      <c r="K392" s="7"/>
      <c r="L392" s="7"/>
      <c r="M392" s="7"/>
      <c r="N392" s="7"/>
      <c r="O392" s="7"/>
      <c r="P392" s="265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</row>
    <row r="393" ht="18.0" customHeight="1">
      <c r="A393" s="7"/>
      <c r="B393" s="7"/>
      <c r="C393" s="7"/>
      <c r="D393" s="7"/>
      <c r="E393" s="7"/>
      <c r="F393" s="264"/>
      <c r="G393" s="7"/>
      <c r="H393" s="7"/>
      <c r="I393" s="7"/>
      <c r="J393" s="7"/>
      <c r="K393" s="7"/>
      <c r="L393" s="7"/>
      <c r="M393" s="7"/>
      <c r="N393" s="7"/>
      <c r="O393" s="7"/>
      <c r="P393" s="265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</row>
    <row r="394" ht="18.0" customHeight="1">
      <c r="A394" s="7"/>
      <c r="B394" s="7"/>
      <c r="C394" s="7"/>
      <c r="D394" s="7"/>
      <c r="E394" s="7"/>
      <c r="F394" s="264"/>
      <c r="G394" s="7"/>
      <c r="H394" s="7"/>
      <c r="I394" s="7"/>
      <c r="J394" s="7"/>
      <c r="K394" s="7"/>
      <c r="L394" s="7"/>
      <c r="M394" s="7"/>
      <c r="N394" s="7"/>
      <c r="O394" s="7"/>
      <c r="P394" s="265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</row>
    <row r="395" ht="18.0" customHeight="1">
      <c r="A395" s="7"/>
      <c r="B395" s="7"/>
      <c r="C395" s="7"/>
      <c r="D395" s="7"/>
      <c r="E395" s="7"/>
      <c r="F395" s="264"/>
      <c r="G395" s="7"/>
      <c r="H395" s="7"/>
      <c r="I395" s="7"/>
      <c r="J395" s="7"/>
      <c r="K395" s="7"/>
      <c r="L395" s="7"/>
      <c r="M395" s="7"/>
      <c r="N395" s="7"/>
      <c r="O395" s="7"/>
      <c r="P395" s="265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</row>
    <row r="396" ht="18.0" customHeight="1">
      <c r="A396" s="7"/>
      <c r="B396" s="7"/>
      <c r="C396" s="7"/>
      <c r="D396" s="7"/>
      <c r="E396" s="7"/>
      <c r="F396" s="264"/>
      <c r="G396" s="7"/>
      <c r="H396" s="7"/>
      <c r="I396" s="7"/>
      <c r="J396" s="7"/>
      <c r="K396" s="7"/>
      <c r="L396" s="7"/>
      <c r="M396" s="7"/>
      <c r="N396" s="7"/>
      <c r="O396" s="7"/>
      <c r="P396" s="265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</row>
    <row r="397" ht="18.0" customHeight="1">
      <c r="A397" s="7"/>
      <c r="B397" s="7"/>
      <c r="C397" s="7"/>
      <c r="D397" s="7"/>
      <c r="E397" s="7"/>
      <c r="F397" s="264"/>
      <c r="G397" s="7"/>
      <c r="H397" s="7"/>
      <c r="I397" s="7"/>
      <c r="J397" s="7"/>
      <c r="K397" s="7"/>
      <c r="L397" s="7"/>
      <c r="M397" s="7"/>
      <c r="N397" s="7"/>
      <c r="O397" s="7"/>
      <c r="P397" s="265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</row>
    <row r="398" ht="18.0" customHeight="1">
      <c r="A398" s="7"/>
      <c r="B398" s="7"/>
      <c r="C398" s="7"/>
      <c r="D398" s="7"/>
      <c r="E398" s="7"/>
      <c r="F398" s="264"/>
      <c r="G398" s="7"/>
      <c r="H398" s="7"/>
      <c r="I398" s="7"/>
      <c r="J398" s="7"/>
      <c r="K398" s="7"/>
      <c r="L398" s="7"/>
      <c r="M398" s="7"/>
      <c r="N398" s="7"/>
      <c r="O398" s="7"/>
      <c r="P398" s="265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</row>
    <row r="399" ht="18.0" customHeight="1">
      <c r="A399" s="7"/>
      <c r="B399" s="7"/>
      <c r="C399" s="7"/>
      <c r="D399" s="7"/>
      <c r="E399" s="7"/>
      <c r="F399" s="264"/>
      <c r="G399" s="7"/>
      <c r="H399" s="7"/>
      <c r="I399" s="7"/>
      <c r="J399" s="7"/>
      <c r="K399" s="7"/>
      <c r="L399" s="7"/>
      <c r="M399" s="7"/>
      <c r="N399" s="7"/>
      <c r="O399" s="7"/>
      <c r="P399" s="265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</row>
    <row r="400" ht="18.0" customHeight="1">
      <c r="A400" s="7"/>
      <c r="B400" s="7"/>
      <c r="C400" s="7"/>
      <c r="D400" s="7"/>
      <c r="E400" s="7"/>
      <c r="F400" s="264"/>
      <c r="G400" s="7"/>
      <c r="H400" s="7"/>
      <c r="I400" s="7"/>
      <c r="J400" s="7"/>
      <c r="K400" s="7"/>
      <c r="L400" s="7"/>
      <c r="M400" s="7"/>
      <c r="N400" s="7"/>
      <c r="O400" s="7"/>
      <c r="P400" s="265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</row>
    <row r="401" ht="18.0" customHeight="1">
      <c r="A401" s="7"/>
      <c r="B401" s="7"/>
      <c r="C401" s="7"/>
      <c r="D401" s="7"/>
      <c r="E401" s="7"/>
      <c r="F401" s="264"/>
      <c r="G401" s="7"/>
      <c r="H401" s="7"/>
      <c r="I401" s="7"/>
      <c r="J401" s="7"/>
      <c r="K401" s="7"/>
      <c r="L401" s="7"/>
      <c r="M401" s="7"/>
      <c r="N401" s="7"/>
      <c r="O401" s="7"/>
      <c r="P401" s="265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</row>
    <row r="402" ht="18.0" customHeight="1">
      <c r="A402" s="7"/>
      <c r="B402" s="7"/>
      <c r="C402" s="7"/>
      <c r="D402" s="7"/>
      <c r="E402" s="7"/>
      <c r="F402" s="264"/>
      <c r="G402" s="7"/>
      <c r="H402" s="7"/>
      <c r="I402" s="7"/>
      <c r="J402" s="7"/>
      <c r="K402" s="7"/>
      <c r="L402" s="7"/>
      <c r="M402" s="7"/>
      <c r="N402" s="7"/>
      <c r="O402" s="7"/>
      <c r="P402" s="265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</row>
    <row r="403" ht="18.0" customHeight="1">
      <c r="A403" s="7"/>
      <c r="B403" s="7"/>
      <c r="C403" s="7"/>
      <c r="D403" s="7"/>
      <c r="E403" s="7"/>
      <c r="F403" s="264"/>
      <c r="G403" s="7"/>
      <c r="H403" s="7"/>
      <c r="I403" s="7"/>
      <c r="J403" s="7"/>
      <c r="K403" s="7"/>
      <c r="L403" s="7"/>
      <c r="M403" s="7"/>
      <c r="N403" s="7"/>
      <c r="O403" s="7"/>
      <c r="P403" s="265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</row>
    <row r="404" ht="18.0" customHeight="1">
      <c r="A404" s="7"/>
      <c r="B404" s="7"/>
      <c r="C404" s="7"/>
      <c r="D404" s="7"/>
      <c r="E404" s="7"/>
      <c r="F404" s="264"/>
      <c r="G404" s="7"/>
      <c r="H404" s="7"/>
      <c r="I404" s="7"/>
      <c r="J404" s="7"/>
      <c r="K404" s="7"/>
      <c r="L404" s="7"/>
      <c r="M404" s="7"/>
      <c r="N404" s="7"/>
      <c r="O404" s="7"/>
      <c r="P404" s="265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</row>
    <row r="405" ht="18.0" customHeight="1">
      <c r="A405" s="7"/>
      <c r="B405" s="7"/>
      <c r="C405" s="7"/>
      <c r="D405" s="7"/>
      <c r="E405" s="7"/>
      <c r="F405" s="264"/>
      <c r="G405" s="7"/>
      <c r="H405" s="7"/>
      <c r="I405" s="7"/>
      <c r="J405" s="7"/>
      <c r="K405" s="7"/>
      <c r="L405" s="7"/>
      <c r="M405" s="7"/>
      <c r="N405" s="7"/>
      <c r="O405" s="7"/>
      <c r="P405" s="265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</row>
    <row r="406" ht="18.0" customHeight="1">
      <c r="A406" s="7"/>
      <c r="B406" s="7"/>
      <c r="C406" s="7"/>
      <c r="D406" s="7"/>
      <c r="E406" s="7"/>
      <c r="F406" s="264"/>
      <c r="G406" s="7"/>
      <c r="H406" s="7"/>
      <c r="I406" s="7"/>
      <c r="J406" s="7"/>
      <c r="K406" s="7"/>
      <c r="L406" s="7"/>
      <c r="M406" s="7"/>
      <c r="N406" s="7"/>
      <c r="O406" s="7"/>
      <c r="P406" s="265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</row>
    <row r="407" ht="18.0" customHeight="1">
      <c r="A407" s="7"/>
      <c r="B407" s="7"/>
      <c r="C407" s="7"/>
      <c r="D407" s="7"/>
      <c r="E407" s="7"/>
      <c r="F407" s="264"/>
      <c r="G407" s="7"/>
      <c r="H407" s="7"/>
      <c r="I407" s="7"/>
      <c r="J407" s="7"/>
      <c r="K407" s="7"/>
      <c r="L407" s="7"/>
      <c r="M407" s="7"/>
      <c r="N407" s="7"/>
      <c r="O407" s="7"/>
      <c r="P407" s="265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</row>
    <row r="408" ht="18.0" customHeight="1">
      <c r="A408" s="7"/>
      <c r="B408" s="7"/>
      <c r="C408" s="7"/>
      <c r="D408" s="7"/>
      <c r="E408" s="7"/>
      <c r="F408" s="264"/>
      <c r="G408" s="7"/>
      <c r="H408" s="7"/>
      <c r="I408" s="7"/>
      <c r="J408" s="7"/>
      <c r="K408" s="7"/>
      <c r="L408" s="7"/>
      <c r="M408" s="7"/>
      <c r="N408" s="7"/>
      <c r="O408" s="7"/>
      <c r="P408" s="265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</row>
    <row r="409" ht="18.0" customHeight="1">
      <c r="A409" s="7"/>
      <c r="B409" s="7"/>
      <c r="C409" s="7"/>
      <c r="D409" s="7"/>
      <c r="E409" s="7"/>
      <c r="F409" s="264"/>
      <c r="G409" s="7"/>
      <c r="H409" s="7"/>
      <c r="I409" s="7"/>
      <c r="J409" s="7"/>
      <c r="K409" s="7"/>
      <c r="L409" s="7"/>
      <c r="M409" s="7"/>
      <c r="N409" s="7"/>
      <c r="O409" s="7"/>
      <c r="P409" s="265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</row>
    <row r="410" ht="18.0" customHeight="1">
      <c r="A410" s="7"/>
      <c r="B410" s="7"/>
      <c r="C410" s="7"/>
      <c r="D410" s="7"/>
      <c r="E410" s="7"/>
      <c r="F410" s="264"/>
      <c r="G410" s="7"/>
      <c r="H410" s="7"/>
      <c r="I410" s="7"/>
      <c r="J410" s="7"/>
      <c r="K410" s="7"/>
      <c r="L410" s="7"/>
      <c r="M410" s="7"/>
      <c r="N410" s="7"/>
      <c r="O410" s="7"/>
      <c r="P410" s="265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</row>
    <row r="411" ht="18.0" customHeight="1">
      <c r="A411" s="7"/>
      <c r="B411" s="7"/>
      <c r="C411" s="7"/>
      <c r="D411" s="7"/>
      <c r="E411" s="7"/>
      <c r="F411" s="264"/>
      <c r="G411" s="7"/>
      <c r="H411" s="7"/>
      <c r="I411" s="7"/>
      <c r="J411" s="7"/>
      <c r="K411" s="7"/>
      <c r="L411" s="7"/>
      <c r="M411" s="7"/>
      <c r="N411" s="7"/>
      <c r="O411" s="7"/>
      <c r="P411" s="265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</row>
    <row r="412" ht="18.0" customHeight="1">
      <c r="A412" s="7"/>
      <c r="B412" s="7"/>
      <c r="C412" s="7"/>
      <c r="D412" s="7"/>
      <c r="E412" s="7"/>
      <c r="F412" s="264"/>
      <c r="G412" s="7"/>
      <c r="H412" s="7"/>
      <c r="I412" s="7"/>
      <c r="J412" s="7"/>
      <c r="K412" s="7"/>
      <c r="L412" s="7"/>
      <c r="M412" s="7"/>
      <c r="N412" s="7"/>
      <c r="O412" s="7"/>
      <c r="P412" s="265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</row>
    <row r="413" ht="18.0" customHeight="1">
      <c r="A413" s="7"/>
      <c r="B413" s="7"/>
      <c r="C413" s="7"/>
      <c r="D413" s="7"/>
      <c r="E413" s="7"/>
      <c r="F413" s="264"/>
      <c r="G413" s="7"/>
      <c r="H413" s="7"/>
      <c r="I413" s="7"/>
      <c r="J413" s="7"/>
      <c r="K413" s="7"/>
      <c r="L413" s="7"/>
      <c r="M413" s="7"/>
      <c r="N413" s="7"/>
      <c r="O413" s="7"/>
      <c r="P413" s="265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</row>
    <row r="414" ht="18.0" customHeight="1">
      <c r="A414" s="7"/>
      <c r="B414" s="7"/>
      <c r="C414" s="7"/>
      <c r="D414" s="7"/>
      <c r="E414" s="7"/>
      <c r="F414" s="264"/>
      <c r="G414" s="7"/>
      <c r="H414" s="7"/>
      <c r="I414" s="7"/>
      <c r="J414" s="7"/>
      <c r="K414" s="7"/>
      <c r="L414" s="7"/>
      <c r="M414" s="7"/>
      <c r="N414" s="7"/>
      <c r="O414" s="7"/>
      <c r="P414" s="265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</row>
    <row r="415" ht="18.0" customHeight="1">
      <c r="A415" s="7"/>
      <c r="B415" s="7"/>
      <c r="C415" s="7"/>
      <c r="D415" s="7"/>
      <c r="E415" s="7"/>
      <c r="F415" s="264"/>
      <c r="G415" s="7"/>
      <c r="H415" s="7"/>
      <c r="I415" s="7"/>
      <c r="J415" s="7"/>
      <c r="K415" s="7"/>
      <c r="L415" s="7"/>
      <c r="M415" s="7"/>
      <c r="N415" s="7"/>
      <c r="O415" s="7"/>
      <c r="P415" s="265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</row>
    <row r="416" ht="18.0" customHeight="1">
      <c r="A416" s="7"/>
      <c r="B416" s="7"/>
      <c r="C416" s="7"/>
      <c r="D416" s="7"/>
      <c r="E416" s="7"/>
      <c r="F416" s="264"/>
      <c r="G416" s="7"/>
      <c r="H416" s="7"/>
      <c r="I416" s="7"/>
      <c r="J416" s="7"/>
      <c r="K416" s="7"/>
      <c r="L416" s="7"/>
      <c r="M416" s="7"/>
      <c r="N416" s="7"/>
      <c r="O416" s="7"/>
      <c r="P416" s="265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</row>
    <row r="417" ht="18.0" customHeight="1">
      <c r="A417" s="7"/>
      <c r="B417" s="7"/>
      <c r="C417" s="7"/>
      <c r="D417" s="7"/>
      <c r="E417" s="7"/>
      <c r="F417" s="264"/>
      <c r="G417" s="7"/>
      <c r="H417" s="7"/>
      <c r="I417" s="7"/>
      <c r="J417" s="7"/>
      <c r="K417" s="7"/>
      <c r="L417" s="7"/>
      <c r="M417" s="7"/>
      <c r="N417" s="7"/>
      <c r="O417" s="7"/>
      <c r="P417" s="265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</row>
    <row r="418" ht="18.0" customHeight="1">
      <c r="A418" s="7"/>
      <c r="B418" s="7"/>
      <c r="C418" s="7"/>
      <c r="D418" s="7"/>
      <c r="E418" s="7"/>
      <c r="F418" s="264"/>
      <c r="G418" s="7"/>
      <c r="H418" s="7"/>
      <c r="I418" s="7"/>
      <c r="J418" s="7"/>
      <c r="K418" s="7"/>
      <c r="L418" s="7"/>
      <c r="M418" s="7"/>
      <c r="N418" s="7"/>
      <c r="O418" s="7"/>
      <c r="P418" s="265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</row>
    <row r="419" ht="18.0" customHeight="1">
      <c r="A419" s="7"/>
      <c r="B419" s="7"/>
      <c r="C419" s="7"/>
      <c r="D419" s="7"/>
      <c r="E419" s="7"/>
      <c r="F419" s="264"/>
      <c r="G419" s="7"/>
      <c r="H419" s="7"/>
      <c r="I419" s="7"/>
      <c r="J419" s="7"/>
      <c r="K419" s="7"/>
      <c r="L419" s="7"/>
      <c r="M419" s="7"/>
      <c r="N419" s="7"/>
      <c r="O419" s="7"/>
      <c r="P419" s="265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</row>
    <row r="420" ht="18.0" customHeight="1">
      <c r="A420" s="7"/>
      <c r="B420" s="7"/>
      <c r="C420" s="7"/>
      <c r="D420" s="7"/>
      <c r="E420" s="7"/>
      <c r="F420" s="264"/>
      <c r="G420" s="7"/>
      <c r="H420" s="7"/>
      <c r="I420" s="7"/>
      <c r="J420" s="7"/>
      <c r="K420" s="7"/>
      <c r="L420" s="7"/>
      <c r="M420" s="7"/>
      <c r="N420" s="7"/>
      <c r="O420" s="7"/>
      <c r="P420" s="265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</row>
    <row r="421" ht="18.0" customHeight="1">
      <c r="A421" s="7"/>
      <c r="B421" s="7"/>
      <c r="C421" s="7"/>
      <c r="D421" s="7"/>
      <c r="E421" s="7"/>
      <c r="F421" s="264"/>
      <c r="G421" s="7"/>
      <c r="H421" s="7"/>
      <c r="I421" s="7"/>
      <c r="J421" s="7"/>
      <c r="K421" s="7"/>
      <c r="L421" s="7"/>
      <c r="M421" s="7"/>
      <c r="N421" s="7"/>
      <c r="O421" s="7"/>
      <c r="P421" s="265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</row>
    <row r="422" ht="18.0" customHeight="1">
      <c r="A422" s="7"/>
      <c r="B422" s="7"/>
      <c r="C422" s="7"/>
      <c r="D422" s="7"/>
      <c r="E422" s="7"/>
      <c r="F422" s="264"/>
      <c r="G422" s="7"/>
      <c r="H422" s="7"/>
      <c r="I422" s="7"/>
      <c r="J422" s="7"/>
      <c r="K422" s="7"/>
      <c r="L422" s="7"/>
      <c r="M422" s="7"/>
      <c r="N422" s="7"/>
      <c r="O422" s="7"/>
      <c r="P422" s="265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</row>
    <row r="423" ht="18.0" customHeight="1">
      <c r="A423" s="7"/>
      <c r="B423" s="7"/>
      <c r="C423" s="7"/>
      <c r="D423" s="7"/>
      <c r="E423" s="7"/>
      <c r="F423" s="264"/>
      <c r="G423" s="7"/>
      <c r="H423" s="7"/>
      <c r="I423" s="7"/>
      <c r="J423" s="7"/>
      <c r="K423" s="7"/>
      <c r="L423" s="7"/>
      <c r="M423" s="7"/>
      <c r="N423" s="7"/>
      <c r="O423" s="7"/>
      <c r="P423" s="265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</row>
    <row r="424" ht="18.0" customHeight="1">
      <c r="A424" s="7"/>
      <c r="B424" s="7"/>
      <c r="C424" s="7"/>
      <c r="D424" s="7"/>
      <c r="E424" s="7"/>
      <c r="F424" s="264"/>
      <c r="G424" s="7"/>
      <c r="H424" s="7"/>
      <c r="I424" s="7"/>
      <c r="J424" s="7"/>
      <c r="K424" s="7"/>
      <c r="L424" s="7"/>
      <c r="M424" s="7"/>
      <c r="N424" s="7"/>
      <c r="O424" s="7"/>
      <c r="P424" s="265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</row>
    <row r="425" ht="18.0" customHeight="1">
      <c r="A425" s="7"/>
      <c r="B425" s="7"/>
      <c r="C425" s="7"/>
      <c r="D425" s="7"/>
      <c r="E425" s="7"/>
      <c r="F425" s="264"/>
      <c r="G425" s="7"/>
      <c r="H425" s="7"/>
      <c r="I425" s="7"/>
      <c r="J425" s="7"/>
      <c r="K425" s="7"/>
      <c r="L425" s="7"/>
      <c r="M425" s="7"/>
      <c r="N425" s="7"/>
      <c r="O425" s="7"/>
      <c r="P425" s="265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</row>
    <row r="426" ht="18.0" customHeight="1">
      <c r="A426" s="7"/>
      <c r="B426" s="7"/>
      <c r="C426" s="7"/>
      <c r="D426" s="7"/>
      <c r="E426" s="7"/>
      <c r="F426" s="264"/>
      <c r="G426" s="7"/>
      <c r="H426" s="7"/>
      <c r="I426" s="7"/>
      <c r="J426" s="7"/>
      <c r="K426" s="7"/>
      <c r="L426" s="7"/>
      <c r="M426" s="7"/>
      <c r="N426" s="7"/>
      <c r="O426" s="7"/>
      <c r="P426" s="265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</row>
    <row r="427" ht="18.0" customHeight="1">
      <c r="A427" s="7"/>
      <c r="B427" s="7"/>
      <c r="C427" s="7"/>
      <c r="D427" s="7"/>
      <c r="E427" s="7"/>
      <c r="F427" s="264"/>
      <c r="G427" s="7"/>
      <c r="H427" s="7"/>
      <c r="I427" s="7"/>
      <c r="J427" s="7"/>
      <c r="K427" s="7"/>
      <c r="L427" s="7"/>
      <c r="M427" s="7"/>
      <c r="N427" s="7"/>
      <c r="O427" s="7"/>
      <c r="P427" s="265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</row>
    <row r="428" ht="18.0" customHeight="1">
      <c r="A428" s="7"/>
      <c r="B428" s="7"/>
      <c r="C428" s="7"/>
      <c r="D428" s="7"/>
      <c r="E428" s="7"/>
      <c r="F428" s="264"/>
      <c r="G428" s="7"/>
      <c r="H428" s="7"/>
      <c r="I428" s="7"/>
      <c r="J428" s="7"/>
      <c r="K428" s="7"/>
      <c r="L428" s="7"/>
      <c r="M428" s="7"/>
      <c r="N428" s="7"/>
      <c r="O428" s="7"/>
      <c r="P428" s="265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</row>
    <row r="429" ht="18.0" customHeight="1">
      <c r="A429" s="7"/>
      <c r="B429" s="7"/>
      <c r="C429" s="7"/>
      <c r="D429" s="7"/>
      <c r="E429" s="7"/>
      <c r="F429" s="264"/>
      <c r="G429" s="7"/>
      <c r="H429" s="7"/>
      <c r="I429" s="7"/>
      <c r="J429" s="7"/>
      <c r="K429" s="7"/>
      <c r="L429" s="7"/>
      <c r="M429" s="7"/>
      <c r="N429" s="7"/>
      <c r="O429" s="7"/>
      <c r="P429" s="265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</row>
    <row r="430" ht="18.0" customHeight="1">
      <c r="A430" s="7"/>
      <c r="B430" s="7"/>
      <c r="C430" s="7"/>
      <c r="D430" s="7"/>
      <c r="E430" s="7"/>
      <c r="F430" s="264"/>
      <c r="G430" s="7"/>
      <c r="H430" s="7"/>
      <c r="I430" s="7"/>
      <c r="J430" s="7"/>
      <c r="K430" s="7"/>
      <c r="L430" s="7"/>
      <c r="M430" s="7"/>
      <c r="N430" s="7"/>
      <c r="O430" s="7"/>
      <c r="P430" s="265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</row>
    <row r="431" ht="18.0" customHeight="1">
      <c r="A431" s="7"/>
      <c r="B431" s="7"/>
      <c r="C431" s="7"/>
      <c r="D431" s="7"/>
      <c r="E431" s="7"/>
      <c r="F431" s="264"/>
      <c r="G431" s="7"/>
      <c r="H431" s="7"/>
      <c r="I431" s="7"/>
      <c r="J431" s="7"/>
      <c r="K431" s="7"/>
      <c r="L431" s="7"/>
      <c r="M431" s="7"/>
      <c r="N431" s="7"/>
      <c r="O431" s="7"/>
      <c r="P431" s="265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</row>
    <row r="432" ht="18.0" customHeight="1">
      <c r="A432" s="7"/>
      <c r="B432" s="7"/>
      <c r="C432" s="7"/>
      <c r="D432" s="7"/>
      <c r="E432" s="7"/>
      <c r="F432" s="264"/>
      <c r="G432" s="7"/>
      <c r="H432" s="7"/>
      <c r="I432" s="7"/>
      <c r="J432" s="7"/>
      <c r="K432" s="7"/>
      <c r="L432" s="7"/>
      <c r="M432" s="7"/>
      <c r="N432" s="7"/>
      <c r="O432" s="7"/>
      <c r="P432" s="265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</row>
    <row r="433" ht="18.0" customHeight="1">
      <c r="A433" s="7"/>
      <c r="B433" s="7"/>
      <c r="C433" s="7"/>
      <c r="D433" s="7"/>
      <c r="E433" s="7"/>
      <c r="F433" s="264"/>
      <c r="G433" s="7"/>
      <c r="H433" s="7"/>
      <c r="I433" s="7"/>
      <c r="J433" s="7"/>
      <c r="K433" s="7"/>
      <c r="L433" s="7"/>
      <c r="M433" s="7"/>
      <c r="N433" s="7"/>
      <c r="O433" s="7"/>
      <c r="P433" s="265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</row>
    <row r="434" ht="18.0" customHeight="1">
      <c r="A434" s="7"/>
      <c r="B434" s="7"/>
      <c r="C434" s="7"/>
      <c r="D434" s="7"/>
      <c r="E434" s="7"/>
      <c r="F434" s="264"/>
      <c r="G434" s="7"/>
      <c r="H434" s="7"/>
      <c r="I434" s="7"/>
      <c r="J434" s="7"/>
      <c r="K434" s="7"/>
      <c r="L434" s="7"/>
      <c r="M434" s="7"/>
      <c r="N434" s="7"/>
      <c r="O434" s="7"/>
      <c r="P434" s="265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</row>
    <row r="435" ht="18.0" customHeight="1">
      <c r="A435" s="7"/>
      <c r="B435" s="7"/>
      <c r="C435" s="7"/>
      <c r="D435" s="7"/>
      <c r="E435" s="7"/>
      <c r="F435" s="264"/>
      <c r="G435" s="7"/>
      <c r="H435" s="7"/>
      <c r="I435" s="7"/>
      <c r="J435" s="7"/>
      <c r="K435" s="7"/>
      <c r="L435" s="7"/>
      <c r="M435" s="7"/>
      <c r="N435" s="7"/>
      <c r="O435" s="7"/>
      <c r="P435" s="265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</row>
    <row r="436" ht="18.0" customHeight="1">
      <c r="A436" s="7"/>
      <c r="B436" s="7"/>
      <c r="C436" s="7"/>
      <c r="D436" s="7"/>
      <c r="E436" s="7"/>
      <c r="F436" s="264"/>
      <c r="G436" s="7"/>
      <c r="H436" s="7"/>
      <c r="I436" s="7"/>
      <c r="J436" s="7"/>
      <c r="K436" s="7"/>
      <c r="L436" s="7"/>
      <c r="M436" s="7"/>
      <c r="N436" s="7"/>
      <c r="O436" s="7"/>
      <c r="P436" s="265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</row>
    <row r="437" ht="18.0" customHeight="1">
      <c r="A437" s="7"/>
      <c r="B437" s="7"/>
      <c r="C437" s="7"/>
      <c r="D437" s="7"/>
      <c r="E437" s="7"/>
      <c r="F437" s="264"/>
      <c r="G437" s="7"/>
      <c r="H437" s="7"/>
      <c r="I437" s="7"/>
      <c r="J437" s="7"/>
      <c r="K437" s="7"/>
      <c r="L437" s="7"/>
      <c r="M437" s="7"/>
      <c r="N437" s="7"/>
      <c r="O437" s="7"/>
      <c r="P437" s="265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</row>
    <row r="438" ht="18.0" customHeight="1">
      <c r="A438" s="7"/>
      <c r="B438" s="7"/>
      <c r="C438" s="7"/>
      <c r="D438" s="7"/>
      <c r="E438" s="7"/>
      <c r="F438" s="264"/>
      <c r="G438" s="7"/>
      <c r="H438" s="7"/>
      <c r="I438" s="7"/>
      <c r="J438" s="7"/>
      <c r="K438" s="7"/>
      <c r="L438" s="7"/>
      <c r="M438" s="7"/>
      <c r="N438" s="7"/>
      <c r="O438" s="7"/>
      <c r="P438" s="265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</row>
    <row r="439" ht="18.0" customHeight="1">
      <c r="A439" s="7"/>
      <c r="B439" s="7"/>
      <c r="C439" s="7"/>
      <c r="D439" s="7"/>
      <c r="E439" s="7"/>
      <c r="F439" s="264"/>
      <c r="G439" s="7"/>
      <c r="H439" s="7"/>
      <c r="I439" s="7"/>
      <c r="J439" s="7"/>
      <c r="K439" s="7"/>
      <c r="L439" s="7"/>
      <c r="M439" s="7"/>
      <c r="N439" s="7"/>
      <c r="O439" s="7"/>
      <c r="P439" s="265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</row>
    <row r="440" ht="18.0" customHeight="1">
      <c r="A440" s="7"/>
      <c r="B440" s="7"/>
      <c r="C440" s="7"/>
      <c r="D440" s="7"/>
      <c r="E440" s="7"/>
      <c r="F440" s="264"/>
      <c r="G440" s="7"/>
      <c r="H440" s="7"/>
      <c r="I440" s="7"/>
      <c r="J440" s="7"/>
      <c r="K440" s="7"/>
      <c r="L440" s="7"/>
      <c r="M440" s="7"/>
      <c r="N440" s="7"/>
      <c r="O440" s="7"/>
      <c r="P440" s="265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</row>
    <row r="441" ht="18.0" customHeight="1">
      <c r="A441" s="7"/>
      <c r="B441" s="7"/>
      <c r="C441" s="7"/>
      <c r="D441" s="7"/>
      <c r="E441" s="7"/>
      <c r="F441" s="264"/>
      <c r="G441" s="7"/>
      <c r="H441" s="7"/>
      <c r="I441" s="7"/>
      <c r="J441" s="7"/>
      <c r="K441" s="7"/>
      <c r="L441" s="7"/>
      <c r="M441" s="7"/>
      <c r="N441" s="7"/>
      <c r="O441" s="7"/>
      <c r="P441" s="265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</row>
    <row r="442" ht="18.0" customHeight="1">
      <c r="A442" s="7"/>
      <c r="B442" s="7"/>
      <c r="C442" s="7"/>
      <c r="D442" s="7"/>
      <c r="E442" s="7"/>
      <c r="F442" s="264"/>
      <c r="G442" s="7"/>
      <c r="H442" s="7"/>
      <c r="I442" s="7"/>
      <c r="J442" s="7"/>
      <c r="K442" s="7"/>
      <c r="L442" s="7"/>
      <c r="M442" s="7"/>
      <c r="N442" s="7"/>
      <c r="O442" s="7"/>
      <c r="P442" s="265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</row>
    <row r="443" ht="18.0" customHeight="1">
      <c r="A443" s="7"/>
      <c r="B443" s="7"/>
      <c r="C443" s="7"/>
      <c r="D443" s="7"/>
      <c r="E443" s="7"/>
      <c r="F443" s="264"/>
      <c r="G443" s="7"/>
      <c r="H443" s="7"/>
      <c r="I443" s="7"/>
      <c r="J443" s="7"/>
      <c r="K443" s="7"/>
      <c r="L443" s="7"/>
      <c r="M443" s="7"/>
      <c r="N443" s="7"/>
      <c r="O443" s="7"/>
      <c r="P443" s="265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</row>
    <row r="444" ht="18.0" customHeight="1">
      <c r="A444" s="7"/>
      <c r="B444" s="7"/>
      <c r="C444" s="7"/>
      <c r="D444" s="7"/>
      <c r="E444" s="7"/>
      <c r="F444" s="264"/>
      <c r="G444" s="7"/>
      <c r="H444" s="7"/>
      <c r="I444" s="7"/>
      <c r="J444" s="7"/>
      <c r="K444" s="7"/>
      <c r="L444" s="7"/>
      <c r="M444" s="7"/>
      <c r="N444" s="7"/>
      <c r="O444" s="7"/>
      <c r="P444" s="265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</row>
    <row r="445" ht="18.0" customHeight="1">
      <c r="A445" s="7"/>
      <c r="B445" s="7"/>
      <c r="C445" s="7"/>
      <c r="D445" s="7"/>
      <c r="E445" s="7"/>
      <c r="F445" s="264"/>
      <c r="G445" s="7"/>
      <c r="H445" s="7"/>
      <c r="I445" s="7"/>
      <c r="J445" s="7"/>
      <c r="K445" s="7"/>
      <c r="L445" s="7"/>
      <c r="M445" s="7"/>
      <c r="N445" s="7"/>
      <c r="O445" s="7"/>
      <c r="P445" s="265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</row>
    <row r="446" ht="18.0" customHeight="1">
      <c r="A446" s="7"/>
      <c r="B446" s="7"/>
      <c r="C446" s="7"/>
      <c r="D446" s="7"/>
      <c r="E446" s="7"/>
      <c r="F446" s="264"/>
      <c r="G446" s="7"/>
      <c r="H446" s="7"/>
      <c r="I446" s="7"/>
      <c r="J446" s="7"/>
      <c r="K446" s="7"/>
      <c r="L446" s="7"/>
      <c r="M446" s="7"/>
      <c r="N446" s="7"/>
      <c r="O446" s="7"/>
      <c r="P446" s="265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</row>
    <row r="447" ht="18.0" customHeight="1">
      <c r="A447" s="7"/>
      <c r="B447" s="7"/>
      <c r="C447" s="7"/>
      <c r="D447" s="7"/>
      <c r="E447" s="7"/>
      <c r="F447" s="264"/>
      <c r="G447" s="7"/>
      <c r="H447" s="7"/>
      <c r="I447" s="7"/>
      <c r="J447" s="7"/>
      <c r="K447" s="7"/>
      <c r="L447" s="7"/>
      <c r="M447" s="7"/>
      <c r="N447" s="7"/>
      <c r="O447" s="7"/>
      <c r="P447" s="265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</row>
    <row r="448" ht="18.0" customHeight="1">
      <c r="A448" s="7"/>
      <c r="B448" s="7"/>
      <c r="C448" s="7"/>
      <c r="D448" s="7"/>
      <c r="E448" s="7"/>
      <c r="F448" s="264"/>
      <c r="G448" s="7"/>
      <c r="H448" s="7"/>
      <c r="I448" s="7"/>
      <c r="J448" s="7"/>
      <c r="K448" s="7"/>
      <c r="L448" s="7"/>
      <c r="M448" s="7"/>
      <c r="N448" s="7"/>
      <c r="O448" s="7"/>
      <c r="P448" s="265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</row>
    <row r="449" ht="18.0" customHeight="1">
      <c r="A449" s="7"/>
      <c r="B449" s="7"/>
      <c r="C449" s="7"/>
      <c r="D449" s="7"/>
      <c r="E449" s="7"/>
      <c r="F449" s="264"/>
      <c r="G449" s="7"/>
      <c r="H449" s="7"/>
      <c r="I449" s="7"/>
      <c r="J449" s="7"/>
      <c r="K449" s="7"/>
      <c r="L449" s="7"/>
      <c r="M449" s="7"/>
      <c r="N449" s="7"/>
      <c r="O449" s="7"/>
      <c r="P449" s="265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</row>
    <row r="450" ht="18.0" customHeight="1">
      <c r="A450" s="7"/>
      <c r="B450" s="7"/>
      <c r="C450" s="7"/>
      <c r="D450" s="7"/>
      <c r="E450" s="7"/>
      <c r="F450" s="264"/>
      <c r="G450" s="7"/>
      <c r="H450" s="7"/>
      <c r="I450" s="7"/>
      <c r="J450" s="7"/>
      <c r="K450" s="7"/>
      <c r="L450" s="7"/>
      <c r="M450" s="7"/>
      <c r="N450" s="7"/>
      <c r="O450" s="7"/>
      <c r="P450" s="265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</row>
    <row r="451" ht="18.0" customHeight="1">
      <c r="A451" s="7"/>
      <c r="B451" s="7"/>
      <c r="C451" s="7"/>
      <c r="D451" s="7"/>
      <c r="E451" s="7"/>
      <c r="F451" s="264"/>
      <c r="G451" s="7"/>
      <c r="H451" s="7"/>
      <c r="I451" s="7"/>
      <c r="J451" s="7"/>
      <c r="K451" s="7"/>
      <c r="L451" s="7"/>
      <c r="M451" s="7"/>
      <c r="N451" s="7"/>
      <c r="O451" s="7"/>
      <c r="P451" s="265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</row>
    <row r="452" ht="18.0" customHeight="1">
      <c r="A452" s="7"/>
      <c r="B452" s="7"/>
      <c r="C452" s="7"/>
      <c r="D452" s="7"/>
      <c r="E452" s="7"/>
      <c r="F452" s="264"/>
      <c r="G452" s="7"/>
      <c r="H452" s="7"/>
      <c r="I452" s="7"/>
      <c r="J452" s="7"/>
      <c r="K452" s="7"/>
      <c r="L452" s="7"/>
      <c r="M452" s="7"/>
      <c r="N452" s="7"/>
      <c r="O452" s="7"/>
      <c r="P452" s="265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</row>
    <row r="453" ht="18.0" customHeight="1">
      <c r="A453" s="7"/>
      <c r="B453" s="7"/>
      <c r="C453" s="7"/>
      <c r="D453" s="7"/>
      <c r="E453" s="7"/>
      <c r="F453" s="264"/>
      <c r="G453" s="7"/>
      <c r="H453" s="7"/>
      <c r="I453" s="7"/>
      <c r="J453" s="7"/>
      <c r="K453" s="7"/>
      <c r="L453" s="7"/>
      <c r="M453" s="7"/>
      <c r="N453" s="7"/>
      <c r="O453" s="7"/>
      <c r="P453" s="265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</row>
    <row r="454" ht="18.0" customHeight="1">
      <c r="A454" s="7"/>
      <c r="B454" s="7"/>
      <c r="C454" s="7"/>
      <c r="D454" s="7"/>
      <c r="E454" s="7"/>
      <c r="F454" s="264"/>
      <c r="G454" s="7"/>
      <c r="H454" s="7"/>
      <c r="I454" s="7"/>
      <c r="J454" s="7"/>
      <c r="K454" s="7"/>
      <c r="L454" s="7"/>
      <c r="M454" s="7"/>
      <c r="N454" s="7"/>
      <c r="O454" s="7"/>
      <c r="P454" s="265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</row>
    <row r="455" ht="18.0" customHeight="1">
      <c r="A455" s="7"/>
      <c r="B455" s="7"/>
      <c r="C455" s="7"/>
      <c r="D455" s="7"/>
      <c r="E455" s="7"/>
      <c r="F455" s="264"/>
      <c r="G455" s="7"/>
      <c r="H455" s="7"/>
      <c r="I455" s="7"/>
      <c r="J455" s="7"/>
      <c r="K455" s="7"/>
      <c r="L455" s="7"/>
      <c r="M455" s="7"/>
      <c r="N455" s="7"/>
      <c r="O455" s="7"/>
      <c r="P455" s="265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</row>
    <row r="456" ht="18.0" customHeight="1">
      <c r="A456" s="7"/>
      <c r="B456" s="7"/>
      <c r="C456" s="7"/>
      <c r="D456" s="7"/>
      <c r="E456" s="7"/>
      <c r="F456" s="264"/>
      <c r="G456" s="7"/>
      <c r="H456" s="7"/>
      <c r="I456" s="7"/>
      <c r="J456" s="7"/>
      <c r="K456" s="7"/>
      <c r="L456" s="7"/>
      <c r="M456" s="7"/>
      <c r="N456" s="7"/>
      <c r="O456" s="7"/>
      <c r="P456" s="265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</row>
    <row r="457" ht="18.0" customHeight="1">
      <c r="A457" s="7"/>
      <c r="B457" s="7"/>
      <c r="C457" s="7"/>
      <c r="D457" s="7"/>
      <c r="E457" s="7"/>
      <c r="F457" s="264"/>
      <c r="G457" s="7"/>
      <c r="H457" s="7"/>
      <c r="I457" s="7"/>
      <c r="J457" s="7"/>
      <c r="K457" s="7"/>
      <c r="L457" s="7"/>
      <c r="M457" s="7"/>
      <c r="N457" s="7"/>
      <c r="O457" s="7"/>
      <c r="P457" s="265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</row>
    <row r="458" ht="18.0" customHeight="1">
      <c r="A458" s="7"/>
      <c r="B458" s="7"/>
      <c r="C458" s="7"/>
      <c r="D458" s="7"/>
      <c r="E458" s="7"/>
      <c r="F458" s="264"/>
      <c r="G458" s="7"/>
      <c r="H458" s="7"/>
      <c r="I458" s="7"/>
      <c r="J458" s="7"/>
      <c r="K458" s="7"/>
      <c r="L458" s="7"/>
      <c r="M458" s="7"/>
      <c r="N458" s="7"/>
      <c r="O458" s="7"/>
      <c r="P458" s="265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</row>
    <row r="459" ht="18.0" customHeight="1">
      <c r="A459" s="7"/>
      <c r="B459" s="7"/>
      <c r="C459" s="7"/>
      <c r="D459" s="7"/>
      <c r="E459" s="7"/>
      <c r="F459" s="264"/>
      <c r="G459" s="7"/>
      <c r="H459" s="7"/>
      <c r="I459" s="7"/>
      <c r="J459" s="7"/>
      <c r="K459" s="7"/>
      <c r="L459" s="7"/>
      <c r="M459" s="7"/>
      <c r="N459" s="7"/>
      <c r="O459" s="7"/>
      <c r="P459" s="265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</row>
    <row r="460" ht="18.0" customHeight="1">
      <c r="A460" s="7"/>
      <c r="B460" s="7"/>
      <c r="C460" s="7"/>
      <c r="D460" s="7"/>
      <c r="E460" s="7"/>
      <c r="F460" s="264"/>
      <c r="G460" s="7"/>
      <c r="H460" s="7"/>
      <c r="I460" s="7"/>
      <c r="J460" s="7"/>
      <c r="K460" s="7"/>
      <c r="L460" s="7"/>
      <c r="M460" s="7"/>
      <c r="N460" s="7"/>
      <c r="O460" s="7"/>
      <c r="P460" s="265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</row>
    <row r="461" ht="18.0" customHeight="1">
      <c r="A461" s="7"/>
      <c r="B461" s="7"/>
      <c r="C461" s="7"/>
      <c r="D461" s="7"/>
      <c r="E461" s="7"/>
      <c r="F461" s="264"/>
      <c r="G461" s="7"/>
      <c r="H461" s="7"/>
      <c r="I461" s="7"/>
      <c r="J461" s="7"/>
      <c r="K461" s="7"/>
      <c r="L461" s="7"/>
      <c r="M461" s="7"/>
      <c r="N461" s="7"/>
      <c r="O461" s="7"/>
      <c r="P461" s="265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</row>
    <row r="462" ht="18.0" customHeight="1">
      <c r="A462" s="7"/>
      <c r="B462" s="7"/>
      <c r="C462" s="7"/>
      <c r="D462" s="7"/>
      <c r="E462" s="7"/>
      <c r="F462" s="264"/>
      <c r="G462" s="7"/>
      <c r="H462" s="7"/>
      <c r="I462" s="7"/>
      <c r="J462" s="7"/>
      <c r="K462" s="7"/>
      <c r="L462" s="7"/>
      <c r="M462" s="7"/>
      <c r="N462" s="7"/>
      <c r="O462" s="7"/>
      <c r="P462" s="265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</row>
    <row r="463" ht="18.0" customHeight="1">
      <c r="A463" s="7"/>
      <c r="B463" s="7"/>
      <c r="C463" s="7"/>
      <c r="D463" s="7"/>
      <c r="E463" s="7"/>
      <c r="F463" s="264"/>
      <c r="G463" s="7"/>
      <c r="H463" s="7"/>
      <c r="I463" s="7"/>
      <c r="J463" s="7"/>
      <c r="K463" s="7"/>
      <c r="L463" s="7"/>
      <c r="M463" s="7"/>
      <c r="N463" s="7"/>
      <c r="O463" s="7"/>
      <c r="P463" s="265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</row>
    <row r="464" ht="18.0" customHeight="1">
      <c r="A464" s="7"/>
      <c r="B464" s="7"/>
      <c r="C464" s="7"/>
      <c r="D464" s="7"/>
      <c r="E464" s="7"/>
      <c r="F464" s="264"/>
      <c r="G464" s="7"/>
      <c r="H464" s="7"/>
      <c r="I464" s="7"/>
      <c r="J464" s="7"/>
      <c r="K464" s="7"/>
      <c r="L464" s="7"/>
      <c r="M464" s="7"/>
      <c r="N464" s="7"/>
      <c r="O464" s="7"/>
      <c r="P464" s="265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</row>
    <row r="465" ht="18.0" customHeight="1">
      <c r="A465" s="7"/>
      <c r="B465" s="7"/>
      <c r="C465" s="7"/>
      <c r="D465" s="7"/>
      <c r="E465" s="7"/>
      <c r="F465" s="264"/>
      <c r="G465" s="7"/>
      <c r="H465" s="7"/>
      <c r="I465" s="7"/>
      <c r="J465" s="7"/>
      <c r="K465" s="7"/>
      <c r="L465" s="7"/>
      <c r="M465" s="7"/>
      <c r="N465" s="7"/>
      <c r="O465" s="7"/>
      <c r="P465" s="265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</row>
    <row r="466" ht="18.0" customHeight="1">
      <c r="A466" s="7"/>
      <c r="B466" s="7"/>
      <c r="C466" s="7"/>
      <c r="D466" s="7"/>
      <c r="E466" s="7"/>
      <c r="F466" s="264"/>
      <c r="G466" s="7"/>
      <c r="H466" s="7"/>
      <c r="I466" s="7"/>
      <c r="J466" s="7"/>
      <c r="K466" s="7"/>
      <c r="L466" s="7"/>
      <c r="M466" s="7"/>
      <c r="N466" s="7"/>
      <c r="O466" s="7"/>
      <c r="P466" s="265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</row>
    <row r="467" ht="18.0" customHeight="1">
      <c r="A467" s="7"/>
      <c r="B467" s="7"/>
      <c r="C467" s="7"/>
      <c r="D467" s="7"/>
      <c r="E467" s="7"/>
      <c r="F467" s="264"/>
      <c r="G467" s="7"/>
      <c r="H467" s="7"/>
      <c r="I467" s="7"/>
      <c r="J467" s="7"/>
      <c r="K467" s="7"/>
      <c r="L467" s="7"/>
      <c r="M467" s="7"/>
      <c r="N467" s="7"/>
      <c r="O467" s="7"/>
      <c r="P467" s="265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</row>
    <row r="468" ht="18.0" customHeight="1">
      <c r="A468" s="7"/>
      <c r="B468" s="7"/>
      <c r="C468" s="7"/>
      <c r="D468" s="7"/>
      <c r="E468" s="7"/>
      <c r="F468" s="264"/>
      <c r="G468" s="7"/>
      <c r="H468" s="7"/>
      <c r="I468" s="7"/>
      <c r="J468" s="7"/>
      <c r="K468" s="7"/>
      <c r="L468" s="7"/>
      <c r="M468" s="7"/>
      <c r="N468" s="7"/>
      <c r="O468" s="7"/>
      <c r="P468" s="265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</row>
    <row r="469" ht="18.0" customHeight="1">
      <c r="A469" s="7"/>
      <c r="B469" s="7"/>
      <c r="C469" s="7"/>
      <c r="D469" s="7"/>
      <c r="E469" s="7"/>
      <c r="F469" s="264"/>
      <c r="G469" s="7"/>
      <c r="H469" s="7"/>
      <c r="I469" s="7"/>
      <c r="J469" s="7"/>
      <c r="K469" s="7"/>
      <c r="L469" s="7"/>
      <c r="M469" s="7"/>
      <c r="N469" s="7"/>
      <c r="O469" s="7"/>
      <c r="P469" s="265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</row>
    <row r="470" ht="18.0" customHeight="1">
      <c r="A470" s="7"/>
      <c r="B470" s="7"/>
      <c r="C470" s="7"/>
      <c r="D470" s="7"/>
      <c r="E470" s="7"/>
      <c r="F470" s="264"/>
      <c r="G470" s="7"/>
      <c r="H470" s="7"/>
      <c r="I470" s="7"/>
      <c r="J470" s="7"/>
      <c r="K470" s="7"/>
      <c r="L470" s="7"/>
      <c r="M470" s="7"/>
      <c r="N470" s="7"/>
      <c r="O470" s="7"/>
      <c r="P470" s="265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</row>
    <row r="471" ht="18.0" customHeight="1">
      <c r="A471" s="7"/>
      <c r="B471" s="7"/>
      <c r="C471" s="7"/>
      <c r="D471" s="7"/>
      <c r="E471" s="7"/>
      <c r="F471" s="264"/>
      <c r="G471" s="7"/>
      <c r="H471" s="7"/>
      <c r="I471" s="7"/>
      <c r="J471" s="7"/>
      <c r="K471" s="7"/>
      <c r="L471" s="7"/>
      <c r="M471" s="7"/>
      <c r="N471" s="7"/>
      <c r="O471" s="7"/>
      <c r="P471" s="265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</row>
    <row r="472" ht="18.0" customHeight="1">
      <c r="A472" s="7"/>
      <c r="B472" s="7"/>
      <c r="C472" s="7"/>
      <c r="D472" s="7"/>
      <c r="E472" s="7"/>
      <c r="F472" s="264"/>
      <c r="G472" s="7"/>
      <c r="H472" s="7"/>
      <c r="I472" s="7"/>
      <c r="J472" s="7"/>
      <c r="K472" s="7"/>
      <c r="L472" s="7"/>
      <c r="M472" s="7"/>
      <c r="N472" s="7"/>
      <c r="O472" s="7"/>
      <c r="P472" s="265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</row>
    <row r="473" ht="18.0" customHeight="1">
      <c r="A473" s="7"/>
      <c r="B473" s="7"/>
      <c r="C473" s="7"/>
      <c r="D473" s="7"/>
      <c r="E473" s="7"/>
      <c r="F473" s="264"/>
      <c r="G473" s="7"/>
      <c r="H473" s="7"/>
      <c r="I473" s="7"/>
      <c r="J473" s="7"/>
      <c r="K473" s="7"/>
      <c r="L473" s="7"/>
      <c r="M473" s="7"/>
      <c r="N473" s="7"/>
      <c r="O473" s="7"/>
      <c r="P473" s="265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</row>
    <row r="474" ht="18.0" customHeight="1">
      <c r="A474" s="7"/>
      <c r="B474" s="7"/>
      <c r="C474" s="7"/>
      <c r="D474" s="7"/>
      <c r="E474" s="7"/>
      <c r="F474" s="264"/>
      <c r="G474" s="7"/>
      <c r="H474" s="7"/>
      <c r="I474" s="7"/>
      <c r="J474" s="7"/>
      <c r="K474" s="7"/>
      <c r="L474" s="7"/>
      <c r="M474" s="7"/>
      <c r="N474" s="7"/>
      <c r="O474" s="7"/>
      <c r="P474" s="265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</row>
    <row r="475" ht="18.0" customHeight="1">
      <c r="A475" s="7"/>
      <c r="B475" s="7"/>
      <c r="C475" s="7"/>
      <c r="D475" s="7"/>
      <c r="E475" s="7"/>
      <c r="F475" s="264"/>
      <c r="G475" s="7"/>
      <c r="H475" s="7"/>
      <c r="I475" s="7"/>
      <c r="J475" s="7"/>
      <c r="K475" s="7"/>
      <c r="L475" s="7"/>
      <c r="M475" s="7"/>
      <c r="N475" s="7"/>
      <c r="O475" s="7"/>
      <c r="P475" s="265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</row>
    <row r="476" ht="18.0" customHeight="1">
      <c r="A476" s="7"/>
      <c r="B476" s="7"/>
      <c r="C476" s="7"/>
      <c r="D476" s="7"/>
      <c r="E476" s="7"/>
      <c r="F476" s="264"/>
      <c r="G476" s="7"/>
      <c r="H476" s="7"/>
      <c r="I476" s="7"/>
      <c r="J476" s="7"/>
      <c r="K476" s="7"/>
      <c r="L476" s="7"/>
      <c r="M476" s="7"/>
      <c r="N476" s="7"/>
      <c r="O476" s="7"/>
      <c r="P476" s="265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</row>
    <row r="477" ht="18.0" customHeight="1">
      <c r="A477" s="7"/>
      <c r="B477" s="7"/>
      <c r="C477" s="7"/>
      <c r="D477" s="7"/>
      <c r="E477" s="7"/>
      <c r="F477" s="264"/>
      <c r="G477" s="7"/>
      <c r="H477" s="7"/>
      <c r="I477" s="7"/>
      <c r="J477" s="7"/>
      <c r="K477" s="7"/>
      <c r="L477" s="7"/>
      <c r="M477" s="7"/>
      <c r="N477" s="7"/>
      <c r="O477" s="7"/>
      <c r="P477" s="265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</row>
    <row r="478" ht="18.0" customHeight="1">
      <c r="A478" s="7"/>
      <c r="B478" s="7"/>
      <c r="C478" s="7"/>
      <c r="D478" s="7"/>
      <c r="E478" s="7"/>
      <c r="F478" s="264"/>
      <c r="G478" s="7"/>
      <c r="H478" s="7"/>
      <c r="I478" s="7"/>
      <c r="J478" s="7"/>
      <c r="K478" s="7"/>
      <c r="L478" s="7"/>
      <c r="M478" s="7"/>
      <c r="N478" s="7"/>
      <c r="O478" s="7"/>
      <c r="P478" s="265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</row>
    <row r="479" ht="18.0" customHeight="1">
      <c r="A479" s="7"/>
      <c r="B479" s="7"/>
      <c r="C479" s="7"/>
      <c r="D479" s="7"/>
      <c r="E479" s="7"/>
      <c r="F479" s="264"/>
      <c r="G479" s="7"/>
      <c r="H479" s="7"/>
      <c r="I479" s="7"/>
      <c r="J479" s="7"/>
      <c r="K479" s="7"/>
      <c r="L479" s="7"/>
      <c r="M479" s="7"/>
      <c r="N479" s="7"/>
      <c r="O479" s="7"/>
      <c r="P479" s="265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</row>
    <row r="480" ht="18.0" customHeight="1">
      <c r="A480" s="7"/>
      <c r="B480" s="7"/>
      <c r="C480" s="7"/>
      <c r="D480" s="7"/>
      <c r="E480" s="7"/>
      <c r="F480" s="264"/>
      <c r="G480" s="7"/>
      <c r="H480" s="7"/>
      <c r="I480" s="7"/>
      <c r="J480" s="7"/>
      <c r="K480" s="7"/>
      <c r="L480" s="7"/>
      <c r="M480" s="7"/>
      <c r="N480" s="7"/>
      <c r="O480" s="7"/>
      <c r="P480" s="265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</row>
    <row r="481" ht="18.0" customHeight="1">
      <c r="A481" s="7"/>
      <c r="B481" s="7"/>
      <c r="C481" s="7"/>
      <c r="D481" s="7"/>
      <c r="E481" s="7"/>
      <c r="F481" s="264"/>
      <c r="G481" s="7"/>
      <c r="H481" s="7"/>
      <c r="I481" s="7"/>
      <c r="J481" s="7"/>
      <c r="K481" s="7"/>
      <c r="L481" s="7"/>
      <c r="M481" s="7"/>
      <c r="N481" s="7"/>
      <c r="O481" s="7"/>
      <c r="P481" s="265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</row>
    <row r="482" ht="18.0" customHeight="1">
      <c r="A482" s="7"/>
      <c r="B482" s="7"/>
      <c r="C482" s="7"/>
      <c r="D482" s="7"/>
      <c r="E482" s="7"/>
      <c r="F482" s="264"/>
      <c r="G482" s="7"/>
      <c r="H482" s="7"/>
      <c r="I482" s="7"/>
      <c r="J482" s="7"/>
      <c r="K482" s="7"/>
      <c r="L482" s="7"/>
      <c r="M482" s="7"/>
      <c r="N482" s="7"/>
      <c r="O482" s="7"/>
      <c r="P482" s="265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</row>
    <row r="483" ht="18.0" customHeight="1">
      <c r="A483" s="7"/>
      <c r="B483" s="7"/>
      <c r="C483" s="7"/>
      <c r="D483" s="7"/>
      <c r="E483" s="7"/>
      <c r="F483" s="264"/>
      <c r="G483" s="7"/>
      <c r="H483" s="7"/>
      <c r="I483" s="7"/>
      <c r="J483" s="7"/>
      <c r="K483" s="7"/>
      <c r="L483" s="7"/>
      <c r="M483" s="7"/>
      <c r="N483" s="7"/>
      <c r="O483" s="7"/>
      <c r="P483" s="265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</row>
    <row r="484" ht="18.0" customHeight="1">
      <c r="A484" s="7"/>
      <c r="B484" s="7"/>
      <c r="C484" s="7"/>
      <c r="D484" s="7"/>
      <c r="E484" s="7"/>
      <c r="F484" s="264"/>
      <c r="G484" s="7"/>
      <c r="H484" s="7"/>
      <c r="I484" s="7"/>
      <c r="J484" s="7"/>
      <c r="K484" s="7"/>
      <c r="L484" s="7"/>
      <c r="M484" s="7"/>
      <c r="N484" s="7"/>
      <c r="O484" s="7"/>
      <c r="P484" s="265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</row>
    <row r="485" ht="18.0" customHeight="1">
      <c r="A485" s="7"/>
      <c r="B485" s="7"/>
      <c r="C485" s="7"/>
      <c r="D485" s="7"/>
      <c r="E485" s="7"/>
      <c r="F485" s="264"/>
      <c r="G485" s="7"/>
      <c r="H485" s="7"/>
      <c r="I485" s="7"/>
      <c r="J485" s="7"/>
      <c r="K485" s="7"/>
      <c r="L485" s="7"/>
      <c r="M485" s="7"/>
      <c r="N485" s="7"/>
      <c r="O485" s="7"/>
      <c r="P485" s="265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</row>
    <row r="486" ht="18.0" customHeight="1">
      <c r="A486" s="7"/>
      <c r="B486" s="7"/>
      <c r="C486" s="7"/>
      <c r="D486" s="7"/>
      <c r="E486" s="7"/>
      <c r="F486" s="264"/>
      <c r="G486" s="7"/>
      <c r="H486" s="7"/>
      <c r="I486" s="7"/>
      <c r="J486" s="7"/>
      <c r="K486" s="7"/>
      <c r="L486" s="7"/>
      <c r="M486" s="7"/>
      <c r="N486" s="7"/>
      <c r="O486" s="7"/>
      <c r="P486" s="265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</row>
    <row r="487" ht="18.0" customHeight="1">
      <c r="A487" s="7"/>
      <c r="B487" s="7"/>
      <c r="C487" s="7"/>
      <c r="D487" s="7"/>
      <c r="E487" s="7"/>
      <c r="F487" s="264"/>
      <c r="G487" s="7"/>
      <c r="H487" s="7"/>
      <c r="I487" s="7"/>
      <c r="J487" s="7"/>
      <c r="K487" s="7"/>
      <c r="L487" s="7"/>
      <c r="M487" s="7"/>
      <c r="N487" s="7"/>
      <c r="O487" s="7"/>
      <c r="P487" s="265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</row>
    <row r="488" ht="18.0" customHeight="1">
      <c r="A488" s="7"/>
      <c r="B488" s="7"/>
      <c r="C488" s="7"/>
      <c r="D488" s="7"/>
      <c r="E488" s="7"/>
      <c r="F488" s="264"/>
      <c r="G488" s="7"/>
      <c r="H488" s="7"/>
      <c r="I488" s="7"/>
      <c r="J488" s="7"/>
      <c r="K488" s="7"/>
      <c r="L488" s="7"/>
      <c r="M488" s="7"/>
      <c r="N488" s="7"/>
      <c r="O488" s="7"/>
      <c r="P488" s="265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</row>
    <row r="489" ht="18.0" customHeight="1">
      <c r="A489" s="7"/>
      <c r="B489" s="7"/>
      <c r="C489" s="7"/>
      <c r="D489" s="7"/>
      <c r="E489" s="7"/>
      <c r="F489" s="264"/>
      <c r="G489" s="7"/>
      <c r="H489" s="7"/>
      <c r="I489" s="7"/>
      <c r="J489" s="7"/>
      <c r="K489" s="7"/>
      <c r="L489" s="7"/>
      <c r="M489" s="7"/>
      <c r="N489" s="7"/>
      <c r="O489" s="7"/>
      <c r="P489" s="265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</row>
    <row r="490" ht="18.0" customHeight="1">
      <c r="A490" s="7"/>
      <c r="B490" s="7"/>
      <c r="C490" s="7"/>
      <c r="D490" s="7"/>
      <c r="E490" s="7"/>
      <c r="F490" s="264"/>
      <c r="G490" s="7"/>
      <c r="H490" s="7"/>
      <c r="I490" s="7"/>
      <c r="J490" s="7"/>
      <c r="K490" s="7"/>
      <c r="L490" s="7"/>
      <c r="M490" s="7"/>
      <c r="N490" s="7"/>
      <c r="O490" s="7"/>
      <c r="P490" s="265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</row>
    <row r="491" ht="18.0" customHeight="1">
      <c r="A491" s="7"/>
      <c r="B491" s="7"/>
      <c r="C491" s="7"/>
      <c r="D491" s="7"/>
      <c r="E491" s="7"/>
      <c r="F491" s="264"/>
      <c r="G491" s="7"/>
      <c r="H491" s="7"/>
      <c r="I491" s="7"/>
      <c r="J491" s="7"/>
      <c r="K491" s="7"/>
      <c r="L491" s="7"/>
      <c r="M491" s="7"/>
      <c r="N491" s="7"/>
      <c r="O491" s="7"/>
      <c r="P491" s="265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</row>
    <row r="492" ht="18.0" customHeight="1">
      <c r="A492" s="7"/>
      <c r="B492" s="7"/>
      <c r="C492" s="7"/>
      <c r="D492" s="7"/>
      <c r="E492" s="7"/>
      <c r="F492" s="264"/>
      <c r="G492" s="7"/>
      <c r="H492" s="7"/>
      <c r="I492" s="7"/>
      <c r="J492" s="7"/>
      <c r="K492" s="7"/>
      <c r="L492" s="7"/>
      <c r="M492" s="7"/>
      <c r="N492" s="7"/>
      <c r="O492" s="7"/>
      <c r="P492" s="265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</row>
    <row r="493" ht="18.0" customHeight="1">
      <c r="A493" s="7"/>
      <c r="B493" s="7"/>
      <c r="C493" s="7"/>
      <c r="D493" s="7"/>
      <c r="E493" s="7"/>
      <c r="F493" s="264"/>
      <c r="G493" s="7"/>
      <c r="H493" s="7"/>
      <c r="I493" s="7"/>
      <c r="J493" s="7"/>
      <c r="K493" s="7"/>
      <c r="L493" s="7"/>
      <c r="M493" s="7"/>
      <c r="N493" s="7"/>
      <c r="O493" s="7"/>
      <c r="P493" s="265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</row>
    <row r="494" ht="18.0" customHeight="1">
      <c r="A494" s="7"/>
      <c r="B494" s="7"/>
      <c r="C494" s="7"/>
      <c r="D494" s="7"/>
      <c r="E494" s="7"/>
      <c r="F494" s="264"/>
      <c r="G494" s="7"/>
      <c r="H494" s="7"/>
      <c r="I494" s="7"/>
      <c r="J494" s="7"/>
      <c r="K494" s="7"/>
      <c r="L494" s="7"/>
      <c r="M494" s="7"/>
      <c r="N494" s="7"/>
      <c r="O494" s="7"/>
      <c r="P494" s="265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</row>
    <row r="495" ht="18.0" customHeight="1">
      <c r="A495" s="7"/>
      <c r="B495" s="7"/>
      <c r="C495" s="7"/>
      <c r="D495" s="7"/>
      <c r="E495" s="7"/>
      <c r="F495" s="264"/>
      <c r="G495" s="7"/>
      <c r="H495" s="7"/>
      <c r="I495" s="7"/>
      <c r="J495" s="7"/>
      <c r="K495" s="7"/>
      <c r="L495" s="7"/>
      <c r="M495" s="7"/>
      <c r="N495" s="7"/>
      <c r="O495" s="7"/>
      <c r="P495" s="265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</row>
    <row r="496" ht="18.0" customHeight="1">
      <c r="A496" s="7"/>
      <c r="B496" s="7"/>
      <c r="C496" s="7"/>
      <c r="D496" s="7"/>
      <c r="E496" s="7"/>
      <c r="F496" s="264"/>
      <c r="G496" s="7"/>
      <c r="H496" s="7"/>
      <c r="I496" s="7"/>
      <c r="J496" s="7"/>
      <c r="K496" s="7"/>
      <c r="L496" s="7"/>
      <c r="M496" s="7"/>
      <c r="N496" s="7"/>
      <c r="O496" s="7"/>
      <c r="P496" s="265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</row>
    <row r="497" ht="18.0" customHeight="1">
      <c r="A497" s="7"/>
      <c r="B497" s="7"/>
      <c r="C497" s="7"/>
      <c r="D497" s="7"/>
      <c r="E497" s="7"/>
      <c r="F497" s="264"/>
      <c r="G497" s="7"/>
      <c r="H497" s="7"/>
      <c r="I497" s="7"/>
      <c r="J497" s="7"/>
      <c r="K497" s="7"/>
      <c r="L497" s="7"/>
      <c r="M497" s="7"/>
      <c r="N497" s="7"/>
      <c r="O497" s="7"/>
      <c r="P497" s="265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</row>
    <row r="498" ht="18.0" customHeight="1">
      <c r="A498" s="7"/>
      <c r="B498" s="7"/>
      <c r="C498" s="7"/>
      <c r="D498" s="7"/>
      <c r="E498" s="7"/>
      <c r="F498" s="264"/>
      <c r="G498" s="7"/>
      <c r="H498" s="7"/>
      <c r="I498" s="7"/>
      <c r="J498" s="7"/>
      <c r="K498" s="7"/>
      <c r="L498" s="7"/>
      <c r="M498" s="7"/>
      <c r="N498" s="7"/>
      <c r="O498" s="7"/>
      <c r="P498" s="265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</row>
    <row r="499" ht="18.0" customHeight="1">
      <c r="A499" s="7"/>
      <c r="B499" s="7"/>
      <c r="C499" s="7"/>
      <c r="D499" s="7"/>
      <c r="E499" s="7"/>
      <c r="F499" s="264"/>
      <c r="G499" s="7"/>
      <c r="H499" s="7"/>
      <c r="I499" s="7"/>
      <c r="J499" s="7"/>
      <c r="K499" s="7"/>
      <c r="L499" s="7"/>
      <c r="M499" s="7"/>
      <c r="N499" s="7"/>
      <c r="O499" s="7"/>
      <c r="P499" s="265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</row>
    <row r="500" ht="18.0" customHeight="1">
      <c r="A500" s="7"/>
      <c r="B500" s="7"/>
      <c r="C500" s="7"/>
      <c r="D500" s="7"/>
      <c r="E500" s="7"/>
      <c r="F500" s="264"/>
      <c r="G500" s="7"/>
      <c r="H500" s="7"/>
      <c r="I500" s="7"/>
      <c r="J500" s="7"/>
      <c r="K500" s="7"/>
      <c r="L500" s="7"/>
      <c r="M500" s="7"/>
      <c r="N500" s="7"/>
      <c r="O500" s="7"/>
      <c r="P500" s="265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</row>
    <row r="501" ht="18.0" customHeight="1">
      <c r="A501" s="7"/>
      <c r="B501" s="7"/>
      <c r="C501" s="7"/>
      <c r="D501" s="7"/>
      <c r="E501" s="7"/>
      <c r="F501" s="264"/>
      <c r="G501" s="7"/>
      <c r="H501" s="7"/>
      <c r="I501" s="7"/>
      <c r="J501" s="7"/>
      <c r="K501" s="7"/>
      <c r="L501" s="7"/>
      <c r="M501" s="7"/>
      <c r="N501" s="7"/>
      <c r="O501" s="7"/>
      <c r="P501" s="265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</row>
    <row r="502" ht="18.0" customHeight="1">
      <c r="A502" s="7"/>
      <c r="B502" s="7"/>
      <c r="C502" s="7"/>
      <c r="D502" s="7"/>
      <c r="E502" s="7"/>
      <c r="F502" s="264"/>
      <c r="G502" s="7"/>
      <c r="H502" s="7"/>
      <c r="I502" s="7"/>
      <c r="J502" s="7"/>
      <c r="K502" s="7"/>
      <c r="L502" s="7"/>
      <c r="M502" s="7"/>
      <c r="N502" s="7"/>
      <c r="O502" s="7"/>
      <c r="P502" s="265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</row>
    <row r="503" ht="18.0" customHeight="1">
      <c r="A503" s="7"/>
      <c r="B503" s="7"/>
      <c r="C503" s="7"/>
      <c r="D503" s="7"/>
      <c r="E503" s="7"/>
      <c r="F503" s="264"/>
      <c r="G503" s="7"/>
      <c r="H503" s="7"/>
      <c r="I503" s="7"/>
      <c r="J503" s="7"/>
      <c r="K503" s="7"/>
      <c r="L503" s="7"/>
      <c r="M503" s="7"/>
      <c r="N503" s="7"/>
      <c r="O503" s="7"/>
      <c r="P503" s="265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</row>
    <row r="504" ht="18.0" customHeight="1">
      <c r="A504" s="7"/>
      <c r="B504" s="7"/>
      <c r="C504" s="7"/>
      <c r="D504" s="7"/>
      <c r="E504" s="7"/>
      <c r="F504" s="264"/>
      <c r="G504" s="7"/>
      <c r="H504" s="7"/>
      <c r="I504" s="7"/>
      <c r="J504" s="7"/>
      <c r="K504" s="7"/>
      <c r="L504" s="7"/>
      <c r="M504" s="7"/>
      <c r="N504" s="7"/>
      <c r="O504" s="7"/>
      <c r="P504" s="265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</row>
    <row r="505" ht="18.0" customHeight="1">
      <c r="A505" s="7"/>
      <c r="B505" s="7"/>
      <c r="C505" s="7"/>
      <c r="D505" s="7"/>
      <c r="E505" s="7"/>
      <c r="F505" s="264"/>
      <c r="G505" s="7"/>
      <c r="H505" s="7"/>
      <c r="I505" s="7"/>
      <c r="J505" s="7"/>
      <c r="K505" s="7"/>
      <c r="L505" s="7"/>
      <c r="M505" s="7"/>
      <c r="N505" s="7"/>
      <c r="O505" s="7"/>
      <c r="P505" s="265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</row>
    <row r="506" ht="18.0" customHeight="1">
      <c r="A506" s="7"/>
      <c r="B506" s="7"/>
      <c r="C506" s="7"/>
      <c r="D506" s="7"/>
      <c r="E506" s="7"/>
      <c r="F506" s="264"/>
      <c r="G506" s="7"/>
      <c r="H506" s="7"/>
      <c r="I506" s="7"/>
      <c r="J506" s="7"/>
      <c r="K506" s="7"/>
      <c r="L506" s="7"/>
      <c r="M506" s="7"/>
      <c r="N506" s="7"/>
      <c r="O506" s="7"/>
      <c r="P506" s="265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</row>
    <row r="507" ht="18.0" customHeight="1">
      <c r="A507" s="7"/>
      <c r="B507" s="7"/>
      <c r="C507" s="7"/>
      <c r="D507" s="7"/>
      <c r="E507" s="7"/>
      <c r="F507" s="264"/>
      <c r="G507" s="7"/>
      <c r="H507" s="7"/>
      <c r="I507" s="7"/>
      <c r="J507" s="7"/>
      <c r="K507" s="7"/>
      <c r="L507" s="7"/>
      <c r="M507" s="7"/>
      <c r="N507" s="7"/>
      <c r="O507" s="7"/>
      <c r="P507" s="265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</row>
    <row r="508" ht="18.0" customHeight="1">
      <c r="A508" s="7"/>
      <c r="B508" s="7"/>
      <c r="C508" s="7"/>
      <c r="D508" s="7"/>
      <c r="E508" s="7"/>
      <c r="F508" s="264"/>
      <c r="G508" s="7"/>
      <c r="H508" s="7"/>
      <c r="I508" s="7"/>
      <c r="J508" s="7"/>
      <c r="K508" s="7"/>
      <c r="L508" s="7"/>
      <c r="M508" s="7"/>
      <c r="N508" s="7"/>
      <c r="O508" s="7"/>
      <c r="P508" s="265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</row>
    <row r="509" ht="18.0" customHeight="1">
      <c r="A509" s="7"/>
      <c r="B509" s="7"/>
      <c r="C509" s="7"/>
      <c r="D509" s="7"/>
      <c r="E509" s="7"/>
      <c r="F509" s="264"/>
      <c r="G509" s="7"/>
      <c r="H509" s="7"/>
      <c r="I509" s="7"/>
      <c r="J509" s="7"/>
      <c r="K509" s="7"/>
      <c r="L509" s="7"/>
      <c r="M509" s="7"/>
      <c r="N509" s="7"/>
      <c r="O509" s="7"/>
      <c r="P509" s="265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</row>
    <row r="510" ht="18.0" customHeight="1">
      <c r="A510" s="7"/>
      <c r="B510" s="7"/>
      <c r="C510" s="7"/>
      <c r="D510" s="7"/>
      <c r="E510" s="7"/>
      <c r="F510" s="264"/>
      <c r="G510" s="7"/>
      <c r="H510" s="7"/>
      <c r="I510" s="7"/>
      <c r="J510" s="7"/>
      <c r="K510" s="7"/>
      <c r="L510" s="7"/>
      <c r="M510" s="7"/>
      <c r="N510" s="7"/>
      <c r="O510" s="7"/>
      <c r="P510" s="265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</row>
    <row r="511" ht="18.0" customHeight="1">
      <c r="A511" s="7"/>
      <c r="B511" s="7"/>
      <c r="C511" s="7"/>
      <c r="D511" s="7"/>
      <c r="E511" s="7"/>
      <c r="F511" s="264"/>
      <c r="G511" s="7"/>
      <c r="H511" s="7"/>
      <c r="I511" s="7"/>
      <c r="J511" s="7"/>
      <c r="K511" s="7"/>
      <c r="L511" s="7"/>
      <c r="M511" s="7"/>
      <c r="N511" s="7"/>
      <c r="O511" s="7"/>
      <c r="P511" s="265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</row>
    <row r="512" ht="18.0" customHeight="1">
      <c r="A512" s="7"/>
      <c r="B512" s="7"/>
      <c r="C512" s="7"/>
      <c r="D512" s="7"/>
      <c r="E512" s="7"/>
      <c r="F512" s="264"/>
      <c r="G512" s="7"/>
      <c r="H512" s="7"/>
      <c r="I512" s="7"/>
      <c r="J512" s="7"/>
      <c r="K512" s="7"/>
      <c r="L512" s="7"/>
      <c r="M512" s="7"/>
      <c r="N512" s="7"/>
      <c r="O512" s="7"/>
      <c r="P512" s="265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</row>
    <row r="513" ht="18.0" customHeight="1">
      <c r="A513" s="7"/>
      <c r="B513" s="7"/>
      <c r="C513" s="7"/>
      <c r="D513" s="7"/>
      <c r="E513" s="7"/>
      <c r="F513" s="264"/>
      <c r="G513" s="7"/>
      <c r="H513" s="7"/>
      <c r="I513" s="7"/>
      <c r="J513" s="7"/>
      <c r="K513" s="7"/>
      <c r="L513" s="7"/>
      <c r="M513" s="7"/>
      <c r="N513" s="7"/>
      <c r="O513" s="7"/>
      <c r="P513" s="265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</row>
    <row r="514" ht="18.0" customHeight="1">
      <c r="A514" s="7"/>
      <c r="B514" s="7"/>
      <c r="C514" s="7"/>
      <c r="D514" s="7"/>
      <c r="E514" s="7"/>
      <c r="F514" s="264"/>
      <c r="G514" s="7"/>
      <c r="H514" s="7"/>
      <c r="I514" s="7"/>
      <c r="J514" s="7"/>
      <c r="K514" s="7"/>
      <c r="L514" s="7"/>
      <c r="M514" s="7"/>
      <c r="N514" s="7"/>
      <c r="O514" s="7"/>
      <c r="P514" s="265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</row>
    <row r="515" ht="18.0" customHeight="1">
      <c r="A515" s="7"/>
      <c r="B515" s="7"/>
      <c r="C515" s="7"/>
      <c r="D515" s="7"/>
      <c r="E515" s="7"/>
      <c r="F515" s="264"/>
      <c r="G515" s="7"/>
      <c r="H515" s="7"/>
      <c r="I515" s="7"/>
      <c r="J515" s="7"/>
      <c r="K515" s="7"/>
      <c r="L515" s="7"/>
      <c r="M515" s="7"/>
      <c r="N515" s="7"/>
      <c r="O515" s="7"/>
      <c r="P515" s="265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</row>
    <row r="516" ht="18.0" customHeight="1">
      <c r="A516" s="7"/>
      <c r="B516" s="7"/>
      <c r="C516" s="7"/>
      <c r="D516" s="7"/>
      <c r="E516" s="7"/>
      <c r="F516" s="264"/>
      <c r="G516" s="7"/>
      <c r="H516" s="7"/>
      <c r="I516" s="7"/>
      <c r="J516" s="7"/>
      <c r="K516" s="7"/>
      <c r="L516" s="7"/>
      <c r="M516" s="7"/>
      <c r="N516" s="7"/>
      <c r="O516" s="7"/>
      <c r="P516" s="265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</row>
    <row r="517" ht="18.0" customHeight="1">
      <c r="A517" s="7"/>
      <c r="B517" s="7"/>
      <c r="C517" s="7"/>
      <c r="D517" s="7"/>
      <c r="E517" s="7"/>
      <c r="F517" s="264"/>
      <c r="G517" s="7"/>
      <c r="H517" s="7"/>
      <c r="I517" s="7"/>
      <c r="J517" s="7"/>
      <c r="K517" s="7"/>
      <c r="L517" s="7"/>
      <c r="M517" s="7"/>
      <c r="N517" s="7"/>
      <c r="O517" s="7"/>
      <c r="P517" s="265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</row>
    <row r="518" ht="18.0" customHeight="1">
      <c r="A518" s="7"/>
      <c r="B518" s="7"/>
      <c r="C518" s="7"/>
      <c r="D518" s="7"/>
      <c r="E518" s="7"/>
      <c r="F518" s="264"/>
      <c r="G518" s="7"/>
      <c r="H518" s="7"/>
      <c r="I518" s="7"/>
      <c r="J518" s="7"/>
      <c r="K518" s="7"/>
      <c r="L518" s="7"/>
      <c r="M518" s="7"/>
      <c r="N518" s="7"/>
      <c r="O518" s="7"/>
      <c r="P518" s="265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</row>
    <row r="519" ht="18.0" customHeight="1">
      <c r="A519" s="7"/>
      <c r="B519" s="7"/>
      <c r="C519" s="7"/>
      <c r="D519" s="7"/>
      <c r="E519" s="7"/>
      <c r="F519" s="264"/>
      <c r="G519" s="7"/>
      <c r="H519" s="7"/>
      <c r="I519" s="7"/>
      <c r="J519" s="7"/>
      <c r="K519" s="7"/>
      <c r="L519" s="7"/>
      <c r="M519" s="7"/>
      <c r="N519" s="7"/>
      <c r="O519" s="7"/>
      <c r="P519" s="265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</row>
    <row r="520" ht="18.0" customHeight="1">
      <c r="A520" s="7"/>
      <c r="B520" s="7"/>
      <c r="C520" s="7"/>
      <c r="D520" s="7"/>
      <c r="E520" s="7"/>
      <c r="F520" s="264"/>
      <c r="G520" s="7"/>
      <c r="H520" s="7"/>
      <c r="I520" s="7"/>
      <c r="J520" s="7"/>
      <c r="K520" s="7"/>
      <c r="L520" s="7"/>
      <c r="M520" s="7"/>
      <c r="N520" s="7"/>
      <c r="O520" s="7"/>
      <c r="P520" s="265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</row>
    <row r="521" ht="18.0" customHeight="1">
      <c r="A521" s="7"/>
      <c r="B521" s="7"/>
      <c r="C521" s="7"/>
      <c r="D521" s="7"/>
      <c r="E521" s="7"/>
      <c r="F521" s="264"/>
      <c r="G521" s="7"/>
      <c r="H521" s="7"/>
      <c r="I521" s="7"/>
      <c r="J521" s="7"/>
      <c r="K521" s="7"/>
      <c r="L521" s="7"/>
      <c r="M521" s="7"/>
      <c r="N521" s="7"/>
      <c r="O521" s="7"/>
      <c r="P521" s="265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</row>
    <row r="522" ht="18.0" customHeight="1">
      <c r="A522" s="7"/>
      <c r="B522" s="7"/>
      <c r="C522" s="7"/>
      <c r="D522" s="7"/>
      <c r="E522" s="7"/>
      <c r="F522" s="264"/>
      <c r="G522" s="7"/>
      <c r="H522" s="7"/>
      <c r="I522" s="7"/>
      <c r="J522" s="7"/>
      <c r="K522" s="7"/>
      <c r="L522" s="7"/>
      <c r="M522" s="7"/>
      <c r="N522" s="7"/>
      <c r="O522" s="7"/>
      <c r="P522" s="265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</row>
    <row r="523" ht="18.0" customHeight="1">
      <c r="A523" s="7"/>
      <c r="B523" s="7"/>
      <c r="C523" s="7"/>
      <c r="D523" s="7"/>
      <c r="E523" s="7"/>
      <c r="F523" s="264"/>
      <c r="G523" s="7"/>
      <c r="H523" s="7"/>
      <c r="I523" s="7"/>
      <c r="J523" s="7"/>
      <c r="K523" s="7"/>
      <c r="L523" s="7"/>
      <c r="M523" s="7"/>
      <c r="N523" s="7"/>
      <c r="O523" s="7"/>
      <c r="P523" s="265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</row>
    <row r="524" ht="18.0" customHeight="1">
      <c r="A524" s="7"/>
      <c r="B524" s="7"/>
      <c r="C524" s="7"/>
      <c r="D524" s="7"/>
      <c r="E524" s="7"/>
      <c r="F524" s="264"/>
      <c r="G524" s="7"/>
      <c r="H524" s="7"/>
      <c r="I524" s="7"/>
      <c r="J524" s="7"/>
      <c r="K524" s="7"/>
      <c r="L524" s="7"/>
      <c r="M524" s="7"/>
      <c r="N524" s="7"/>
      <c r="O524" s="7"/>
      <c r="P524" s="265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</row>
    <row r="525" ht="18.0" customHeight="1">
      <c r="A525" s="7"/>
      <c r="B525" s="7"/>
      <c r="C525" s="7"/>
      <c r="D525" s="7"/>
      <c r="E525" s="7"/>
      <c r="F525" s="264"/>
      <c r="G525" s="7"/>
      <c r="H525" s="7"/>
      <c r="I525" s="7"/>
      <c r="J525" s="7"/>
      <c r="K525" s="7"/>
      <c r="L525" s="7"/>
      <c r="M525" s="7"/>
      <c r="N525" s="7"/>
      <c r="O525" s="7"/>
      <c r="P525" s="265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</row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7:B7"/>
    <mergeCell ref="E7:F7"/>
    <mergeCell ref="C25:D25"/>
    <mergeCell ref="E26:F26"/>
    <mergeCell ref="C31:E31"/>
    <mergeCell ref="C256:E256"/>
    <mergeCell ref="C277:E277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24.29"/>
    <col customWidth="1" min="8" max="8" width="140.29"/>
    <col customWidth="1" min="9" max="9" width="19.86"/>
    <col customWidth="1" min="10" max="10" width="85.43"/>
    <col customWidth="1" min="11" max="30" width="19.86"/>
  </cols>
  <sheetData>
    <row r="1" ht="23.25" customHeight="1">
      <c r="A1" s="366" t="s">
        <v>53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7"/>
      <c r="AD1" s="367"/>
    </row>
    <row r="2" ht="23.25" customHeight="1">
      <c r="A2" s="367"/>
      <c r="B2" s="367"/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7"/>
      <c r="O2" s="367"/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</row>
    <row r="3" ht="23.25" customHeight="1">
      <c r="A3" s="366" t="s">
        <v>184</v>
      </c>
      <c r="B3" s="367"/>
      <c r="C3" s="367"/>
      <c r="D3" s="367"/>
      <c r="E3" s="367"/>
      <c r="F3" s="367"/>
      <c r="G3" s="367"/>
      <c r="H3" s="367"/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7"/>
      <c r="W3" s="367"/>
      <c r="X3" s="367"/>
      <c r="Y3" s="367"/>
      <c r="Z3" s="367"/>
      <c r="AA3" s="367"/>
      <c r="AB3" s="367"/>
      <c r="AC3" s="367"/>
      <c r="AD3" s="367"/>
    </row>
    <row r="4" ht="23.25" customHeight="1">
      <c r="A4" s="367"/>
      <c r="B4" s="367"/>
      <c r="C4" s="367"/>
      <c r="D4" s="367"/>
      <c r="E4" s="367"/>
      <c r="F4" s="367"/>
      <c r="G4" s="367"/>
      <c r="H4" s="368"/>
      <c r="I4" s="368"/>
      <c r="J4" s="368"/>
      <c r="K4" s="368"/>
      <c r="L4" s="368"/>
      <c r="M4" s="368"/>
      <c r="N4" s="367"/>
      <c r="O4" s="367"/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</row>
    <row r="5" ht="23.25" customHeight="1">
      <c r="A5" s="366" t="s">
        <v>185</v>
      </c>
      <c r="B5" s="369" t="s">
        <v>233</v>
      </c>
      <c r="C5" s="367"/>
      <c r="D5" s="367"/>
      <c r="E5" s="367"/>
      <c r="F5" s="367"/>
      <c r="G5" s="367"/>
      <c r="H5" s="367"/>
      <c r="I5" s="367"/>
      <c r="J5" s="367"/>
      <c r="K5" s="367"/>
      <c r="L5" s="367"/>
      <c r="M5" s="367"/>
      <c r="N5" s="367"/>
      <c r="O5" s="367"/>
      <c r="P5" s="367"/>
      <c r="Q5" s="367"/>
      <c r="R5" s="367"/>
      <c r="S5" s="367"/>
      <c r="T5" s="367"/>
      <c r="U5" s="367"/>
      <c r="V5" s="367"/>
      <c r="W5" s="367"/>
      <c r="X5" s="367"/>
      <c r="Y5" s="367"/>
      <c r="Z5" s="367"/>
      <c r="AA5" s="367"/>
      <c r="AB5" s="367"/>
      <c r="AC5" s="367"/>
      <c r="AD5" s="367"/>
    </row>
    <row r="6" ht="24.0" customHeight="1">
      <c r="A6" s="367"/>
      <c r="B6" s="367"/>
      <c r="C6" s="367"/>
      <c r="D6" s="367"/>
      <c r="E6" s="367"/>
      <c r="F6" s="367"/>
      <c r="G6" s="367"/>
      <c r="H6" s="367"/>
      <c r="I6" s="370">
        <v>0.009</v>
      </c>
      <c r="J6" s="367"/>
      <c r="K6" s="367"/>
      <c r="L6" s="367"/>
      <c r="M6" s="367"/>
      <c r="N6" s="367"/>
      <c r="O6" s="367"/>
      <c r="P6" s="367"/>
      <c r="Q6" s="367"/>
      <c r="R6" s="367"/>
      <c r="S6" s="367"/>
      <c r="T6" s="367"/>
      <c r="U6" s="367"/>
      <c r="V6" s="367"/>
      <c r="W6" s="367"/>
      <c r="X6" s="367"/>
      <c r="Y6" s="367"/>
      <c r="Z6" s="367"/>
      <c r="AA6" s="367"/>
      <c r="AB6" s="367"/>
      <c r="AC6" s="367"/>
      <c r="AD6" s="367"/>
    </row>
    <row r="7" ht="68.25" customHeight="1">
      <c r="A7" s="371" t="s">
        <v>187</v>
      </c>
      <c r="B7" s="372" t="s">
        <v>188</v>
      </c>
      <c r="C7" s="373" t="s">
        <v>189</v>
      </c>
      <c r="D7" s="373" t="s">
        <v>190</v>
      </c>
      <c r="E7" s="373" t="s">
        <v>191</v>
      </c>
      <c r="F7" s="373" t="s">
        <v>192</v>
      </c>
      <c r="G7" s="374" t="s">
        <v>193</v>
      </c>
      <c r="H7" s="375" t="s">
        <v>12</v>
      </c>
      <c r="I7" s="375" t="s">
        <v>234</v>
      </c>
      <c r="J7" s="376" t="s">
        <v>235</v>
      </c>
      <c r="K7" s="367"/>
      <c r="L7" s="367"/>
      <c r="M7" s="367"/>
      <c r="N7" s="367"/>
      <c r="O7" s="367"/>
      <c r="P7" s="367"/>
      <c r="Q7" s="367"/>
      <c r="R7" s="367"/>
      <c r="S7" s="367"/>
      <c r="T7" s="367"/>
      <c r="U7" s="367"/>
      <c r="V7" s="367"/>
      <c r="W7" s="367"/>
      <c r="X7" s="367"/>
      <c r="Y7" s="367"/>
      <c r="Z7" s="367"/>
      <c r="AA7" s="367"/>
      <c r="AB7" s="367"/>
      <c r="AC7" s="367"/>
      <c r="AD7" s="367"/>
    </row>
    <row r="8" ht="48.0" customHeight="1">
      <c r="A8" s="377" t="str">
        <f>+SUMMARY!#REF!</f>
        <v>#ERROR!</v>
      </c>
      <c r="B8" s="378" t="str">
        <f>+SUMMARY!#REF!</f>
        <v>#ERROR!</v>
      </c>
      <c r="C8" s="378" t="str">
        <f>+SUMMARY!#REF!</f>
        <v>#ERROR!</v>
      </c>
      <c r="D8" s="378" t="str">
        <f>+SUMMARY!#REF!</f>
        <v>#ERROR!</v>
      </c>
      <c r="E8" s="378" t="str">
        <f>+SUMMARY!#REF!</f>
        <v>#ERROR!</v>
      </c>
      <c r="F8" s="378" t="str">
        <f>+SUMMARY!#REF!</f>
        <v>#ERROR!</v>
      </c>
      <c r="G8" s="378" t="str">
        <f>+SUMMARY!#REF!</f>
        <v>#ERROR!</v>
      </c>
      <c r="H8" s="379" t="str">
        <f>+SUMMARY!#REF!</f>
        <v>#ERROR!</v>
      </c>
      <c r="I8" s="380" t="str">
        <f t="shared" ref="I8:I38" si="1">D8/B8</f>
        <v>#ERROR!</v>
      </c>
      <c r="J8" s="381"/>
      <c r="K8" s="367"/>
      <c r="L8" s="367"/>
      <c r="M8" s="367"/>
      <c r="N8" s="367"/>
      <c r="O8" s="367"/>
      <c r="P8" s="367"/>
      <c r="Q8" s="367"/>
      <c r="R8" s="367"/>
      <c r="S8" s="367"/>
      <c r="T8" s="367"/>
      <c r="U8" s="367"/>
      <c r="V8" s="367"/>
      <c r="W8" s="367"/>
      <c r="X8" s="367"/>
      <c r="Y8" s="367"/>
      <c r="Z8" s="367"/>
      <c r="AA8" s="367"/>
      <c r="AB8" s="367"/>
      <c r="AC8" s="367"/>
      <c r="AD8" s="367"/>
    </row>
    <row r="9" ht="33.0" customHeight="1">
      <c r="A9" s="377">
        <f>+SUMMARY!A7</f>
        <v>44531</v>
      </c>
      <c r="B9" s="378">
        <f>+SUMMARY!B7</f>
        <v>45405.016</v>
      </c>
      <c r="C9" s="378">
        <f>+SUMMARY!C7</f>
        <v>42128.06568</v>
      </c>
      <c r="D9" s="378">
        <f>+SUMMARY!D7</f>
        <v>0</v>
      </c>
      <c r="E9" s="378">
        <f>+SUMMARY!E7</f>
        <v>221.4</v>
      </c>
      <c r="F9" s="378">
        <f>+SUMMARY!F7</f>
        <v>1226.42583</v>
      </c>
      <c r="G9" s="378">
        <f>+SUMMARY!G7</f>
        <v>1829.124493</v>
      </c>
      <c r="H9" s="379" t="str">
        <f>+SUMMARY!H7</f>
        <v/>
      </c>
      <c r="I9" s="380">
        <f t="shared" si="1"/>
        <v>0</v>
      </c>
      <c r="J9" s="381"/>
      <c r="K9" s="367"/>
      <c r="L9" s="367"/>
      <c r="M9" s="367"/>
      <c r="N9" s="367"/>
      <c r="O9" s="367"/>
      <c r="P9" s="367"/>
      <c r="Q9" s="367"/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/>
      <c r="AD9" s="367"/>
    </row>
    <row r="10" ht="33.0" customHeight="1">
      <c r="A10" s="377">
        <f>+SUMMARY!A8</f>
        <v>44532</v>
      </c>
      <c r="B10" s="378">
        <f>+SUMMARY!B8</f>
        <v>31734.9539</v>
      </c>
      <c r="C10" s="378">
        <f>+SUMMARY!C8</f>
        <v>28333.96424</v>
      </c>
      <c r="D10" s="378">
        <f>+SUMMARY!D8</f>
        <v>494.321596</v>
      </c>
      <c r="E10" s="378">
        <f>+SUMMARY!E8</f>
        <v>187.2</v>
      </c>
      <c r="F10" s="378">
        <f>+SUMMARY!F8</f>
        <v>2123.367034</v>
      </c>
      <c r="G10" s="378">
        <f>+SUMMARY!G8</f>
        <v>596.1010266</v>
      </c>
      <c r="H10" s="379" t="str">
        <f>+SUMMARY!H8</f>
        <v>#REF!</v>
      </c>
      <c r="I10" s="380">
        <f t="shared" si="1"/>
        <v>0.01557656575</v>
      </c>
      <c r="J10" s="381"/>
      <c r="K10" s="367"/>
      <c r="L10" s="367"/>
      <c r="M10" s="367"/>
      <c r="N10" s="367"/>
      <c r="O10" s="367"/>
      <c r="P10" s="367"/>
      <c r="Q10" s="367"/>
      <c r="R10" s="367"/>
      <c r="S10" s="367"/>
      <c r="T10" s="367"/>
      <c r="U10" s="367"/>
      <c r="V10" s="367"/>
      <c r="W10" s="367"/>
      <c r="X10" s="367"/>
      <c r="Y10" s="367"/>
      <c r="Z10" s="367"/>
      <c r="AA10" s="367"/>
      <c r="AB10" s="367"/>
      <c r="AC10" s="367"/>
      <c r="AD10" s="367"/>
    </row>
    <row r="11" ht="33.0" customHeight="1">
      <c r="A11" s="377">
        <f>+SUMMARY!A9</f>
        <v>44533</v>
      </c>
      <c r="B11" s="378">
        <f>+SUMMARY!B9</f>
        <v>54027.6746</v>
      </c>
      <c r="C11" s="378">
        <f>+SUMMARY!C9</f>
        <v>50468.73379</v>
      </c>
      <c r="D11" s="378">
        <f>+SUMMARY!D9</f>
        <v>643.7208955</v>
      </c>
      <c r="E11" s="378">
        <f>+SUMMARY!E9</f>
        <v>250.2</v>
      </c>
      <c r="F11" s="378">
        <f>+SUMMARY!F9</f>
        <v>1541.777769</v>
      </c>
      <c r="G11" s="378">
        <f>+SUMMARY!G9</f>
        <v>1123.242142</v>
      </c>
      <c r="H11" s="379" t="str">
        <f>+SUMMARY!H9</f>
        <v/>
      </c>
      <c r="I11" s="380">
        <f t="shared" si="1"/>
        <v>0.01191465115</v>
      </c>
      <c r="J11" s="381"/>
      <c r="K11" s="367"/>
      <c r="L11" s="367"/>
      <c r="M11" s="367"/>
      <c r="N11" s="367"/>
      <c r="O11" s="367"/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</row>
    <row r="12" ht="33.0" customHeight="1">
      <c r="A12" s="377">
        <f>+SUMMARY!A10</f>
        <v>44534</v>
      </c>
      <c r="B12" s="378">
        <f>+SUMMARY!B10</f>
        <v>25882.4472</v>
      </c>
      <c r="C12" s="378">
        <f>+SUMMARY!C10</f>
        <v>21560.79494</v>
      </c>
      <c r="D12" s="378">
        <f>+SUMMARY!D10</f>
        <v>255.94023</v>
      </c>
      <c r="E12" s="378">
        <f>+SUMMARY!E10</f>
        <v>102</v>
      </c>
      <c r="F12" s="378">
        <f>+SUMMARY!F10</f>
        <v>1539.174144</v>
      </c>
      <c r="G12" s="378">
        <f>+SUMMARY!G10</f>
        <v>2424.537883</v>
      </c>
      <c r="H12" s="382" t="str">
        <f>+SUMMARY!H10</f>
        <v/>
      </c>
      <c r="I12" s="380">
        <f t="shared" si="1"/>
        <v>0.009888563783</v>
      </c>
      <c r="J12" s="381"/>
      <c r="K12" s="367"/>
      <c r="L12" s="367"/>
      <c r="M12" s="367"/>
      <c r="N12" s="367"/>
      <c r="O12" s="367"/>
      <c r="P12" s="367"/>
      <c r="Q12" s="367"/>
      <c r="R12" s="367"/>
      <c r="S12" s="367"/>
      <c r="T12" s="367"/>
      <c r="U12" s="367"/>
      <c r="V12" s="367"/>
      <c r="W12" s="367"/>
      <c r="X12" s="367"/>
      <c r="Y12" s="367"/>
      <c r="Z12" s="367"/>
      <c r="AA12" s="367"/>
      <c r="AB12" s="367"/>
      <c r="AC12" s="367"/>
      <c r="AD12" s="367"/>
    </row>
    <row r="13" ht="33.0" customHeight="1">
      <c r="A13" s="377">
        <f>+SUMMARY!A11</f>
        <v>44536</v>
      </c>
      <c r="B13" s="378">
        <f>+SUMMARY!B11</f>
        <v>19954.1884</v>
      </c>
      <c r="C13" s="378">
        <f>+SUMMARY!C11</f>
        <v>17304.30669</v>
      </c>
      <c r="D13" s="378">
        <f>+SUMMARY!D11</f>
        <v>552.30769</v>
      </c>
      <c r="E13" s="378">
        <f>+SUMMARY!E11</f>
        <v>220.2</v>
      </c>
      <c r="F13" s="378">
        <f>+SUMMARY!F11</f>
        <v>1523.476529</v>
      </c>
      <c r="G13" s="378">
        <f>+SUMMARY!G11</f>
        <v>353.8974918</v>
      </c>
      <c r="H13" s="379" t="str">
        <f>+SUMMARY!H11</f>
        <v/>
      </c>
      <c r="I13" s="380">
        <f t="shared" si="1"/>
        <v>0.02767878497</v>
      </c>
      <c r="J13" s="381"/>
      <c r="K13" s="367"/>
      <c r="L13" s="367"/>
      <c r="M13" s="367"/>
      <c r="N13" s="367"/>
      <c r="O13" s="367"/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</row>
    <row r="14" ht="33.0" customHeight="1">
      <c r="A14" s="377">
        <f>+SUMMARY!A12</f>
        <v>44537</v>
      </c>
      <c r="B14" s="378">
        <f>+SUMMARY!B12</f>
        <v>45005.006</v>
      </c>
      <c r="C14" s="378">
        <f>+SUMMARY!C12</f>
        <v>42406.0933</v>
      </c>
      <c r="D14" s="378">
        <f>+SUMMARY!D12</f>
        <v>445.31238</v>
      </c>
      <c r="E14" s="378">
        <f>+SUMMARY!E12</f>
        <v>117.6</v>
      </c>
      <c r="F14" s="378">
        <f>+SUMMARY!F12</f>
        <v>875.728969</v>
      </c>
      <c r="G14" s="378">
        <f>+SUMMARY!G12</f>
        <v>1160.271352</v>
      </c>
      <c r="H14" s="379" t="str">
        <f>+SUMMARY!H12</f>
        <v/>
      </c>
      <c r="I14" s="380">
        <f t="shared" si="1"/>
        <v>0.009894729933</v>
      </c>
      <c r="J14" s="381"/>
      <c r="K14" s="367"/>
      <c r="L14" s="367"/>
      <c r="M14" s="367"/>
      <c r="N14" s="367"/>
      <c r="O14" s="367"/>
      <c r="P14" s="367"/>
      <c r="Q14" s="367"/>
      <c r="R14" s="367"/>
      <c r="S14" s="367"/>
      <c r="T14" s="367"/>
      <c r="U14" s="367"/>
      <c r="V14" s="367"/>
      <c r="W14" s="367"/>
      <c r="X14" s="367"/>
      <c r="Y14" s="367"/>
      <c r="Z14" s="367"/>
      <c r="AA14" s="367"/>
      <c r="AB14" s="367"/>
      <c r="AC14" s="367"/>
      <c r="AD14" s="367"/>
    </row>
    <row r="15" ht="33.0" customHeight="1">
      <c r="A15" s="377">
        <f>+SUMMARY!A13</f>
        <v>44538</v>
      </c>
      <c r="B15" s="378">
        <f>+SUMMARY!B13</f>
        <v>42780.2104</v>
      </c>
      <c r="C15" s="378">
        <f>+SUMMARY!C13</f>
        <v>40263.89664</v>
      </c>
      <c r="D15" s="378">
        <f>+SUMMARY!D13</f>
        <v>585.303957</v>
      </c>
      <c r="E15" s="378">
        <f>+SUMMARY!E13</f>
        <v>169.8</v>
      </c>
      <c r="F15" s="378">
        <f>+SUMMARY!F13</f>
        <v>937.5270121</v>
      </c>
      <c r="G15" s="378">
        <f>+SUMMARY!G13</f>
        <v>823.6827903</v>
      </c>
      <c r="H15" s="379" t="str">
        <f>+SUMMARY!H13</f>
        <v>#REF!</v>
      </c>
      <c r="I15" s="380">
        <f t="shared" si="1"/>
        <v>0.01368165214</v>
      </c>
      <c r="J15" s="381"/>
      <c r="K15" s="367"/>
      <c r="L15" s="367"/>
      <c r="M15" s="367"/>
      <c r="N15" s="367"/>
      <c r="O15" s="367"/>
      <c r="P15" s="367"/>
      <c r="Q15" s="367"/>
      <c r="R15" s="367"/>
      <c r="S15" s="367"/>
      <c r="T15" s="367"/>
      <c r="U15" s="367"/>
      <c r="V15" s="367"/>
      <c r="W15" s="367"/>
      <c r="X15" s="367"/>
      <c r="Y15" s="367"/>
      <c r="Z15" s="367"/>
      <c r="AA15" s="367"/>
      <c r="AB15" s="367"/>
      <c r="AC15" s="367"/>
      <c r="AD15" s="367"/>
    </row>
    <row r="16" ht="33.0" customHeight="1">
      <c r="A16" s="377">
        <f>+SUMMARY!A14</f>
        <v>44539</v>
      </c>
      <c r="B16" s="378">
        <f>+SUMMARY!B14</f>
        <v>19152.0555</v>
      </c>
      <c r="C16" s="378">
        <f>+SUMMARY!C14</f>
        <v>17516.80046</v>
      </c>
      <c r="D16" s="378">
        <f>+SUMMARY!D14</f>
        <v>488.837856</v>
      </c>
      <c r="E16" s="378">
        <f>+SUMMARY!E14</f>
        <v>145.2</v>
      </c>
      <c r="F16" s="378">
        <f>+SUMMARY!F14</f>
        <v>666.8355141</v>
      </c>
      <c r="G16" s="378">
        <f>+SUMMARY!G14</f>
        <v>334.3816746</v>
      </c>
      <c r="H16" s="379" t="str">
        <f>+SUMMARY!H14</f>
        <v/>
      </c>
      <c r="I16" s="380">
        <f t="shared" si="1"/>
        <v>0.02552404132</v>
      </c>
      <c r="J16" s="381"/>
      <c r="K16" s="367"/>
      <c r="L16" s="367"/>
      <c r="M16" s="367"/>
      <c r="N16" s="367"/>
      <c r="O16" s="367"/>
      <c r="P16" s="367"/>
      <c r="Q16" s="367"/>
      <c r="R16" s="367"/>
      <c r="S16" s="367"/>
      <c r="T16" s="367"/>
      <c r="U16" s="367"/>
      <c r="V16" s="367"/>
      <c r="W16" s="367"/>
      <c r="X16" s="367"/>
      <c r="Y16" s="367"/>
      <c r="Z16" s="367"/>
      <c r="AA16" s="367"/>
      <c r="AB16" s="367"/>
      <c r="AC16" s="367"/>
      <c r="AD16" s="367"/>
    </row>
    <row r="17" ht="33.0" customHeight="1">
      <c r="A17" s="377">
        <f>+SUMMARY!A15</f>
        <v>44540</v>
      </c>
      <c r="B17" s="378">
        <f>+SUMMARY!B15</f>
        <v>46525.2376</v>
      </c>
      <c r="C17" s="378">
        <f>+SUMMARY!C15</f>
        <v>42822.04164</v>
      </c>
      <c r="D17" s="378">
        <f>+SUMMARY!D15</f>
        <v>610.334472</v>
      </c>
      <c r="E17" s="378">
        <f>+SUMMARY!E15</f>
        <v>244.2</v>
      </c>
      <c r="F17" s="378">
        <f>+SUMMARY!F15</f>
        <v>1480.120358</v>
      </c>
      <c r="G17" s="378">
        <f>+SUMMARY!G15</f>
        <v>1368.541131</v>
      </c>
      <c r="H17" s="379" t="str">
        <f>+SUMMARY!H15</f>
        <v/>
      </c>
      <c r="I17" s="380">
        <f t="shared" si="1"/>
        <v>0.01311835261</v>
      </c>
      <c r="J17" s="381"/>
      <c r="K17" s="383"/>
      <c r="L17" s="383"/>
      <c r="M17" s="383"/>
      <c r="N17" s="383"/>
      <c r="O17" s="383"/>
      <c r="P17" s="383"/>
      <c r="Q17" s="383"/>
      <c r="R17" s="383"/>
      <c r="S17" s="383"/>
      <c r="T17" s="383"/>
      <c r="U17" s="383"/>
      <c r="V17" s="383"/>
      <c r="W17" s="383"/>
      <c r="X17" s="383"/>
      <c r="Y17" s="383"/>
      <c r="Z17" s="383"/>
      <c r="AA17" s="383"/>
      <c r="AB17" s="383"/>
      <c r="AC17" s="383"/>
      <c r="AD17" s="383"/>
    </row>
    <row r="18" ht="33.0" customHeight="1">
      <c r="A18" s="377">
        <f>+SUMMARY!A16</f>
        <v>44541</v>
      </c>
      <c r="B18" s="378">
        <f>+SUMMARY!B16</f>
        <v>11519.9157</v>
      </c>
      <c r="C18" s="378">
        <f>+SUMMARY!C16</f>
        <v>10249.88662</v>
      </c>
      <c r="D18" s="378">
        <f>+SUMMARY!D16</f>
        <v>199.6899765</v>
      </c>
      <c r="E18" s="378">
        <f>+SUMMARY!E16</f>
        <v>88.8</v>
      </c>
      <c r="F18" s="378">
        <f>+SUMMARY!F16</f>
        <v>893.1945127</v>
      </c>
      <c r="G18" s="378">
        <f>+SUMMARY!G16</f>
        <v>88.34458815</v>
      </c>
      <c r="H18" s="379" t="str">
        <f>+SUMMARY!H16</f>
        <v/>
      </c>
      <c r="I18" s="380">
        <f t="shared" si="1"/>
        <v>0.0173343262</v>
      </c>
      <c r="J18" s="381"/>
      <c r="K18" s="383"/>
      <c r="L18" s="383"/>
      <c r="M18" s="383"/>
      <c r="N18" s="383"/>
      <c r="O18" s="383"/>
      <c r="P18" s="383"/>
      <c r="Q18" s="383"/>
      <c r="R18" s="383"/>
      <c r="S18" s="383"/>
      <c r="T18" s="383"/>
      <c r="U18" s="383"/>
      <c r="V18" s="383"/>
      <c r="W18" s="383"/>
      <c r="X18" s="383"/>
      <c r="Y18" s="383"/>
      <c r="Z18" s="383"/>
      <c r="AA18" s="383"/>
      <c r="AB18" s="383"/>
      <c r="AC18" s="383"/>
      <c r="AD18" s="383"/>
    </row>
    <row r="19" ht="33.0" customHeight="1">
      <c r="A19" s="377">
        <f>+SUMMARY!A17</f>
        <v>44543</v>
      </c>
      <c r="B19" s="378">
        <f>+SUMMARY!B17</f>
        <v>36168.6977</v>
      </c>
      <c r="C19" s="378">
        <f>+SUMMARY!C17</f>
        <v>33701.01894</v>
      </c>
      <c r="D19" s="378">
        <f>+SUMMARY!D17</f>
        <v>1012.816924</v>
      </c>
      <c r="E19" s="378">
        <f>+SUMMARY!E17</f>
        <v>306.6</v>
      </c>
      <c r="F19" s="378">
        <f>+SUMMARY!F17</f>
        <v>1513.728918</v>
      </c>
      <c r="G19" s="378">
        <f>+SUMMARY!G17</f>
        <v>-365.467078</v>
      </c>
      <c r="H19" s="379" t="str">
        <f>+SUMMARY!H17</f>
        <v/>
      </c>
      <c r="I19" s="380">
        <f t="shared" si="1"/>
        <v>0.02800258202</v>
      </c>
      <c r="J19" s="381"/>
      <c r="K19" s="383"/>
      <c r="L19" s="383"/>
      <c r="M19" s="383"/>
      <c r="N19" s="383"/>
      <c r="O19" s="383"/>
      <c r="P19" s="383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/>
      <c r="AB19" s="383"/>
      <c r="AC19" s="383"/>
      <c r="AD19" s="383"/>
    </row>
    <row r="20" ht="33.0" customHeight="1">
      <c r="A20" s="377">
        <f>+SUMMARY!A18</f>
        <v>44544</v>
      </c>
      <c r="B20" s="378">
        <f>+SUMMARY!B18</f>
        <v>30281.139</v>
      </c>
      <c r="C20" s="378">
        <f>+SUMMARY!C18</f>
        <v>27514.84631</v>
      </c>
      <c r="D20" s="378">
        <f>+SUMMARY!D18</f>
        <v>206.6646195</v>
      </c>
      <c r="E20" s="378">
        <f>+SUMMARY!E18</f>
        <v>75</v>
      </c>
      <c r="F20" s="378">
        <f>+SUMMARY!F18</f>
        <v>1987.77499</v>
      </c>
      <c r="G20" s="378">
        <f>+SUMMARY!G18</f>
        <v>496.8530801</v>
      </c>
      <c r="H20" s="379" t="str">
        <f>+SUMMARY!H18</f>
        <v/>
      </c>
      <c r="I20" s="380">
        <f t="shared" si="1"/>
        <v>0.006824862813</v>
      </c>
      <c r="J20" s="381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3"/>
      <c r="W20" s="383"/>
      <c r="X20" s="383"/>
      <c r="Y20" s="383"/>
      <c r="Z20" s="383"/>
      <c r="AA20" s="383"/>
      <c r="AB20" s="383"/>
      <c r="AC20" s="383"/>
      <c r="AD20" s="383"/>
    </row>
    <row r="21" ht="33.0" customHeight="1">
      <c r="A21" s="377">
        <f>+SUMMARY!A19</f>
        <v>44545</v>
      </c>
      <c r="B21" s="378">
        <f>+SUMMARY!B19</f>
        <v>43880.2607</v>
      </c>
      <c r="C21" s="378">
        <f>+SUMMARY!C19</f>
        <v>40592.75102</v>
      </c>
      <c r="D21" s="378">
        <f>+SUMMARY!D19</f>
        <v>635.65626</v>
      </c>
      <c r="E21" s="378">
        <f>+SUMMARY!E19</f>
        <v>216.6</v>
      </c>
      <c r="F21" s="378">
        <f>+SUMMARY!F19</f>
        <v>1311.015018</v>
      </c>
      <c r="G21" s="378">
        <f>+SUMMARY!G19</f>
        <v>1124.238401</v>
      </c>
      <c r="H21" s="379" t="str">
        <f>+SUMMARY!H19</f>
        <v/>
      </c>
      <c r="I21" s="380">
        <f t="shared" si="1"/>
        <v>0.01448615505</v>
      </c>
      <c r="J21" s="381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3"/>
      <c r="W21" s="383"/>
      <c r="X21" s="383"/>
      <c r="Y21" s="383"/>
      <c r="Z21" s="383"/>
      <c r="AA21" s="383"/>
      <c r="AB21" s="383"/>
      <c r="AC21" s="383"/>
      <c r="AD21" s="383"/>
    </row>
    <row r="22" ht="33.0" customHeight="1">
      <c r="A22" s="377">
        <f>+SUMMARY!A20</f>
        <v>44547</v>
      </c>
      <c r="B22" s="378">
        <f>+SUMMARY!B20</f>
        <v>59740.1166</v>
      </c>
      <c r="C22" s="378">
        <f>+SUMMARY!C20</f>
        <v>55609.71205</v>
      </c>
      <c r="D22" s="378">
        <f>+SUMMARY!D20</f>
        <v>754.0013955</v>
      </c>
      <c r="E22" s="378">
        <f>+SUMMARY!E20</f>
        <v>277.8</v>
      </c>
      <c r="F22" s="378">
        <f>+SUMMARY!F20</f>
        <v>2190.8064</v>
      </c>
      <c r="G22" s="378">
        <f>+SUMMARY!G20</f>
        <v>907.7967536</v>
      </c>
      <c r="H22" s="379" t="str">
        <f>+SUMMARY!H20</f>
        <v/>
      </c>
      <c r="I22" s="380">
        <f t="shared" si="1"/>
        <v>0.01262135795</v>
      </c>
      <c r="J22" s="381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83"/>
      <c r="V22" s="383"/>
      <c r="W22" s="383"/>
      <c r="X22" s="383"/>
      <c r="Y22" s="383"/>
      <c r="Z22" s="383"/>
      <c r="AA22" s="383"/>
      <c r="AB22" s="383"/>
      <c r="AC22" s="383"/>
      <c r="AD22" s="383"/>
    </row>
    <row r="23" ht="33.0" customHeight="1">
      <c r="A23" s="377">
        <f>+SUMMARY!A21</f>
        <v>44548</v>
      </c>
      <c r="B23" s="378">
        <f>+SUMMARY!B21</f>
        <v>17552.8779</v>
      </c>
      <c r="C23" s="378">
        <f>+SUMMARY!C21</f>
        <v>16369.64108</v>
      </c>
      <c r="D23" s="378">
        <f>+SUMMARY!D21</f>
        <v>337.073944</v>
      </c>
      <c r="E23" s="378">
        <f>+SUMMARY!E21</f>
        <v>139.8</v>
      </c>
      <c r="F23" s="378">
        <f>+SUMMARY!F21</f>
        <v>398.1750552</v>
      </c>
      <c r="G23" s="378">
        <f>+SUMMARY!G21</f>
        <v>308.1878206</v>
      </c>
      <c r="H23" s="379" t="str">
        <f>+SUMMARY!H21</f>
        <v/>
      </c>
      <c r="I23" s="380">
        <f t="shared" si="1"/>
        <v>0.01920334352</v>
      </c>
      <c r="J23" s="381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83"/>
      <c r="V23" s="383"/>
      <c r="W23" s="383"/>
      <c r="X23" s="383"/>
      <c r="Y23" s="383"/>
      <c r="Z23" s="383"/>
      <c r="AA23" s="383"/>
      <c r="AB23" s="383"/>
      <c r="AC23" s="383"/>
      <c r="AD23" s="383"/>
    </row>
    <row r="24" ht="33.0" customHeight="1">
      <c r="A24" s="377">
        <f>+SUMMARY!A22</f>
        <v>44549</v>
      </c>
      <c r="B24" s="378">
        <f>+SUMMARY!B22</f>
        <v>6959.5194</v>
      </c>
      <c r="C24" s="378">
        <f>+SUMMARY!C22</f>
        <v>6117.789559</v>
      </c>
      <c r="D24" s="378">
        <f>+SUMMARY!D22</f>
        <v>154.331892</v>
      </c>
      <c r="E24" s="378">
        <f>+SUMMARY!E22</f>
        <v>48.6</v>
      </c>
      <c r="F24" s="378">
        <f>+SUMMARY!F22</f>
        <v>592.3052618</v>
      </c>
      <c r="G24" s="378">
        <f>+SUMMARY!G22</f>
        <v>46.49268762</v>
      </c>
      <c r="H24" s="379" t="str">
        <f>+SUMMARY!H22</f>
        <v/>
      </c>
      <c r="I24" s="380">
        <f t="shared" si="1"/>
        <v>0.02217565368</v>
      </c>
      <c r="J24" s="381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3"/>
      <c r="W24" s="383"/>
      <c r="X24" s="383"/>
      <c r="Y24" s="383"/>
      <c r="Z24" s="383"/>
      <c r="AA24" s="383"/>
      <c r="AB24" s="383"/>
      <c r="AC24" s="383"/>
      <c r="AD24" s="383"/>
    </row>
    <row r="25" ht="33.0" customHeight="1">
      <c r="A25" s="377">
        <f>+SUMMARY!A23</f>
        <v>44550</v>
      </c>
      <c r="B25" s="378">
        <f>+SUMMARY!B23</f>
        <v>42498.824</v>
      </c>
      <c r="C25" s="378">
        <f>+SUMMARY!C23</f>
        <v>38599.86759</v>
      </c>
      <c r="D25" s="378">
        <f>+SUMMARY!D23</f>
        <v>0</v>
      </c>
      <c r="E25" s="378">
        <f>+SUMMARY!E23</f>
        <v>192.6</v>
      </c>
      <c r="F25" s="378">
        <f>+SUMMARY!F23</f>
        <v>2211.350853</v>
      </c>
      <c r="G25" s="378">
        <f>+SUMMARY!G23</f>
        <v>1495.005558</v>
      </c>
      <c r="H25" s="379" t="str">
        <f>+SUMMARY!H23</f>
        <v/>
      </c>
      <c r="I25" s="380">
        <f t="shared" si="1"/>
        <v>0</v>
      </c>
      <c r="J25" s="381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3"/>
      <c r="Y25" s="383"/>
      <c r="Z25" s="383"/>
      <c r="AA25" s="383"/>
      <c r="AB25" s="383"/>
      <c r="AC25" s="383"/>
      <c r="AD25" s="383"/>
    </row>
    <row r="26" ht="33.0" customHeight="1">
      <c r="A26" s="377">
        <f>+SUMMARY!A24</f>
        <v>44551</v>
      </c>
      <c r="B26" s="378">
        <f>+SUMMARY!B24</f>
        <v>51812.5395</v>
      </c>
      <c r="C26" s="378">
        <f>+SUMMARY!C24</f>
        <v>47543.99022</v>
      </c>
      <c r="D26" s="378">
        <f>+SUMMARY!D24</f>
        <v>0</v>
      </c>
      <c r="E26" s="378">
        <f>+SUMMARY!E24</f>
        <v>157.2</v>
      </c>
      <c r="F26" s="378">
        <f>+SUMMARY!F24</f>
        <v>2383.992472</v>
      </c>
      <c r="G26" s="378">
        <f>+SUMMARY!G24</f>
        <v>1727.356804</v>
      </c>
      <c r="H26" s="379" t="str">
        <f>+SUMMARY!H24</f>
        <v/>
      </c>
      <c r="I26" s="380">
        <f t="shared" si="1"/>
        <v>0</v>
      </c>
      <c r="J26" s="381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/>
      <c r="AB26" s="383"/>
      <c r="AC26" s="383"/>
      <c r="AD26" s="383"/>
    </row>
    <row r="27" ht="33.0" customHeight="1">
      <c r="A27" s="377">
        <f>+SUMMARY!A25</f>
        <v>44552</v>
      </c>
      <c r="B27" s="378">
        <f>+SUMMARY!B25</f>
        <v>41459.244</v>
      </c>
      <c r="C27" s="378">
        <f>+SUMMARY!C25</f>
        <v>38670.27177</v>
      </c>
      <c r="D27" s="378">
        <f>+SUMMARY!D25</f>
        <v>0</v>
      </c>
      <c r="E27" s="378">
        <f>+SUMMARY!E25</f>
        <v>193.2</v>
      </c>
      <c r="F27" s="378">
        <f>+SUMMARY!F25</f>
        <v>934.4075244</v>
      </c>
      <c r="G27" s="378">
        <f>+SUMMARY!G25</f>
        <v>1661.364709</v>
      </c>
      <c r="H27" s="379" t="str">
        <f>+SUMMARY!H25</f>
        <v/>
      </c>
      <c r="I27" s="380">
        <f t="shared" si="1"/>
        <v>0</v>
      </c>
      <c r="J27" s="381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83"/>
      <c r="V27" s="383"/>
      <c r="W27" s="383"/>
      <c r="X27" s="383"/>
      <c r="Y27" s="383"/>
      <c r="Z27" s="383"/>
      <c r="AA27" s="383"/>
      <c r="AB27" s="383"/>
      <c r="AC27" s="383"/>
      <c r="AD27" s="383"/>
    </row>
    <row r="28" ht="33.0" customHeight="1">
      <c r="A28" s="377">
        <f>+SUMMARY!A26</f>
        <v>44553</v>
      </c>
      <c r="B28" s="378">
        <f>+SUMMARY!B26</f>
        <v>32416.9951</v>
      </c>
      <c r="C28" s="378">
        <f>+SUMMARY!C26</f>
        <v>30448.34276</v>
      </c>
      <c r="D28" s="378">
        <f>+SUMMARY!D26</f>
        <v>0</v>
      </c>
      <c r="E28" s="378">
        <f>+SUMMARY!E26</f>
        <v>191.4</v>
      </c>
      <c r="F28" s="378">
        <f>+SUMMARY!F26</f>
        <v>970.3027349</v>
      </c>
      <c r="G28" s="378">
        <f>+SUMMARY!G26</f>
        <v>806.9496061</v>
      </c>
      <c r="H28" s="379" t="str">
        <f>+SUMMARY!H26</f>
        <v/>
      </c>
      <c r="I28" s="380">
        <f t="shared" si="1"/>
        <v>0</v>
      </c>
      <c r="J28" s="381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83"/>
      <c r="V28" s="383"/>
      <c r="W28" s="383"/>
      <c r="X28" s="383"/>
      <c r="Y28" s="383"/>
      <c r="Z28" s="383"/>
      <c r="AA28" s="383"/>
      <c r="AB28" s="383"/>
      <c r="AC28" s="383"/>
      <c r="AD28" s="383"/>
    </row>
    <row r="29" ht="33.0" customHeight="1">
      <c r="A29" s="377">
        <f>+SUMMARY!A27</f>
        <v>44554</v>
      </c>
      <c r="B29" s="378">
        <f>+SUMMARY!B27</f>
        <v>47245.3448</v>
      </c>
      <c r="C29" s="378">
        <f>+SUMMARY!C27</f>
        <v>44537.77476</v>
      </c>
      <c r="D29" s="378">
        <f>+SUMMARY!D27</f>
        <v>0</v>
      </c>
      <c r="E29" s="378">
        <f>+SUMMARY!E27</f>
        <v>163.2</v>
      </c>
      <c r="F29" s="378">
        <f>+SUMMARY!F27</f>
        <v>903.1886236</v>
      </c>
      <c r="G29" s="378">
        <f>+SUMMARY!G27</f>
        <v>1641.181418</v>
      </c>
      <c r="H29" s="382" t="str">
        <f>+SUMMARY!H27</f>
        <v/>
      </c>
      <c r="I29" s="380">
        <f t="shared" si="1"/>
        <v>0</v>
      </c>
      <c r="J29" s="381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3"/>
      <c r="W29" s="383"/>
      <c r="X29" s="383"/>
      <c r="Y29" s="383"/>
      <c r="Z29" s="383"/>
      <c r="AA29" s="383"/>
      <c r="AB29" s="383"/>
      <c r="AC29" s="383"/>
      <c r="AD29" s="383"/>
    </row>
    <row r="30" ht="33.0" customHeight="1">
      <c r="A30" s="377">
        <f>+SUMMARY!A28</f>
        <v>44555</v>
      </c>
      <c r="B30" s="378">
        <f>+SUMMARY!B28</f>
        <v>40892.6312</v>
      </c>
      <c r="C30" s="378">
        <f>+SUMMARY!C28</f>
        <v>37974.33568</v>
      </c>
      <c r="D30" s="378">
        <f>+SUMMARY!D28</f>
        <v>0</v>
      </c>
      <c r="E30" s="378">
        <f>+SUMMARY!E28</f>
        <v>202.8</v>
      </c>
      <c r="F30" s="378">
        <f>+SUMMARY!F28</f>
        <v>1565.157998</v>
      </c>
      <c r="G30" s="378">
        <f>+SUMMARY!G28</f>
        <v>1150.337527</v>
      </c>
      <c r="H30" s="379" t="str">
        <f>+SUMMARY!H28</f>
        <v/>
      </c>
      <c r="I30" s="380">
        <f t="shared" si="1"/>
        <v>0</v>
      </c>
      <c r="J30" s="381"/>
      <c r="K30" s="383"/>
      <c r="L30" s="383"/>
      <c r="M30" s="383"/>
      <c r="N30" s="383"/>
      <c r="O30" s="383"/>
      <c r="P30" s="383"/>
      <c r="Q30" s="383"/>
      <c r="R30" s="383"/>
      <c r="S30" s="383"/>
      <c r="T30" s="383"/>
      <c r="U30" s="383"/>
      <c r="V30" s="383"/>
      <c r="W30" s="383"/>
      <c r="X30" s="383"/>
      <c r="Y30" s="383"/>
      <c r="Z30" s="383"/>
      <c r="AA30" s="383"/>
      <c r="AB30" s="383"/>
      <c r="AC30" s="383"/>
      <c r="AD30" s="383"/>
    </row>
    <row r="31" ht="33.0" customHeight="1">
      <c r="A31" s="377">
        <f>+SUMMARY!A29</f>
        <v>44557</v>
      </c>
      <c r="B31" s="378">
        <f>+SUMMARY!B29</f>
        <v>54168.1505</v>
      </c>
      <c r="C31" s="378">
        <f>+SUMMARY!C29</f>
        <v>49238.03389</v>
      </c>
      <c r="D31" s="378">
        <f>+SUMMARY!D29</f>
        <v>0</v>
      </c>
      <c r="E31" s="378">
        <f>+SUMMARY!E29</f>
        <v>242.4</v>
      </c>
      <c r="F31" s="378">
        <f>+SUMMARY!F29</f>
        <v>2068.939212</v>
      </c>
      <c r="G31" s="378">
        <f>+SUMMARY!G29</f>
        <v>2618.777397</v>
      </c>
      <c r="H31" s="379" t="str">
        <f>+SUMMARY!H29</f>
        <v/>
      </c>
      <c r="I31" s="380">
        <f t="shared" si="1"/>
        <v>0</v>
      </c>
      <c r="J31" s="381"/>
      <c r="K31" s="383"/>
      <c r="L31" s="383"/>
      <c r="M31" s="383"/>
      <c r="N31" s="383"/>
      <c r="O31" s="383"/>
      <c r="P31" s="383"/>
      <c r="Q31" s="383"/>
      <c r="R31" s="383"/>
      <c r="S31" s="383"/>
      <c r="T31" s="383"/>
      <c r="U31" s="383"/>
      <c r="V31" s="383"/>
      <c r="W31" s="383"/>
      <c r="X31" s="383"/>
      <c r="Y31" s="383"/>
      <c r="Z31" s="383"/>
      <c r="AA31" s="383"/>
      <c r="AB31" s="383"/>
      <c r="AC31" s="383"/>
      <c r="AD31" s="383"/>
    </row>
    <row r="32" ht="33.0" customHeight="1">
      <c r="A32" s="377">
        <f>+SUMMARY!A30</f>
        <v>44558</v>
      </c>
      <c r="B32" s="378">
        <f>+SUMMARY!B30</f>
        <v>43533.2527</v>
      </c>
      <c r="C32" s="378">
        <f>+SUMMARY!C30</f>
        <v>40565.30544</v>
      </c>
      <c r="D32" s="378">
        <f>+SUMMARY!D30</f>
        <v>0</v>
      </c>
      <c r="E32" s="378">
        <f>+SUMMARY!E30</f>
        <v>244.8</v>
      </c>
      <c r="F32" s="378">
        <f>+SUMMARY!F30</f>
        <v>1442.964291</v>
      </c>
      <c r="G32" s="378">
        <f>+SUMMARY!G30</f>
        <v>1280.182973</v>
      </c>
      <c r="H32" s="382" t="str">
        <f>+SUMMARY!H30</f>
        <v/>
      </c>
      <c r="I32" s="380">
        <f t="shared" si="1"/>
        <v>0</v>
      </c>
      <c r="J32" s="381"/>
      <c r="K32" s="383"/>
      <c r="L32" s="383"/>
      <c r="M32" s="383"/>
      <c r="N32" s="383"/>
      <c r="O32" s="383"/>
      <c r="P32" s="383"/>
      <c r="Q32" s="383"/>
      <c r="R32" s="383"/>
      <c r="S32" s="383"/>
      <c r="T32" s="383"/>
      <c r="U32" s="383"/>
      <c r="V32" s="383"/>
      <c r="W32" s="383"/>
      <c r="X32" s="383"/>
      <c r="Y32" s="383"/>
      <c r="Z32" s="383"/>
      <c r="AA32" s="383"/>
      <c r="AB32" s="383"/>
      <c r="AC32" s="383"/>
      <c r="AD32" s="383"/>
    </row>
    <row r="33" ht="33.0" customHeight="1">
      <c r="A33" s="377" t="str">
        <f>+SUMMARY!#REF!</f>
        <v>#ERROR!</v>
      </c>
      <c r="B33" s="378" t="str">
        <f>+SUMMARY!#REF!</f>
        <v>#ERROR!</v>
      </c>
      <c r="C33" s="378" t="str">
        <f>+SUMMARY!#REF!</f>
        <v>#ERROR!</v>
      </c>
      <c r="D33" s="378" t="str">
        <f>+SUMMARY!#REF!</f>
        <v>#ERROR!</v>
      </c>
      <c r="E33" s="378" t="str">
        <f>+SUMMARY!#REF!</f>
        <v>#ERROR!</v>
      </c>
      <c r="F33" s="378" t="str">
        <f>+SUMMARY!#REF!</f>
        <v>#ERROR!</v>
      </c>
      <c r="G33" s="378" t="str">
        <f>+SUMMARY!#REF!</f>
        <v>#ERROR!</v>
      </c>
      <c r="H33" s="379" t="str">
        <f>+SUMMARY!#REF!</f>
        <v>#ERROR!</v>
      </c>
      <c r="I33" s="380" t="str">
        <f t="shared" si="1"/>
        <v>#ERROR!</v>
      </c>
      <c r="J33" s="381"/>
      <c r="K33" s="383"/>
      <c r="L33" s="383"/>
      <c r="M33" s="383"/>
      <c r="N33" s="383"/>
      <c r="O33" s="383"/>
      <c r="P33" s="383"/>
      <c r="Q33" s="383"/>
      <c r="R33" s="383"/>
      <c r="S33" s="383"/>
      <c r="T33" s="383"/>
      <c r="U33" s="383"/>
      <c r="V33" s="383"/>
      <c r="W33" s="383"/>
      <c r="X33" s="383"/>
      <c r="Y33" s="383"/>
      <c r="Z33" s="383"/>
      <c r="AA33" s="383"/>
      <c r="AB33" s="383"/>
      <c r="AC33" s="383"/>
      <c r="AD33" s="383"/>
    </row>
    <row r="34" ht="33.0" customHeight="1">
      <c r="A34" s="377" t="str">
        <f>+SUMMARY!#REF!</f>
        <v>#ERROR!</v>
      </c>
      <c r="B34" s="378" t="str">
        <f>+SUMMARY!#REF!</f>
        <v>#ERROR!</v>
      </c>
      <c r="C34" s="378" t="str">
        <f>+SUMMARY!#REF!</f>
        <v>#ERROR!</v>
      </c>
      <c r="D34" s="378" t="str">
        <f>+SUMMARY!#REF!</f>
        <v>#ERROR!</v>
      </c>
      <c r="E34" s="378" t="str">
        <f>+SUMMARY!#REF!</f>
        <v>#ERROR!</v>
      </c>
      <c r="F34" s="378" t="str">
        <f>+SUMMARY!#REF!</f>
        <v>#ERROR!</v>
      </c>
      <c r="G34" s="378" t="str">
        <f>+SUMMARY!#REF!</f>
        <v>#ERROR!</v>
      </c>
      <c r="H34" s="379" t="str">
        <f>+SUMMARY!#REF!</f>
        <v>#ERROR!</v>
      </c>
      <c r="I34" s="380" t="str">
        <f t="shared" si="1"/>
        <v>#ERROR!</v>
      </c>
      <c r="J34" s="381"/>
      <c r="K34" s="383"/>
      <c r="L34" s="383"/>
      <c r="M34" s="383"/>
      <c r="N34" s="383"/>
      <c r="O34" s="383"/>
      <c r="P34" s="383"/>
      <c r="Q34" s="383"/>
      <c r="R34" s="383"/>
      <c r="S34" s="383"/>
      <c r="T34" s="383"/>
      <c r="U34" s="383"/>
      <c r="V34" s="383"/>
      <c r="W34" s="383"/>
      <c r="X34" s="383"/>
      <c r="Y34" s="383"/>
      <c r="Z34" s="383"/>
      <c r="AA34" s="383"/>
      <c r="AB34" s="383"/>
      <c r="AC34" s="383"/>
      <c r="AD34" s="383"/>
    </row>
    <row r="35" ht="33.0" customHeight="1">
      <c r="A35" s="377" t="str">
        <f>+SUMMARY!#REF!</f>
        <v>#ERROR!</v>
      </c>
      <c r="B35" s="378" t="str">
        <f>+SUMMARY!#REF!</f>
        <v>#ERROR!</v>
      </c>
      <c r="C35" s="378" t="str">
        <f>+SUMMARY!#REF!</f>
        <v>#ERROR!</v>
      </c>
      <c r="D35" s="378" t="str">
        <f>+SUMMARY!#REF!</f>
        <v>#ERROR!</v>
      </c>
      <c r="E35" s="378" t="str">
        <f>+SUMMARY!#REF!</f>
        <v>#ERROR!</v>
      </c>
      <c r="F35" s="378" t="str">
        <f>+SUMMARY!#REF!</f>
        <v>#ERROR!</v>
      </c>
      <c r="G35" s="378" t="str">
        <f>+SUMMARY!#REF!</f>
        <v>#ERROR!</v>
      </c>
      <c r="H35" s="379" t="str">
        <f>+SUMMARY!#REF!</f>
        <v>#ERROR!</v>
      </c>
      <c r="I35" s="380" t="str">
        <f t="shared" si="1"/>
        <v>#ERROR!</v>
      </c>
      <c r="J35" s="381"/>
      <c r="K35" s="383"/>
      <c r="L35" s="383"/>
      <c r="M35" s="383"/>
      <c r="N35" s="383"/>
      <c r="O35" s="383"/>
      <c r="P35" s="383"/>
      <c r="Q35" s="383"/>
      <c r="R35" s="383"/>
      <c r="S35" s="383"/>
      <c r="T35" s="383"/>
      <c r="U35" s="383"/>
      <c r="V35" s="383"/>
      <c r="W35" s="383"/>
      <c r="X35" s="383"/>
      <c r="Y35" s="383"/>
      <c r="Z35" s="383"/>
      <c r="AA35" s="383"/>
      <c r="AB35" s="383"/>
      <c r="AC35" s="383"/>
      <c r="AD35" s="383"/>
    </row>
    <row r="36" ht="33.0" customHeight="1">
      <c r="A36" s="377" t="str">
        <f>+SUMMARY!#REF!</f>
        <v>#ERROR!</v>
      </c>
      <c r="B36" s="378" t="str">
        <f>+SUMMARY!#REF!</f>
        <v>#ERROR!</v>
      </c>
      <c r="C36" s="378" t="str">
        <f>+SUMMARY!#REF!</f>
        <v>#ERROR!</v>
      </c>
      <c r="D36" s="378" t="str">
        <f>+SUMMARY!#REF!</f>
        <v>#ERROR!</v>
      </c>
      <c r="E36" s="378" t="str">
        <f>+SUMMARY!#REF!</f>
        <v>#ERROR!</v>
      </c>
      <c r="F36" s="378" t="str">
        <f>+SUMMARY!#REF!</f>
        <v>#ERROR!</v>
      </c>
      <c r="G36" s="378" t="str">
        <f>+SUMMARY!#REF!</f>
        <v>#ERROR!</v>
      </c>
      <c r="H36" s="379" t="str">
        <f>+SUMMARY!#REF!</f>
        <v>#ERROR!</v>
      </c>
      <c r="I36" s="380" t="str">
        <f t="shared" si="1"/>
        <v>#ERROR!</v>
      </c>
      <c r="J36" s="381"/>
      <c r="K36" s="383"/>
      <c r="L36" s="383"/>
      <c r="M36" s="383"/>
      <c r="N36" s="383"/>
      <c r="O36" s="383"/>
      <c r="P36" s="383"/>
      <c r="Q36" s="383"/>
      <c r="R36" s="383"/>
      <c r="S36" s="383"/>
      <c r="T36" s="383"/>
      <c r="U36" s="383"/>
      <c r="V36" s="383"/>
      <c r="W36" s="383"/>
      <c r="X36" s="383"/>
      <c r="Y36" s="383"/>
      <c r="Z36" s="383"/>
      <c r="AA36" s="383"/>
      <c r="AB36" s="383"/>
      <c r="AC36" s="383"/>
      <c r="AD36" s="383"/>
    </row>
    <row r="37" ht="33.0" customHeight="1">
      <c r="A37" s="377" t="str">
        <f>+SUMMARY!#REF!</f>
        <v>#ERROR!</v>
      </c>
      <c r="B37" s="378" t="str">
        <f>+SUMMARY!#REF!</f>
        <v>#ERROR!</v>
      </c>
      <c r="C37" s="378" t="str">
        <f>+SUMMARY!#REF!</f>
        <v>#ERROR!</v>
      </c>
      <c r="D37" s="378" t="str">
        <f>+SUMMARY!#REF!</f>
        <v>#ERROR!</v>
      </c>
      <c r="E37" s="378" t="str">
        <f>+SUMMARY!#REF!</f>
        <v>#ERROR!</v>
      </c>
      <c r="F37" s="378" t="str">
        <f>+SUMMARY!#REF!</f>
        <v>#ERROR!</v>
      </c>
      <c r="G37" s="378" t="str">
        <f>+SUMMARY!#REF!</f>
        <v>#ERROR!</v>
      </c>
      <c r="H37" s="379" t="str">
        <f>+SUMMARY!#REF!</f>
        <v>#ERROR!</v>
      </c>
      <c r="I37" s="380" t="str">
        <f t="shared" si="1"/>
        <v>#ERROR!</v>
      </c>
      <c r="J37" s="381"/>
      <c r="K37" s="383"/>
      <c r="L37" s="383"/>
      <c r="M37" s="383"/>
      <c r="N37" s="383"/>
      <c r="O37" s="383"/>
      <c r="P37" s="383"/>
      <c r="Q37" s="383"/>
      <c r="R37" s="383"/>
      <c r="S37" s="383"/>
      <c r="T37" s="383"/>
      <c r="U37" s="383"/>
      <c r="V37" s="383"/>
      <c r="W37" s="383"/>
      <c r="X37" s="383"/>
      <c r="Y37" s="383"/>
      <c r="Z37" s="383"/>
      <c r="AA37" s="383"/>
      <c r="AB37" s="383"/>
      <c r="AC37" s="383"/>
      <c r="AD37" s="383"/>
    </row>
    <row r="38" ht="30.0" customHeight="1">
      <c r="A38" s="384" t="s">
        <v>117</v>
      </c>
      <c r="B38" s="385" t="str">
        <f t="shared" ref="B38:G38" si="2">SUM(B8:B37)</f>
        <v>#ERROR!</v>
      </c>
      <c r="C38" s="385" t="str">
        <f t="shared" si="2"/>
        <v>#ERROR!</v>
      </c>
      <c r="D38" s="385" t="str">
        <f t="shared" si="2"/>
        <v>#ERROR!</v>
      </c>
      <c r="E38" s="385" t="str">
        <f t="shared" si="2"/>
        <v>#ERROR!</v>
      </c>
      <c r="F38" s="385" t="str">
        <f t="shared" si="2"/>
        <v>#ERROR!</v>
      </c>
      <c r="G38" s="385" t="str">
        <f t="shared" si="2"/>
        <v>#ERROR!</v>
      </c>
      <c r="H38" s="386"/>
      <c r="I38" s="387" t="str">
        <f t="shared" si="1"/>
        <v>#ERROR!</v>
      </c>
      <c r="J38" s="388"/>
      <c r="K38" s="367"/>
      <c r="L38" s="367"/>
      <c r="M38" s="367"/>
      <c r="N38" s="367"/>
      <c r="O38" s="367"/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</row>
    <row r="39" ht="24.75" customHeight="1">
      <c r="A39" s="389" t="s">
        <v>49</v>
      </c>
      <c r="B39" s="390"/>
      <c r="C39" s="391" t="str">
        <f>+C38/B38</f>
        <v>#ERROR!</v>
      </c>
      <c r="D39" s="392" t="str">
        <f>+D38/B38</f>
        <v>#ERROR!</v>
      </c>
      <c r="E39" s="391" t="str">
        <f>+E38/B38</f>
        <v>#ERROR!</v>
      </c>
      <c r="F39" s="391" t="str">
        <f>+F38/B38</f>
        <v>#ERROR!</v>
      </c>
      <c r="G39" s="391" t="str">
        <f>+G38/B38</f>
        <v>#ERROR!</v>
      </c>
      <c r="H39" s="393" t="str">
        <f>+SUMMARY!H32</f>
        <v/>
      </c>
      <c r="I39" s="394"/>
      <c r="J39" s="395"/>
      <c r="K39" s="367"/>
      <c r="L39" s="367"/>
      <c r="M39" s="367"/>
      <c r="N39" s="367"/>
      <c r="O39" s="367"/>
      <c r="P39" s="367"/>
      <c r="Q39" s="367"/>
      <c r="R39" s="367"/>
      <c r="S39" s="367"/>
      <c r="T39" s="367"/>
      <c r="U39" s="367"/>
      <c r="V39" s="367"/>
      <c r="W39" s="367"/>
      <c r="X39" s="367"/>
      <c r="Y39" s="367"/>
      <c r="Z39" s="367"/>
      <c r="AA39" s="367"/>
      <c r="AB39" s="367"/>
      <c r="AC39" s="367"/>
      <c r="AD39" s="367"/>
    </row>
    <row r="40" ht="33.75" customHeight="1">
      <c r="A40" s="396" t="s">
        <v>224</v>
      </c>
      <c r="B40" s="397"/>
      <c r="C40" s="398"/>
      <c r="D40" s="398">
        <v>0.0053</v>
      </c>
      <c r="E40" s="398">
        <v>0.0084</v>
      </c>
      <c r="F40" s="398"/>
      <c r="G40" s="399">
        <v>0.0061</v>
      </c>
      <c r="H40" s="400"/>
      <c r="I40" s="367"/>
      <c r="J40" s="367"/>
      <c r="K40" s="367"/>
      <c r="L40" s="367"/>
      <c r="M40" s="367"/>
      <c r="N40" s="367"/>
      <c r="O40" s="367"/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</row>
    <row r="41" ht="40.5" customHeight="1">
      <c r="A41" s="401"/>
      <c r="B41" s="367"/>
      <c r="C41" s="367"/>
      <c r="D41" s="367" t="s">
        <v>225</v>
      </c>
      <c r="E41" s="367"/>
      <c r="F41" s="402" t="str">
        <f>+D38+E38+F38+G38</f>
        <v>#ERROR!</v>
      </c>
      <c r="G41" s="367"/>
      <c r="H41" s="403"/>
      <c r="I41" s="367"/>
      <c r="J41" s="367"/>
      <c r="K41" s="367"/>
      <c r="L41" s="367"/>
      <c r="M41" s="367"/>
      <c r="N41" s="367"/>
      <c r="O41" s="367"/>
      <c r="P41" s="367"/>
      <c r="Q41" s="367"/>
      <c r="R41" s="367"/>
      <c r="S41" s="367"/>
      <c r="T41" s="367"/>
      <c r="U41" s="367"/>
      <c r="V41" s="367"/>
      <c r="W41" s="367"/>
      <c r="X41" s="367"/>
      <c r="Y41" s="367"/>
      <c r="Z41" s="367"/>
      <c r="AA41" s="367"/>
      <c r="AB41" s="367"/>
      <c r="AC41" s="367"/>
      <c r="AD41" s="367"/>
    </row>
    <row r="42" ht="23.25" customHeight="1">
      <c r="A42" s="401"/>
      <c r="B42" s="367"/>
      <c r="C42" s="367"/>
      <c r="D42" s="367" t="s">
        <v>226</v>
      </c>
      <c r="E42" s="367"/>
      <c r="F42" s="404" t="str">
        <f>+F41/B38</f>
        <v>#ERROR!</v>
      </c>
      <c r="G42" s="367"/>
      <c r="H42" s="403"/>
      <c r="I42" s="367"/>
      <c r="J42" s="367"/>
      <c r="K42" s="367"/>
      <c r="L42" s="367"/>
      <c r="M42" s="367"/>
      <c r="N42" s="367"/>
      <c r="O42" s="367"/>
      <c r="P42" s="367"/>
      <c r="Q42" s="367"/>
      <c r="R42" s="367"/>
      <c r="S42" s="367"/>
      <c r="T42" s="367"/>
      <c r="U42" s="367"/>
      <c r="V42" s="367"/>
      <c r="W42" s="367"/>
      <c r="X42" s="367"/>
      <c r="Y42" s="367"/>
      <c r="Z42" s="367"/>
      <c r="AA42" s="367"/>
      <c r="AB42" s="367"/>
      <c r="AC42" s="367"/>
      <c r="AD42" s="367"/>
    </row>
    <row r="43" ht="23.25" customHeight="1">
      <c r="A43" s="401"/>
      <c r="B43" s="367"/>
      <c r="C43" s="367"/>
      <c r="D43" s="367" t="s">
        <v>227</v>
      </c>
      <c r="E43" s="367"/>
      <c r="F43" s="404" t="str">
        <f t="shared" ref="F43:F44" si="3">+D39+E39+G39</f>
        <v>#ERROR!</v>
      </c>
      <c r="G43" s="367"/>
      <c r="H43" s="403"/>
      <c r="I43" s="367"/>
      <c r="J43" s="367"/>
      <c r="K43" s="367"/>
      <c r="L43" s="367"/>
      <c r="M43" s="367"/>
      <c r="N43" s="367"/>
      <c r="O43" s="367"/>
      <c r="P43" s="367"/>
      <c r="Q43" s="367"/>
      <c r="R43" s="367"/>
      <c r="S43" s="367"/>
      <c r="T43" s="367"/>
      <c r="U43" s="367"/>
      <c r="V43" s="367"/>
      <c r="W43" s="367"/>
      <c r="X43" s="367"/>
      <c r="Y43" s="367"/>
      <c r="Z43" s="367"/>
      <c r="AA43" s="367"/>
      <c r="AB43" s="367"/>
      <c r="AC43" s="367"/>
      <c r="AD43" s="367"/>
    </row>
    <row r="44" ht="23.25" customHeight="1">
      <c r="A44" s="401"/>
      <c r="B44" s="367"/>
      <c r="C44" s="366" t="s">
        <v>228</v>
      </c>
      <c r="D44" s="366"/>
      <c r="E44" s="366"/>
      <c r="F44" s="370">
        <f t="shared" si="3"/>
        <v>0.0198</v>
      </c>
      <c r="G44" s="367"/>
      <c r="H44" s="403"/>
      <c r="I44" s="367"/>
      <c r="J44" s="367"/>
      <c r="K44" s="367"/>
      <c r="L44" s="367"/>
      <c r="M44" s="367"/>
      <c r="N44" s="367"/>
      <c r="O44" s="367"/>
      <c r="P44" s="367"/>
      <c r="Q44" s="367"/>
      <c r="R44" s="367"/>
      <c r="S44" s="367"/>
      <c r="T44" s="367"/>
      <c r="U44" s="367"/>
      <c r="V44" s="367"/>
      <c r="W44" s="367"/>
      <c r="X44" s="367"/>
      <c r="Y44" s="367"/>
      <c r="Z44" s="367"/>
      <c r="AA44" s="367"/>
      <c r="AB44" s="367"/>
      <c r="AC44" s="367"/>
      <c r="AD44" s="367"/>
    </row>
    <row r="45" ht="23.25" customHeight="1">
      <c r="A45" s="401" t="s">
        <v>229</v>
      </c>
      <c r="B45" s="367"/>
      <c r="C45" s="367"/>
      <c r="D45" s="405">
        <v>9.0</v>
      </c>
      <c r="E45" s="367"/>
      <c r="F45" s="367"/>
      <c r="G45" s="367"/>
      <c r="H45" s="403"/>
      <c r="I45" s="367"/>
      <c r="J45" s="367"/>
      <c r="K45" s="367"/>
      <c r="L45" s="367"/>
      <c r="M45" s="367"/>
      <c r="N45" s="367"/>
      <c r="O45" s="367"/>
      <c r="P45" s="367"/>
      <c r="Q45" s="367"/>
      <c r="R45" s="367"/>
      <c r="S45" s="367"/>
      <c r="T45" s="367"/>
      <c r="U45" s="367"/>
      <c r="V45" s="367"/>
      <c r="W45" s="367"/>
      <c r="X45" s="367"/>
      <c r="Y45" s="367"/>
      <c r="Z45" s="367"/>
      <c r="AA45" s="367"/>
      <c r="AB45" s="367"/>
      <c r="AC45" s="367"/>
      <c r="AD45" s="367"/>
    </row>
    <row r="46" ht="23.25" customHeight="1">
      <c r="A46" s="401"/>
      <c r="B46" s="367"/>
      <c r="C46" s="367" t="s">
        <v>230</v>
      </c>
      <c r="D46" s="406" t="str">
        <f t="shared" ref="D46:E46" si="4">+$D$45*D38</f>
        <v>#ERROR!</v>
      </c>
      <c r="E46" s="406" t="str">
        <f t="shared" si="4"/>
        <v>#ERROR!</v>
      </c>
      <c r="F46" s="406"/>
      <c r="G46" s="406" t="str">
        <f>+$D$45*G38</f>
        <v>#ERROR!</v>
      </c>
      <c r="H46" s="403"/>
      <c r="I46" s="367"/>
      <c r="J46" s="367"/>
      <c r="K46" s="367"/>
      <c r="L46" s="367"/>
      <c r="M46" s="367"/>
      <c r="N46" s="367"/>
      <c r="O46" s="367"/>
      <c r="P46" s="367"/>
      <c r="Q46" s="367"/>
      <c r="R46" s="367"/>
      <c r="S46" s="367"/>
      <c r="T46" s="367"/>
      <c r="U46" s="367"/>
      <c r="V46" s="367"/>
      <c r="W46" s="367"/>
      <c r="X46" s="367"/>
      <c r="Y46" s="367"/>
      <c r="Z46" s="367"/>
      <c r="AA46" s="367"/>
      <c r="AB46" s="367"/>
      <c r="AC46" s="367"/>
      <c r="AD46" s="367"/>
    </row>
    <row r="47" ht="24.0" customHeight="1">
      <c r="A47" s="407"/>
      <c r="B47" s="408"/>
      <c r="C47" s="408"/>
      <c r="D47" s="408"/>
      <c r="E47" s="408"/>
      <c r="F47" s="408"/>
      <c r="G47" s="408"/>
      <c r="H47" s="409"/>
      <c r="I47" s="367"/>
      <c r="J47" s="367"/>
      <c r="K47" s="367"/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</row>
    <row r="48" ht="23.25" customHeight="1">
      <c r="A48" s="367"/>
      <c r="B48" s="367"/>
      <c r="C48" s="367"/>
      <c r="D48" s="367"/>
      <c r="E48" s="367"/>
      <c r="F48" s="367"/>
      <c r="G48" s="367"/>
      <c r="H48" s="367"/>
      <c r="I48" s="367"/>
      <c r="J48" s="367"/>
      <c r="K48" s="367"/>
      <c r="L48" s="367"/>
      <c r="M48" s="367"/>
      <c r="N48" s="367"/>
      <c r="O48" s="367"/>
      <c r="P48" s="367"/>
      <c r="Q48" s="367"/>
      <c r="R48" s="367"/>
      <c r="S48" s="367"/>
      <c r="T48" s="367"/>
      <c r="U48" s="367"/>
      <c r="V48" s="367"/>
      <c r="W48" s="367"/>
      <c r="X48" s="367"/>
      <c r="Y48" s="367"/>
      <c r="Z48" s="367"/>
      <c r="AA48" s="367"/>
      <c r="AB48" s="367"/>
      <c r="AC48" s="367"/>
      <c r="AD48" s="367"/>
    </row>
    <row r="49" ht="23.25" customHeight="1">
      <c r="A49" s="367"/>
      <c r="B49" s="367"/>
      <c r="C49" s="367"/>
      <c r="D49" s="367"/>
      <c r="E49" s="367"/>
      <c r="F49" s="410"/>
      <c r="G49" s="367"/>
      <c r="H49" s="367"/>
      <c r="I49" s="367"/>
      <c r="J49" s="367"/>
      <c r="K49" s="367"/>
      <c r="L49" s="367"/>
      <c r="M49" s="367"/>
      <c r="N49" s="367"/>
      <c r="O49" s="367"/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</row>
    <row r="50" ht="23.25" customHeight="1">
      <c r="A50" s="367"/>
      <c r="B50" s="367"/>
      <c r="C50" s="367"/>
      <c r="D50" s="367"/>
      <c r="E50" s="410"/>
      <c r="F50" s="367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</row>
    <row r="51" ht="23.25" customHeight="1">
      <c r="A51" s="367"/>
      <c r="B51" s="367"/>
      <c r="C51" s="367"/>
      <c r="D51" s="367"/>
      <c r="E51" s="367"/>
      <c r="F51" s="367"/>
      <c r="G51" s="367"/>
      <c r="H51" s="367"/>
      <c r="I51" s="367"/>
      <c r="J51" s="367"/>
      <c r="K51" s="367"/>
      <c r="L51" s="367"/>
      <c r="M51" s="367"/>
      <c r="N51" s="367"/>
      <c r="O51" s="367"/>
      <c r="P51" s="367"/>
      <c r="Q51" s="367"/>
      <c r="R51" s="367"/>
      <c r="S51" s="367"/>
      <c r="T51" s="367"/>
      <c r="U51" s="367"/>
      <c r="V51" s="367"/>
      <c r="W51" s="367"/>
      <c r="X51" s="367"/>
      <c r="Y51" s="367"/>
      <c r="Z51" s="367"/>
      <c r="AA51" s="367"/>
      <c r="AB51" s="367"/>
      <c r="AC51" s="367"/>
      <c r="AD51" s="367"/>
    </row>
    <row r="52" ht="23.25" customHeight="1">
      <c r="A52" s="367"/>
      <c r="B52" s="367"/>
      <c r="C52" s="367"/>
      <c r="D52" s="367"/>
      <c r="E52" s="367"/>
      <c r="F52" s="367"/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67"/>
      <c r="S52" s="367"/>
      <c r="T52" s="367"/>
      <c r="U52" s="367"/>
      <c r="V52" s="367"/>
      <c r="W52" s="367"/>
      <c r="X52" s="367"/>
      <c r="Y52" s="367"/>
      <c r="Z52" s="367"/>
      <c r="AA52" s="367"/>
      <c r="AB52" s="367"/>
      <c r="AC52" s="367"/>
      <c r="AD52" s="367"/>
    </row>
    <row r="53" ht="23.25" customHeight="1">
      <c r="A53" s="367"/>
      <c r="B53" s="367"/>
      <c r="C53" s="367"/>
      <c r="D53" s="367"/>
      <c r="E53" s="367"/>
      <c r="F53" s="367"/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67"/>
      <c r="S53" s="367"/>
      <c r="T53" s="367"/>
      <c r="U53" s="367"/>
      <c r="V53" s="367"/>
      <c r="W53" s="367"/>
      <c r="X53" s="367"/>
      <c r="Y53" s="367"/>
      <c r="Z53" s="367"/>
      <c r="AA53" s="367"/>
      <c r="AB53" s="367"/>
      <c r="AC53" s="367"/>
      <c r="AD53" s="367"/>
    </row>
    <row r="54" ht="23.25" customHeight="1">
      <c r="A54" s="367"/>
      <c r="B54" s="367"/>
      <c r="C54" s="367"/>
      <c r="D54" s="367"/>
      <c r="E54" s="367"/>
      <c r="F54" s="367"/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67"/>
      <c r="S54" s="367"/>
      <c r="T54" s="367"/>
      <c r="U54" s="367"/>
      <c r="V54" s="367"/>
      <c r="W54" s="367"/>
      <c r="X54" s="367"/>
      <c r="Y54" s="367"/>
      <c r="Z54" s="367"/>
      <c r="AA54" s="367"/>
      <c r="AB54" s="367"/>
      <c r="AC54" s="367"/>
      <c r="AD54" s="367"/>
    </row>
    <row r="55" ht="23.25" customHeight="1">
      <c r="A55" s="367"/>
      <c r="B55" s="367"/>
      <c r="C55" s="367"/>
      <c r="D55" s="367"/>
      <c r="E55" s="367"/>
      <c r="F55" s="367"/>
      <c r="G55" s="367"/>
      <c r="H55" s="367"/>
      <c r="I55" s="367"/>
      <c r="J55" s="367"/>
      <c r="K55" s="367"/>
      <c r="L55" s="367"/>
      <c r="M55" s="367"/>
      <c r="N55" s="367"/>
      <c r="O55" s="367"/>
      <c r="P55" s="367"/>
      <c r="Q55" s="367"/>
      <c r="R55" s="367"/>
      <c r="S55" s="367"/>
      <c r="T55" s="367"/>
      <c r="U55" s="367"/>
      <c r="V55" s="367"/>
      <c r="W55" s="367"/>
      <c r="X55" s="367"/>
      <c r="Y55" s="367"/>
      <c r="Z55" s="367"/>
      <c r="AA55" s="367"/>
      <c r="AB55" s="367"/>
      <c r="AC55" s="367"/>
      <c r="AD55" s="367"/>
    </row>
    <row r="56" ht="23.25" customHeight="1">
      <c r="A56" s="367"/>
      <c r="B56" s="367"/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</row>
    <row r="57" ht="23.25" customHeight="1">
      <c r="A57" s="367"/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367"/>
      <c r="V57" s="367"/>
      <c r="W57" s="367"/>
      <c r="X57" s="367"/>
      <c r="Y57" s="367"/>
      <c r="Z57" s="367"/>
      <c r="AA57" s="367"/>
      <c r="AB57" s="367"/>
      <c r="AC57" s="367"/>
      <c r="AD57" s="367"/>
    </row>
    <row r="58" ht="23.25" customHeight="1">
      <c r="A58" s="367"/>
      <c r="B58" s="367"/>
      <c r="C58" s="367"/>
      <c r="D58" s="367"/>
      <c r="E58" s="367"/>
      <c r="F58" s="367"/>
      <c r="G58" s="367"/>
      <c r="H58" s="367"/>
      <c r="I58" s="367"/>
      <c r="J58" s="367"/>
      <c r="K58" s="367"/>
      <c r="L58" s="367"/>
      <c r="M58" s="367"/>
      <c r="N58" s="367"/>
      <c r="O58" s="367"/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</row>
    <row r="59" ht="23.25" customHeight="1">
      <c r="A59" s="367"/>
      <c r="B59" s="367"/>
      <c r="C59" s="367"/>
      <c r="D59" s="367"/>
      <c r="E59" s="367"/>
      <c r="F59" s="367"/>
      <c r="G59" s="367"/>
      <c r="H59" s="367"/>
      <c r="I59" s="367"/>
      <c r="J59" s="367"/>
      <c r="K59" s="367"/>
      <c r="L59" s="367"/>
      <c r="M59" s="367"/>
      <c r="N59" s="367"/>
      <c r="O59" s="367"/>
      <c r="P59" s="367"/>
      <c r="Q59" s="367"/>
      <c r="R59" s="367"/>
      <c r="S59" s="367"/>
      <c r="T59" s="367"/>
      <c r="U59" s="367"/>
      <c r="V59" s="367"/>
      <c r="W59" s="367"/>
      <c r="X59" s="367"/>
      <c r="Y59" s="367"/>
      <c r="Z59" s="367"/>
      <c r="AA59" s="367"/>
      <c r="AB59" s="367"/>
      <c r="AC59" s="367"/>
      <c r="AD59" s="367"/>
    </row>
    <row r="60" ht="23.25" customHeight="1">
      <c r="A60" s="367"/>
      <c r="B60" s="367"/>
      <c r="C60" s="367"/>
      <c r="D60" s="367"/>
      <c r="E60" s="367"/>
      <c r="F60" s="367"/>
      <c r="G60" s="367"/>
      <c r="H60" s="367"/>
      <c r="I60" s="367"/>
      <c r="J60" s="367"/>
      <c r="K60" s="367"/>
      <c r="L60" s="367"/>
      <c r="M60" s="367"/>
      <c r="N60" s="367"/>
      <c r="O60" s="367"/>
      <c r="P60" s="367"/>
      <c r="Q60" s="367"/>
      <c r="R60" s="367"/>
      <c r="S60" s="367"/>
      <c r="T60" s="367"/>
      <c r="U60" s="367"/>
      <c r="V60" s="367"/>
      <c r="W60" s="367"/>
      <c r="X60" s="367"/>
      <c r="Y60" s="367"/>
      <c r="Z60" s="367"/>
      <c r="AA60" s="367"/>
      <c r="AB60" s="367"/>
      <c r="AC60" s="367"/>
      <c r="AD60" s="367"/>
    </row>
    <row r="61" ht="23.25" customHeight="1">
      <c r="A61" s="367"/>
      <c r="B61" s="367"/>
      <c r="C61" s="367"/>
      <c r="D61" s="367"/>
      <c r="E61" s="367"/>
      <c r="F61" s="367"/>
      <c r="G61" s="367"/>
      <c r="H61" s="367"/>
      <c r="I61" s="367"/>
      <c r="J61" s="367"/>
      <c r="K61" s="367"/>
      <c r="L61" s="367"/>
      <c r="M61" s="367"/>
      <c r="N61" s="367"/>
      <c r="O61" s="367"/>
      <c r="P61" s="367"/>
      <c r="Q61" s="367"/>
      <c r="R61" s="367"/>
      <c r="S61" s="367"/>
      <c r="T61" s="367"/>
      <c r="U61" s="367"/>
      <c r="V61" s="367"/>
      <c r="W61" s="367"/>
      <c r="X61" s="367"/>
      <c r="Y61" s="367"/>
      <c r="Z61" s="367"/>
      <c r="AA61" s="367"/>
      <c r="AB61" s="367"/>
      <c r="AC61" s="367"/>
      <c r="AD61" s="367"/>
    </row>
    <row r="62" ht="23.25" customHeight="1">
      <c r="A62" s="367"/>
      <c r="B62" s="367"/>
      <c r="C62" s="367"/>
      <c r="D62" s="367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  <c r="Q62" s="367"/>
      <c r="R62" s="367"/>
      <c r="S62" s="367"/>
      <c r="T62" s="367"/>
      <c r="U62" s="367"/>
      <c r="V62" s="367"/>
      <c r="W62" s="367"/>
      <c r="X62" s="367"/>
      <c r="Y62" s="367"/>
      <c r="Z62" s="367"/>
      <c r="AA62" s="367"/>
      <c r="AB62" s="367"/>
      <c r="AC62" s="367"/>
      <c r="AD62" s="367"/>
    </row>
    <row r="63" ht="23.25" customHeight="1">
      <c r="A63" s="367"/>
      <c r="B63" s="367"/>
      <c r="C63" s="367"/>
      <c r="D63" s="367"/>
      <c r="E63" s="367"/>
      <c r="F63" s="367"/>
      <c r="G63" s="367"/>
      <c r="H63" s="367"/>
      <c r="I63" s="367"/>
      <c r="J63" s="367"/>
      <c r="K63" s="367"/>
      <c r="L63" s="367"/>
      <c r="M63" s="367"/>
      <c r="N63" s="367"/>
      <c r="O63" s="367"/>
      <c r="P63" s="367"/>
      <c r="Q63" s="367"/>
      <c r="R63" s="367"/>
      <c r="S63" s="367"/>
      <c r="T63" s="367"/>
      <c r="U63" s="367"/>
      <c r="V63" s="367"/>
      <c r="W63" s="367"/>
      <c r="X63" s="367"/>
      <c r="Y63" s="367"/>
      <c r="Z63" s="367"/>
      <c r="AA63" s="367"/>
      <c r="AB63" s="367"/>
      <c r="AC63" s="367"/>
      <c r="AD63" s="367"/>
    </row>
    <row r="64" ht="23.25" customHeight="1">
      <c r="A64" s="367"/>
      <c r="B64" s="367"/>
      <c r="C64" s="367"/>
      <c r="D64" s="367"/>
      <c r="E64" s="367"/>
      <c r="F64" s="367"/>
      <c r="G64" s="367"/>
      <c r="H64" s="367"/>
      <c r="I64" s="367"/>
      <c r="J64" s="367"/>
      <c r="K64" s="367"/>
      <c r="L64" s="367"/>
      <c r="M64" s="367"/>
      <c r="N64" s="367"/>
      <c r="O64" s="367"/>
      <c r="P64" s="367"/>
      <c r="Q64" s="367"/>
      <c r="R64" s="367"/>
      <c r="S64" s="367"/>
      <c r="T64" s="367"/>
      <c r="U64" s="367"/>
      <c r="V64" s="367"/>
      <c r="W64" s="367"/>
      <c r="X64" s="367"/>
      <c r="Y64" s="367"/>
      <c r="Z64" s="367"/>
      <c r="AA64" s="367"/>
      <c r="AB64" s="367"/>
      <c r="AC64" s="367"/>
      <c r="AD64" s="367"/>
    </row>
    <row r="65" ht="23.25" customHeight="1">
      <c r="A65" s="367"/>
      <c r="B65" s="367"/>
      <c r="C65" s="367"/>
      <c r="D65" s="367"/>
      <c r="E65" s="367"/>
      <c r="F65" s="367"/>
      <c r="G65" s="367"/>
      <c r="H65" s="367"/>
      <c r="I65" s="367"/>
      <c r="J65" s="367"/>
      <c r="K65" s="367"/>
      <c r="L65" s="367"/>
      <c r="M65" s="367"/>
      <c r="N65" s="367"/>
      <c r="O65" s="367"/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</row>
    <row r="66" ht="23.25" customHeight="1">
      <c r="A66" s="367"/>
      <c r="B66" s="367"/>
      <c r="C66" s="367"/>
      <c r="D66" s="367"/>
      <c r="E66" s="367"/>
      <c r="F66" s="367"/>
      <c r="G66" s="367"/>
      <c r="H66" s="367"/>
      <c r="I66" s="367"/>
      <c r="J66" s="367"/>
      <c r="K66" s="367"/>
      <c r="L66" s="367"/>
      <c r="M66" s="367"/>
      <c r="N66" s="367"/>
      <c r="O66" s="367"/>
      <c r="P66" s="367"/>
      <c r="Q66" s="367"/>
      <c r="R66" s="367"/>
      <c r="S66" s="367"/>
      <c r="T66" s="367"/>
      <c r="U66" s="367"/>
      <c r="V66" s="367"/>
      <c r="W66" s="367"/>
      <c r="X66" s="367"/>
      <c r="Y66" s="367"/>
      <c r="Z66" s="367"/>
      <c r="AA66" s="367"/>
      <c r="AB66" s="367"/>
      <c r="AC66" s="367"/>
      <c r="AD66" s="367"/>
    </row>
    <row r="67" ht="23.25" customHeight="1">
      <c r="A67" s="367"/>
      <c r="B67" s="367"/>
      <c r="C67" s="367"/>
      <c r="D67" s="367"/>
      <c r="E67" s="367"/>
      <c r="F67" s="367"/>
      <c r="G67" s="367"/>
      <c r="H67" s="367"/>
      <c r="I67" s="367"/>
      <c r="J67" s="367"/>
      <c r="K67" s="367"/>
      <c r="L67" s="367"/>
      <c r="M67" s="367"/>
      <c r="N67" s="367"/>
      <c r="O67" s="367"/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</row>
    <row r="68" ht="23.25" customHeight="1">
      <c r="A68" s="367"/>
      <c r="B68" s="367"/>
      <c r="C68" s="367"/>
      <c r="D68" s="367"/>
      <c r="E68" s="367"/>
      <c r="F68" s="367"/>
      <c r="G68" s="367"/>
      <c r="H68" s="367"/>
      <c r="I68" s="367"/>
      <c r="J68" s="367"/>
      <c r="K68" s="367"/>
      <c r="L68" s="367"/>
      <c r="M68" s="367"/>
      <c r="N68" s="367"/>
      <c r="O68" s="367"/>
      <c r="P68" s="367"/>
      <c r="Q68" s="367"/>
      <c r="R68" s="367"/>
      <c r="S68" s="367"/>
      <c r="T68" s="367"/>
      <c r="U68" s="367"/>
      <c r="V68" s="367"/>
      <c r="W68" s="367"/>
      <c r="X68" s="367"/>
      <c r="Y68" s="367"/>
      <c r="Z68" s="367"/>
      <c r="AA68" s="367"/>
      <c r="AB68" s="367"/>
      <c r="AC68" s="367"/>
      <c r="AD68" s="367"/>
    </row>
    <row r="69" ht="23.25" customHeight="1">
      <c r="A69" s="367"/>
      <c r="B69" s="367"/>
      <c r="C69" s="367"/>
      <c r="D69" s="367"/>
      <c r="E69" s="367"/>
      <c r="F69" s="367"/>
      <c r="G69" s="367"/>
      <c r="H69" s="367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67"/>
      <c r="V69" s="367"/>
      <c r="W69" s="367"/>
      <c r="X69" s="367"/>
      <c r="Y69" s="367"/>
      <c r="Z69" s="367"/>
      <c r="AA69" s="367"/>
      <c r="AB69" s="367"/>
      <c r="AC69" s="367"/>
      <c r="AD69" s="367"/>
    </row>
    <row r="70" ht="23.25" customHeight="1">
      <c r="A70" s="367"/>
      <c r="B70" s="367"/>
      <c r="C70" s="367"/>
      <c r="D70" s="367"/>
      <c r="E70" s="367"/>
      <c r="F70" s="367"/>
      <c r="G70" s="367"/>
      <c r="H70" s="367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67"/>
      <c r="V70" s="367"/>
      <c r="W70" s="367"/>
      <c r="X70" s="367"/>
      <c r="Y70" s="367"/>
      <c r="Z70" s="367"/>
      <c r="AA70" s="367"/>
      <c r="AB70" s="367"/>
      <c r="AC70" s="367"/>
      <c r="AD70" s="367"/>
    </row>
    <row r="71" ht="23.25" customHeight="1">
      <c r="A71" s="367"/>
      <c r="B71" s="367"/>
      <c r="C71" s="367"/>
      <c r="D71" s="367"/>
      <c r="E71" s="367"/>
      <c r="F71" s="367"/>
      <c r="G71" s="367"/>
      <c r="H71" s="367"/>
      <c r="I71" s="367"/>
      <c r="J71" s="367"/>
      <c r="K71" s="367"/>
      <c r="L71" s="367"/>
      <c r="M71" s="367"/>
      <c r="N71" s="367"/>
      <c r="O71" s="367"/>
      <c r="P71" s="367"/>
      <c r="Q71" s="367"/>
      <c r="R71" s="367"/>
      <c r="S71" s="367"/>
      <c r="T71" s="367"/>
      <c r="U71" s="367"/>
      <c r="V71" s="367"/>
      <c r="W71" s="367"/>
      <c r="X71" s="367"/>
      <c r="Y71" s="367"/>
      <c r="Z71" s="367"/>
      <c r="AA71" s="367"/>
      <c r="AB71" s="367"/>
      <c r="AC71" s="367"/>
      <c r="AD71" s="367"/>
    </row>
    <row r="72" ht="23.25" customHeight="1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  <c r="AD72" s="367"/>
    </row>
    <row r="73" ht="23.25" customHeight="1">
      <c r="A73" s="367"/>
      <c r="B73" s="367"/>
      <c r="C73" s="367"/>
      <c r="D73" s="367"/>
      <c r="E73" s="367"/>
      <c r="F73" s="367"/>
      <c r="G73" s="367"/>
      <c r="H73" s="367"/>
      <c r="I73" s="367"/>
      <c r="J73" s="367"/>
      <c r="K73" s="367"/>
      <c r="L73" s="367"/>
      <c r="M73" s="367"/>
      <c r="N73" s="367"/>
      <c r="O73" s="367"/>
      <c r="P73" s="367"/>
      <c r="Q73" s="367"/>
      <c r="R73" s="367"/>
      <c r="S73" s="367"/>
      <c r="T73" s="367"/>
      <c r="U73" s="367"/>
      <c r="V73" s="367"/>
      <c r="W73" s="367"/>
      <c r="X73" s="367"/>
      <c r="Y73" s="367"/>
      <c r="Z73" s="367"/>
      <c r="AA73" s="367"/>
      <c r="AB73" s="367"/>
      <c r="AC73" s="367"/>
      <c r="AD73" s="367"/>
    </row>
    <row r="74" ht="23.25" customHeight="1">
      <c r="A74" s="367"/>
      <c r="B74" s="367"/>
      <c r="C74" s="367"/>
      <c r="D74" s="367"/>
      <c r="E74" s="367"/>
      <c r="F74" s="367"/>
      <c r="G74" s="367"/>
      <c r="H74" s="367"/>
      <c r="I74" s="367"/>
      <c r="J74" s="367"/>
      <c r="K74" s="367"/>
      <c r="L74" s="367"/>
      <c r="M74" s="367"/>
      <c r="N74" s="367"/>
      <c r="O74" s="367"/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</row>
    <row r="75" ht="23.25" customHeight="1">
      <c r="A75" s="367"/>
      <c r="B75" s="367"/>
      <c r="C75" s="367"/>
      <c r="D75" s="367"/>
      <c r="E75" s="367"/>
      <c r="F75" s="367"/>
      <c r="G75" s="367"/>
      <c r="H75" s="367"/>
      <c r="I75" s="367"/>
      <c r="J75" s="367"/>
      <c r="K75" s="367"/>
      <c r="L75" s="367"/>
      <c r="M75" s="367"/>
      <c r="N75" s="367"/>
      <c r="O75" s="367"/>
      <c r="P75" s="367"/>
      <c r="Q75" s="367"/>
      <c r="R75" s="367"/>
      <c r="S75" s="367"/>
      <c r="T75" s="367"/>
      <c r="U75" s="367"/>
      <c r="V75" s="367"/>
      <c r="W75" s="367"/>
      <c r="X75" s="367"/>
      <c r="Y75" s="367"/>
      <c r="Z75" s="367"/>
      <c r="AA75" s="367"/>
      <c r="AB75" s="367"/>
      <c r="AC75" s="367"/>
      <c r="AD75" s="367"/>
    </row>
    <row r="76" ht="23.25" customHeight="1">
      <c r="A76" s="367"/>
      <c r="B76" s="367"/>
      <c r="C76" s="367"/>
      <c r="D76" s="367"/>
      <c r="E76" s="367"/>
      <c r="F76" s="367"/>
      <c r="G76" s="367"/>
      <c r="H76" s="367"/>
      <c r="I76" s="367"/>
      <c r="J76" s="367"/>
      <c r="K76" s="367"/>
      <c r="L76" s="367"/>
      <c r="M76" s="367"/>
      <c r="N76" s="367"/>
      <c r="O76" s="367"/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</row>
    <row r="77" ht="23.25" customHeight="1">
      <c r="A77" s="367"/>
      <c r="B77" s="367"/>
      <c r="C77" s="367"/>
      <c r="D77" s="367"/>
      <c r="E77" s="367"/>
      <c r="F77" s="367"/>
      <c r="G77" s="367"/>
      <c r="H77" s="367"/>
      <c r="I77" s="367"/>
      <c r="J77" s="367"/>
      <c r="K77" s="367"/>
      <c r="L77" s="367"/>
      <c r="M77" s="367"/>
      <c r="N77" s="367"/>
      <c r="O77" s="367"/>
      <c r="P77" s="367"/>
      <c r="Q77" s="367"/>
      <c r="R77" s="367"/>
      <c r="S77" s="367"/>
      <c r="T77" s="367"/>
      <c r="U77" s="367"/>
      <c r="V77" s="367"/>
      <c r="W77" s="367"/>
      <c r="X77" s="367"/>
      <c r="Y77" s="367"/>
      <c r="Z77" s="367"/>
      <c r="AA77" s="367"/>
      <c r="AB77" s="367"/>
      <c r="AC77" s="367"/>
      <c r="AD77" s="367"/>
    </row>
    <row r="78" ht="23.25" customHeight="1">
      <c r="A78" s="367"/>
      <c r="B78" s="367"/>
      <c r="C78" s="367"/>
      <c r="D78" s="367"/>
      <c r="E78" s="367"/>
      <c r="F78" s="367"/>
      <c r="G78" s="367"/>
      <c r="H78" s="367"/>
      <c r="I78" s="367"/>
      <c r="J78" s="367"/>
      <c r="K78" s="367"/>
      <c r="L78" s="367"/>
      <c r="M78" s="367"/>
      <c r="N78" s="367"/>
      <c r="O78" s="367"/>
      <c r="P78" s="367"/>
      <c r="Q78" s="367"/>
      <c r="R78" s="367"/>
      <c r="S78" s="367"/>
      <c r="T78" s="367"/>
      <c r="U78" s="367"/>
      <c r="V78" s="367"/>
      <c r="W78" s="367"/>
      <c r="X78" s="367"/>
      <c r="Y78" s="367"/>
      <c r="Z78" s="367"/>
      <c r="AA78" s="367"/>
      <c r="AB78" s="367"/>
      <c r="AC78" s="367"/>
      <c r="AD78" s="367"/>
    </row>
    <row r="79" ht="23.25" customHeight="1">
      <c r="A79" s="367"/>
      <c r="B79" s="367"/>
      <c r="C79" s="367"/>
      <c r="D79" s="367"/>
      <c r="E79" s="367"/>
      <c r="F79" s="367"/>
      <c r="G79" s="367"/>
      <c r="H79" s="367"/>
      <c r="I79" s="367"/>
      <c r="J79" s="367"/>
      <c r="K79" s="367"/>
      <c r="L79" s="367"/>
      <c r="M79" s="367"/>
      <c r="N79" s="367"/>
      <c r="O79" s="367"/>
      <c r="P79" s="367"/>
      <c r="Q79" s="367"/>
      <c r="R79" s="367"/>
      <c r="S79" s="367"/>
      <c r="T79" s="367"/>
      <c r="U79" s="367"/>
      <c r="V79" s="367"/>
      <c r="W79" s="367"/>
      <c r="X79" s="367"/>
      <c r="Y79" s="367"/>
      <c r="Z79" s="367"/>
      <c r="AA79" s="367"/>
      <c r="AB79" s="367"/>
      <c r="AC79" s="367"/>
      <c r="AD79" s="367"/>
    </row>
    <row r="80" ht="23.25" customHeight="1">
      <c r="A80" s="367"/>
      <c r="B80" s="367"/>
      <c r="C80" s="367"/>
      <c r="D80" s="367"/>
      <c r="E80" s="367"/>
      <c r="F80" s="367"/>
      <c r="G80" s="367"/>
      <c r="H80" s="367"/>
      <c r="I80" s="367"/>
      <c r="J80" s="367"/>
      <c r="K80" s="367"/>
      <c r="L80" s="367"/>
      <c r="M80" s="367"/>
      <c r="N80" s="367"/>
      <c r="O80" s="367"/>
      <c r="P80" s="367"/>
      <c r="Q80" s="367"/>
      <c r="R80" s="367"/>
      <c r="S80" s="367"/>
      <c r="T80" s="367"/>
      <c r="U80" s="367"/>
      <c r="V80" s="367"/>
      <c r="W80" s="367"/>
      <c r="X80" s="367"/>
      <c r="Y80" s="367"/>
      <c r="Z80" s="367"/>
      <c r="AA80" s="367"/>
      <c r="AB80" s="367"/>
      <c r="AC80" s="367"/>
      <c r="AD80" s="367"/>
    </row>
    <row r="81" ht="23.25" customHeight="1">
      <c r="A81" s="367"/>
      <c r="B81" s="367"/>
      <c r="C81" s="367"/>
      <c r="D81" s="367"/>
      <c r="E81" s="367"/>
      <c r="F81" s="367"/>
      <c r="G81" s="367"/>
      <c r="H81" s="367"/>
      <c r="I81" s="367"/>
      <c r="J81" s="367"/>
      <c r="K81" s="367"/>
      <c r="L81" s="367"/>
      <c r="M81" s="367"/>
      <c r="N81" s="367"/>
      <c r="O81" s="367"/>
      <c r="P81" s="367"/>
      <c r="Q81" s="367"/>
      <c r="R81" s="367"/>
      <c r="S81" s="367"/>
      <c r="T81" s="367"/>
      <c r="U81" s="367"/>
      <c r="V81" s="367"/>
      <c r="W81" s="367"/>
      <c r="X81" s="367"/>
      <c r="Y81" s="367"/>
      <c r="Z81" s="367"/>
      <c r="AA81" s="367"/>
      <c r="AB81" s="367"/>
      <c r="AC81" s="367"/>
      <c r="AD81" s="367"/>
    </row>
    <row r="82" ht="23.25" customHeight="1">
      <c r="A82" s="367"/>
      <c r="B82" s="367"/>
      <c r="C82" s="367"/>
      <c r="D82" s="367"/>
      <c r="E82" s="367"/>
      <c r="F82" s="367"/>
      <c r="G82" s="367"/>
      <c r="H82" s="367"/>
      <c r="I82" s="367"/>
      <c r="J82" s="367"/>
      <c r="K82" s="367"/>
      <c r="L82" s="367"/>
      <c r="M82" s="367"/>
      <c r="N82" s="367"/>
      <c r="O82" s="367"/>
      <c r="P82" s="367"/>
      <c r="Q82" s="367"/>
      <c r="R82" s="367"/>
      <c r="S82" s="367"/>
      <c r="T82" s="367"/>
      <c r="U82" s="367"/>
      <c r="V82" s="367"/>
      <c r="W82" s="367"/>
      <c r="X82" s="367"/>
      <c r="Y82" s="367"/>
      <c r="Z82" s="367"/>
      <c r="AA82" s="367"/>
      <c r="AB82" s="367"/>
      <c r="AC82" s="367"/>
      <c r="AD82" s="367"/>
    </row>
    <row r="83" ht="23.25" customHeight="1">
      <c r="A83" s="367"/>
      <c r="B83" s="367"/>
      <c r="C83" s="367"/>
      <c r="D83" s="367"/>
      <c r="E83" s="367"/>
      <c r="F83" s="367"/>
      <c r="G83" s="367"/>
      <c r="H83" s="367"/>
      <c r="I83" s="367"/>
      <c r="J83" s="367"/>
      <c r="K83" s="367"/>
      <c r="L83" s="367"/>
      <c r="M83" s="367"/>
      <c r="N83" s="367"/>
      <c r="O83" s="367"/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</row>
    <row r="84" ht="23.25" customHeight="1">
      <c r="A84" s="367"/>
      <c r="B84" s="367"/>
      <c r="C84" s="367"/>
      <c r="D84" s="367"/>
      <c r="E84" s="367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367"/>
      <c r="Q84" s="367"/>
      <c r="R84" s="367"/>
      <c r="S84" s="367"/>
      <c r="T84" s="367"/>
      <c r="U84" s="367"/>
      <c r="V84" s="367"/>
      <c r="W84" s="367"/>
      <c r="X84" s="367"/>
      <c r="Y84" s="367"/>
      <c r="Z84" s="367"/>
      <c r="AA84" s="367"/>
      <c r="AB84" s="367"/>
      <c r="AC84" s="367"/>
      <c r="AD84" s="367"/>
    </row>
    <row r="85" ht="23.25" customHeight="1">
      <c r="A85" s="367"/>
      <c r="B85" s="367"/>
      <c r="C85" s="367"/>
      <c r="D85" s="367"/>
      <c r="E85" s="367"/>
      <c r="F85" s="367"/>
      <c r="G85" s="367"/>
      <c r="H85" s="367"/>
      <c r="I85" s="367"/>
      <c r="J85" s="367"/>
      <c r="K85" s="367"/>
      <c r="L85" s="367"/>
      <c r="M85" s="367"/>
      <c r="N85" s="367"/>
      <c r="O85" s="367"/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</row>
    <row r="86" ht="23.25" customHeight="1">
      <c r="A86" s="367"/>
      <c r="B86" s="367"/>
      <c r="C86" s="367"/>
      <c r="D86" s="367"/>
      <c r="E86" s="367"/>
      <c r="F86" s="367"/>
      <c r="G86" s="367"/>
      <c r="H86" s="367"/>
      <c r="I86" s="367"/>
      <c r="J86" s="367"/>
      <c r="K86" s="367"/>
      <c r="L86" s="367"/>
      <c r="M86" s="367"/>
      <c r="N86" s="367"/>
      <c r="O86" s="367"/>
      <c r="P86" s="367"/>
      <c r="Q86" s="367"/>
      <c r="R86" s="367"/>
      <c r="S86" s="367"/>
      <c r="T86" s="367"/>
      <c r="U86" s="367"/>
      <c r="V86" s="367"/>
      <c r="W86" s="367"/>
      <c r="X86" s="367"/>
      <c r="Y86" s="367"/>
      <c r="Z86" s="367"/>
      <c r="AA86" s="367"/>
      <c r="AB86" s="367"/>
      <c r="AC86" s="367"/>
      <c r="AD86" s="367"/>
    </row>
    <row r="87" ht="23.25" customHeight="1">
      <c r="A87" s="367"/>
      <c r="B87" s="367"/>
      <c r="C87" s="367"/>
      <c r="D87" s="367"/>
      <c r="E87" s="367"/>
      <c r="F87" s="367"/>
      <c r="G87" s="367"/>
      <c r="H87" s="367"/>
      <c r="I87" s="367"/>
      <c r="J87" s="367"/>
      <c r="K87" s="367"/>
      <c r="L87" s="367"/>
      <c r="M87" s="367"/>
      <c r="N87" s="367"/>
      <c r="O87" s="367"/>
      <c r="P87" s="367"/>
      <c r="Q87" s="367"/>
      <c r="R87" s="367"/>
      <c r="S87" s="367"/>
      <c r="T87" s="367"/>
      <c r="U87" s="367"/>
      <c r="V87" s="367"/>
      <c r="W87" s="367"/>
      <c r="X87" s="367"/>
      <c r="Y87" s="367"/>
      <c r="Z87" s="367"/>
      <c r="AA87" s="367"/>
      <c r="AB87" s="367"/>
      <c r="AC87" s="367"/>
      <c r="AD87" s="367"/>
    </row>
    <row r="88" ht="23.25" customHeight="1">
      <c r="A88" s="367"/>
      <c r="B88" s="367"/>
      <c r="C88" s="367"/>
      <c r="D88" s="367"/>
      <c r="E88" s="367"/>
      <c r="F88" s="367"/>
      <c r="G88" s="367"/>
      <c r="H88" s="367"/>
      <c r="I88" s="367"/>
      <c r="J88" s="367"/>
      <c r="K88" s="367"/>
      <c r="L88" s="367"/>
      <c r="M88" s="367"/>
      <c r="N88" s="367"/>
      <c r="O88" s="367"/>
      <c r="P88" s="367"/>
      <c r="Q88" s="367"/>
      <c r="R88" s="367"/>
      <c r="S88" s="367"/>
      <c r="T88" s="367"/>
      <c r="U88" s="367"/>
      <c r="V88" s="367"/>
      <c r="W88" s="367"/>
      <c r="X88" s="367"/>
      <c r="Y88" s="367"/>
      <c r="Z88" s="367"/>
      <c r="AA88" s="367"/>
      <c r="AB88" s="367"/>
      <c r="AC88" s="367"/>
      <c r="AD88" s="367"/>
    </row>
    <row r="89" ht="23.25" customHeight="1">
      <c r="A89" s="367"/>
      <c r="B89" s="367"/>
      <c r="C89" s="367"/>
      <c r="D89" s="367"/>
      <c r="E89" s="367"/>
      <c r="F89" s="367"/>
      <c r="G89" s="367"/>
      <c r="H89" s="367"/>
      <c r="I89" s="367"/>
      <c r="J89" s="367"/>
      <c r="K89" s="367"/>
      <c r="L89" s="367"/>
      <c r="M89" s="367"/>
      <c r="N89" s="367"/>
      <c r="O89" s="367"/>
      <c r="P89" s="367"/>
      <c r="Q89" s="367"/>
      <c r="R89" s="367"/>
      <c r="S89" s="367"/>
      <c r="T89" s="367"/>
      <c r="U89" s="367"/>
      <c r="V89" s="367"/>
      <c r="W89" s="367"/>
      <c r="X89" s="367"/>
      <c r="Y89" s="367"/>
      <c r="Z89" s="367"/>
      <c r="AA89" s="367"/>
      <c r="AB89" s="367"/>
      <c r="AC89" s="367"/>
      <c r="AD89" s="367"/>
    </row>
    <row r="90" ht="23.25" customHeight="1">
      <c r="A90" s="367"/>
      <c r="B90" s="367"/>
      <c r="C90" s="367"/>
      <c r="D90" s="367"/>
      <c r="E90" s="367"/>
      <c r="F90" s="367"/>
      <c r="G90" s="367"/>
      <c r="H90" s="367"/>
      <c r="I90" s="367"/>
      <c r="J90" s="367"/>
      <c r="K90" s="367"/>
      <c r="L90" s="367"/>
      <c r="M90" s="367"/>
      <c r="N90" s="367"/>
      <c r="O90" s="367"/>
      <c r="P90" s="367"/>
      <c r="Q90" s="367"/>
      <c r="R90" s="367"/>
      <c r="S90" s="367"/>
      <c r="T90" s="367"/>
      <c r="U90" s="367"/>
      <c r="V90" s="367"/>
      <c r="W90" s="367"/>
      <c r="X90" s="367"/>
      <c r="Y90" s="367"/>
      <c r="Z90" s="367"/>
      <c r="AA90" s="367"/>
      <c r="AB90" s="367"/>
      <c r="AC90" s="367"/>
      <c r="AD90" s="367"/>
    </row>
    <row r="91" ht="23.25" customHeight="1">
      <c r="A91" s="367"/>
      <c r="B91" s="367"/>
      <c r="C91" s="367"/>
      <c r="D91" s="367"/>
      <c r="E91" s="367"/>
      <c r="F91" s="367"/>
      <c r="G91" s="367"/>
      <c r="H91" s="367"/>
      <c r="I91" s="367"/>
      <c r="J91" s="367"/>
      <c r="K91" s="367"/>
      <c r="L91" s="367"/>
      <c r="M91" s="367"/>
      <c r="N91" s="367"/>
      <c r="O91" s="367"/>
      <c r="P91" s="367"/>
      <c r="Q91" s="367"/>
      <c r="R91" s="367"/>
      <c r="S91" s="367"/>
      <c r="T91" s="367"/>
      <c r="U91" s="367"/>
      <c r="V91" s="367"/>
      <c r="W91" s="367"/>
      <c r="X91" s="367"/>
      <c r="Y91" s="367"/>
      <c r="Z91" s="367"/>
      <c r="AA91" s="367"/>
      <c r="AB91" s="367"/>
      <c r="AC91" s="367"/>
      <c r="AD91" s="367"/>
    </row>
    <row r="92" ht="23.25" customHeight="1">
      <c r="A92" s="367"/>
      <c r="B92" s="367"/>
      <c r="C92" s="367"/>
      <c r="D92" s="367"/>
      <c r="E92" s="367"/>
      <c r="F92" s="367"/>
      <c r="G92" s="367"/>
      <c r="H92" s="367"/>
      <c r="I92" s="367"/>
      <c r="J92" s="367"/>
      <c r="K92" s="367"/>
      <c r="L92" s="367"/>
      <c r="M92" s="367"/>
      <c r="N92" s="367"/>
      <c r="O92" s="367"/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</row>
    <row r="93" ht="23.25" customHeight="1">
      <c r="A93" s="367"/>
      <c r="B93" s="367"/>
      <c r="C93" s="367"/>
      <c r="D93" s="367"/>
      <c r="E93" s="367"/>
      <c r="F93" s="367"/>
      <c r="G93" s="367"/>
      <c r="H93" s="367"/>
      <c r="I93" s="367"/>
      <c r="J93" s="367"/>
      <c r="K93" s="367"/>
      <c r="L93" s="367"/>
      <c r="M93" s="367"/>
      <c r="N93" s="367"/>
      <c r="O93" s="367"/>
      <c r="P93" s="367"/>
      <c r="Q93" s="367"/>
      <c r="R93" s="367"/>
      <c r="S93" s="367"/>
      <c r="T93" s="367"/>
      <c r="U93" s="367"/>
      <c r="V93" s="367"/>
      <c r="W93" s="367"/>
      <c r="X93" s="367"/>
      <c r="Y93" s="367"/>
      <c r="Z93" s="367"/>
      <c r="AA93" s="367"/>
      <c r="AB93" s="367"/>
      <c r="AC93" s="367"/>
      <c r="AD93" s="367"/>
    </row>
    <row r="94" ht="23.25" customHeight="1">
      <c r="A94" s="367"/>
      <c r="B94" s="367"/>
      <c r="C94" s="367"/>
      <c r="D94" s="367"/>
      <c r="E94" s="367"/>
      <c r="F94" s="367"/>
      <c r="G94" s="367"/>
      <c r="H94" s="367"/>
      <c r="I94" s="367"/>
      <c r="J94" s="367"/>
      <c r="K94" s="367"/>
      <c r="L94" s="367"/>
      <c r="M94" s="367"/>
      <c r="N94" s="367"/>
      <c r="O94" s="367"/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</row>
    <row r="95" ht="23.25" customHeight="1">
      <c r="A95" s="367"/>
      <c r="B95" s="367"/>
      <c r="C95" s="367"/>
      <c r="D95" s="367"/>
      <c r="E95" s="367"/>
      <c r="F95" s="367"/>
      <c r="G95" s="367"/>
      <c r="H95" s="367"/>
      <c r="I95" s="367"/>
      <c r="J95" s="367"/>
      <c r="K95" s="367"/>
      <c r="L95" s="367"/>
      <c r="M95" s="367"/>
      <c r="N95" s="367"/>
      <c r="O95" s="367"/>
      <c r="P95" s="367"/>
      <c r="Q95" s="367"/>
      <c r="R95" s="367"/>
      <c r="S95" s="367"/>
      <c r="T95" s="367"/>
      <c r="U95" s="367"/>
      <c r="V95" s="367"/>
      <c r="W95" s="367"/>
      <c r="X95" s="367"/>
      <c r="Y95" s="367"/>
      <c r="Z95" s="367"/>
      <c r="AA95" s="367"/>
      <c r="AB95" s="367"/>
      <c r="AC95" s="367"/>
      <c r="AD95" s="367"/>
    </row>
    <row r="96" ht="23.25" customHeight="1">
      <c r="A96" s="367"/>
      <c r="B96" s="367"/>
      <c r="C96" s="367"/>
      <c r="D96" s="367"/>
      <c r="E96" s="367"/>
      <c r="F96" s="367"/>
      <c r="G96" s="367"/>
      <c r="H96" s="367"/>
      <c r="I96" s="367"/>
      <c r="J96" s="367"/>
      <c r="K96" s="367"/>
      <c r="L96" s="367"/>
      <c r="M96" s="367"/>
      <c r="N96" s="367"/>
      <c r="O96" s="367"/>
      <c r="P96" s="367"/>
      <c r="Q96" s="367"/>
      <c r="R96" s="367"/>
      <c r="S96" s="367"/>
      <c r="T96" s="367"/>
      <c r="U96" s="367"/>
      <c r="V96" s="367"/>
      <c r="W96" s="367"/>
      <c r="X96" s="367"/>
      <c r="Y96" s="367"/>
      <c r="Z96" s="367"/>
      <c r="AA96" s="367"/>
      <c r="AB96" s="367"/>
      <c r="AC96" s="367"/>
      <c r="AD96" s="367"/>
    </row>
    <row r="97" ht="23.25" customHeight="1">
      <c r="A97" s="367"/>
      <c r="B97" s="367"/>
      <c r="C97" s="367"/>
      <c r="D97" s="367"/>
      <c r="E97" s="367"/>
      <c r="F97" s="367"/>
      <c r="G97" s="367"/>
      <c r="H97" s="367"/>
      <c r="I97" s="367"/>
      <c r="J97" s="367"/>
      <c r="K97" s="367"/>
      <c r="L97" s="367"/>
      <c r="M97" s="367"/>
      <c r="N97" s="367"/>
      <c r="O97" s="367"/>
      <c r="P97" s="367"/>
      <c r="Q97" s="367"/>
      <c r="R97" s="367"/>
      <c r="S97" s="367"/>
      <c r="T97" s="367"/>
      <c r="U97" s="367"/>
      <c r="V97" s="367"/>
      <c r="W97" s="367"/>
      <c r="X97" s="367"/>
      <c r="Y97" s="367"/>
      <c r="Z97" s="367"/>
      <c r="AA97" s="367"/>
      <c r="AB97" s="367"/>
      <c r="AC97" s="367"/>
      <c r="AD97" s="367"/>
    </row>
    <row r="98" ht="23.25" customHeight="1">
      <c r="A98" s="367"/>
      <c r="B98" s="367"/>
      <c r="C98" s="367"/>
      <c r="D98" s="367"/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367"/>
      <c r="W98" s="367"/>
      <c r="X98" s="367"/>
      <c r="Y98" s="367"/>
      <c r="Z98" s="367"/>
      <c r="AA98" s="367"/>
      <c r="AB98" s="367"/>
      <c r="AC98" s="367"/>
      <c r="AD98" s="367"/>
    </row>
    <row r="99" ht="23.25" customHeight="1">
      <c r="A99" s="367"/>
      <c r="B99" s="367"/>
      <c r="C99" s="367"/>
      <c r="D99" s="367"/>
      <c r="E99" s="367"/>
      <c r="F99" s="367"/>
      <c r="G99" s="367"/>
      <c r="H99" s="367"/>
      <c r="I99" s="367"/>
      <c r="J99" s="367"/>
      <c r="K99" s="367"/>
      <c r="L99" s="367"/>
      <c r="M99" s="367"/>
      <c r="N99" s="367"/>
      <c r="O99" s="367"/>
      <c r="P99" s="367"/>
      <c r="Q99" s="367"/>
      <c r="R99" s="367"/>
      <c r="S99" s="367"/>
      <c r="T99" s="367"/>
      <c r="U99" s="367"/>
      <c r="V99" s="367"/>
      <c r="W99" s="367"/>
      <c r="X99" s="367"/>
      <c r="Y99" s="367"/>
      <c r="Z99" s="367"/>
      <c r="AA99" s="367"/>
      <c r="AB99" s="367"/>
      <c r="AC99" s="367"/>
      <c r="AD99" s="367"/>
    </row>
    <row r="100" ht="23.25" customHeight="1">
      <c r="A100" s="367"/>
      <c r="B100" s="367"/>
      <c r="C100" s="367"/>
      <c r="D100" s="367"/>
      <c r="E100" s="367"/>
      <c r="F100" s="367"/>
      <c r="G100" s="367"/>
      <c r="H100" s="367"/>
      <c r="I100" s="367"/>
      <c r="J100" s="367"/>
      <c r="K100" s="367"/>
      <c r="L100" s="367"/>
      <c r="M100" s="367"/>
      <c r="N100" s="367"/>
      <c r="O100" s="367"/>
      <c r="P100" s="367"/>
      <c r="Q100" s="367"/>
      <c r="R100" s="367"/>
      <c r="S100" s="367"/>
      <c r="T100" s="367"/>
      <c r="U100" s="367"/>
      <c r="V100" s="367"/>
      <c r="W100" s="367"/>
      <c r="X100" s="367"/>
      <c r="Y100" s="367"/>
      <c r="Z100" s="367"/>
      <c r="AA100" s="367"/>
      <c r="AB100" s="367"/>
      <c r="AC100" s="367"/>
      <c r="AD100" s="367"/>
    </row>
    <row r="101" ht="23.25" customHeight="1">
      <c r="A101" s="367"/>
      <c r="B101" s="367"/>
      <c r="C101" s="367"/>
      <c r="D101" s="367"/>
      <c r="E101" s="367"/>
      <c r="F101" s="367"/>
      <c r="G101" s="367"/>
      <c r="H101" s="367"/>
      <c r="I101" s="367"/>
      <c r="J101" s="367"/>
      <c r="K101" s="367"/>
      <c r="L101" s="367"/>
      <c r="M101" s="367"/>
      <c r="N101" s="367"/>
      <c r="O101" s="367"/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</row>
    <row r="102" ht="23.25" customHeight="1">
      <c r="A102" s="367"/>
      <c r="B102" s="367"/>
      <c r="C102" s="367"/>
      <c r="D102" s="367"/>
      <c r="E102" s="367"/>
      <c r="F102" s="367"/>
      <c r="G102" s="367"/>
      <c r="H102" s="367"/>
      <c r="I102" s="367"/>
      <c r="J102" s="367"/>
      <c r="K102" s="367"/>
      <c r="L102" s="367"/>
      <c r="M102" s="367"/>
      <c r="N102" s="367"/>
      <c r="O102" s="367"/>
      <c r="P102" s="367"/>
      <c r="Q102" s="367"/>
      <c r="R102" s="367"/>
      <c r="S102" s="367"/>
      <c r="T102" s="367"/>
      <c r="U102" s="367"/>
      <c r="V102" s="367"/>
      <c r="W102" s="367"/>
      <c r="X102" s="367"/>
      <c r="Y102" s="367"/>
      <c r="Z102" s="367"/>
      <c r="AA102" s="367"/>
      <c r="AB102" s="367"/>
      <c r="AC102" s="367"/>
      <c r="AD102" s="367"/>
    </row>
    <row r="103" ht="23.25" customHeight="1">
      <c r="A103" s="367"/>
      <c r="B103" s="367"/>
      <c r="C103" s="367"/>
      <c r="D103" s="367"/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7"/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</row>
    <row r="104" ht="23.25" customHeight="1">
      <c r="A104" s="367"/>
      <c r="B104" s="367"/>
      <c r="C104" s="367"/>
      <c r="D104" s="367"/>
      <c r="E104" s="367"/>
      <c r="F104" s="367"/>
      <c r="G104" s="367"/>
      <c r="H104" s="367"/>
      <c r="I104" s="367"/>
      <c r="J104" s="367"/>
      <c r="K104" s="367"/>
      <c r="L104" s="367"/>
      <c r="M104" s="367"/>
      <c r="N104" s="367"/>
      <c r="O104" s="367"/>
      <c r="P104" s="367"/>
      <c r="Q104" s="367"/>
      <c r="R104" s="367"/>
      <c r="S104" s="367"/>
      <c r="T104" s="367"/>
      <c r="U104" s="367"/>
      <c r="V104" s="367"/>
      <c r="W104" s="367"/>
      <c r="X104" s="367"/>
      <c r="Y104" s="367"/>
      <c r="Z104" s="367"/>
      <c r="AA104" s="367"/>
      <c r="AB104" s="367"/>
      <c r="AC104" s="367"/>
      <c r="AD104" s="367"/>
    </row>
    <row r="105" ht="23.25" customHeight="1">
      <c r="A105" s="367"/>
      <c r="B105" s="367"/>
      <c r="C105" s="367"/>
      <c r="D105" s="367"/>
      <c r="E105" s="367"/>
      <c r="F105" s="367"/>
      <c r="G105" s="367"/>
      <c r="H105" s="367"/>
      <c r="I105" s="367"/>
      <c r="J105" s="367"/>
      <c r="K105" s="367"/>
      <c r="L105" s="367"/>
      <c r="M105" s="367"/>
      <c r="N105" s="367"/>
      <c r="O105" s="367"/>
      <c r="P105" s="367"/>
      <c r="Q105" s="367"/>
      <c r="R105" s="367"/>
      <c r="S105" s="367"/>
      <c r="T105" s="367"/>
      <c r="U105" s="367"/>
      <c r="V105" s="367"/>
      <c r="W105" s="367"/>
      <c r="X105" s="367"/>
      <c r="Y105" s="367"/>
      <c r="Z105" s="367"/>
      <c r="AA105" s="367"/>
      <c r="AB105" s="367"/>
      <c r="AC105" s="367"/>
      <c r="AD105" s="367"/>
    </row>
    <row r="106" ht="23.25" customHeight="1">
      <c r="A106" s="367"/>
      <c r="B106" s="367"/>
      <c r="C106" s="367"/>
      <c r="D106" s="367"/>
      <c r="E106" s="367"/>
      <c r="F106" s="367"/>
      <c r="G106" s="367"/>
      <c r="H106" s="367"/>
      <c r="I106" s="367"/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67"/>
      <c r="Z106" s="367"/>
      <c r="AA106" s="367"/>
      <c r="AB106" s="367"/>
      <c r="AC106" s="367"/>
      <c r="AD106" s="367"/>
    </row>
    <row r="107" ht="23.25" customHeight="1">
      <c r="A107" s="367"/>
      <c r="B107" s="367"/>
      <c r="C107" s="367"/>
      <c r="D107" s="367"/>
      <c r="E107" s="367"/>
      <c r="F107" s="367"/>
      <c r="G107" s="367"/>
      <c r="H107" s="367"/>
      <c r="I107" s="367"/>
      <c r="J107" s="367"/>
      <c r="K107" s="367"/>
      <c r="L107" s="367"/>
      <c r="M107" s="367"/>
      <c r="N107" s="367"/>
      <c r="O107" s="367"/>
      <c r="P107" s="367"/>
      <c r="Q107" s="367"/>
      <c r="R107" s="367"/>
      <c r="S107" s="367"/>
      <c r="T107" s="367"/>
      <c r="U107" s="367"/>
      <c r="V107" s="367"/>
      <c r="W107" s="367"/>
      <c r="X107" s="367"/>
      <c r="Y107" s="367"/>
      <c r="Z107" s="367"/>
      <c r="AA107" s="367"/>
      <c r="AB107" s="367"/>
      <c r="AC107" s="367"/>
      <c r="AD107" s="367"/>
    </row>
    <row r="108" ht="23.25" customHeight="1">
      <c r="A108" s="367"/>
      <c r="B108" s="367"/>
      <c r="C108" s="367"/>
      <c r="D108" s="367"/>
      <c r="E108" s="367"/>
      <c r="F108" s="367"/>
      <c r="G108" s="367"/>
      <c r="H108" s="367"/>
      <c r="I108" s="367"/>
      <c r="J108" s="367"/>
      <c r="K108" s="367"/>
      <c r="L108" s="367"/>
      <c r="M108" s="367"/>
      <c r="N108" s="367"/>
      <c r="O108" s="367"/>
      <c r="P108" s="367"/>
      <c r="Q108" s="367"/>
      <c r="R108" s="367"/>
      <c r="S108" s="367"/>
      <c r="T108" s="367"/>
      <c r="U108" s="367"/>
      <c r="V108" s="367"/>
      <c r="W108" s="367"/>
      <c r="X108" s="367"/>
      <c r="Y108" s="367"/>
      <c r="Z108" s="367"/>
      <c r="AA108" s="367"/>
      <c r="AB108" s="367"/>
      <c r="AC108" s="367"/>
      <c r="AD108" s="367"/>
    </row>
    <row r="109" ht="23.25" customHeight="1">
      <c r="A109" s="367"/>
      <c r="B109" s="367"/>
      <c r="C109" s="367"/>
      <c r="D109" s="367"/>
      <c r="E109" s="367"/>
      <c r="F109" s="367"/>
      <c r="G109" s="367"/>
      <c r="H109" s="367"/>
      <c r="I109" s="367"/>
      <c r="J109" s="367"/>
      <c r="K109" s="367"/>
      <c r="L109" s="367"/>
      <c r="M109" s="367"/>
      <c r="N109" s="367"/>
      <c r="O109" s="367"/>
      <c r="P109" s="367"/>
      <c r="Q109" s="367"/>
      <c r="R109" s="367"/>
      <c r="S109" s="367"/>
      <c r="T109" s="367"/>
      <c r="U109" s="367"/>
      <c r="V109" s="367"/>
      <c r="W109" s="367"/>
      <c r="X109" s="367"/>
      <c r="Y109" s="367"/>
      <c r="Z109" s="367"/>
      <c r="AA109" s="367"/>
      <c r="AB109" s="367"/>
      <c r="AC109" s="367"/>
      <c r="AD109" s="367"/>
    </row>
    <row r="110" ht="23.25" customHeight="1">
      <c r="A110" s="367"/>
      <c r="B110" s="367"/>
      <c r="C110" s="367"/>
      <c r="D110" s="367"/>
      <c r="E110" s="367"/>
      <c r="F110" s="367"/>
      <c r="G110" s="367"/>
      <c r="H110" s="367"/>
      <c r="I110" s="367"/>
      <c r="J110" s="367"/>
      <c r="K110" s="367"/>
      <c r="L110" s="367"/>
      <c r="M110" s="367"/>
      <c r="N110" s="367"/>
      <c r="O110" s="367"/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</row>
    <row r="111" ht="23.25" customHeight="1">
      <c r="A111" s="367"/>
      <c r="B111" s="367"/>
      <c r="C111" s="367"/>
      <c r="D111" s="367"/>
      <c r="E111" s="367"/>
      <c r="F111" s="367"/>
      <c r="G111" s="367"/>
      <c r="H111" s="367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</row>
    <row r="112" ht="23.25" customHeight="1">
      <c r="A112" s="367"/>
      <c r="B112" s="367"/>
      <c r="C112" s="367"/>
      <c r="D112" s="367"/>
      <c r="E112" s="367"/>
      <c r="F112" s="367"/>
      <c r="G112" s="367"/>
      <c r="H112" s="367"/>
      <c r="I112" s="367"/>
      <c r="J112" s="367"/>
      <c r="K112" s="367"/>
      <c r="L112" s="367"/>
      <c r="M112" s="367"/>
      <c r="N112" s="367"/>
      <c r="O112" s="367"/>
      <c r="P112" s="367"/>
      <c r="Q112" s="367"/>
      <c r="R112" s="367"/>
      <c r="S112" s="367"/>
      <c r="T112" s="367"/>
      <c r="U112" s="367"/>
      <c r="V112" s="367"/>
      <c r="W112" s="367"/>
      <c r="X112" s="367"/>
      <c r="Y112" s="367"/>
      <c r="Z112" s="367"/>
      <c r="AA112" s="367"/>
      <c r="AB112" s="367"/>
      <c r="AC112" s="367"/>
      <c r="AD112" s="367"/>
    </row>
    <row r="113" ht="23.25" customHeight="1">
      <c r="A113" s="367"/>
      <c r="B113" s="367"/>
      <c r="C113" s="367"/>
      <c r="D113" s="367"/>
      <c r="E113" s="367"/>
      <c r="F113" s="367"/>
      <c r="G113" s="367"/>
      <c r="H113" s="367"/>
      <c r="I113" s="367"/>
      <c r="J113" s="367"/>
      <c r="K113" s="367"/>
      <c r="L113" s="367"/>
      <c r="M113" s="367"/>
      <c r="N113" s="367"/>
      <c r="O113" s="367"/>
      <c r="P113" s="367"/>
      <c r="Q113" s="367"/>
      <c r="R113" s="367"/>
      <c r="S113" s="367"/>
      <c r="T113" s="367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</row>
    <row r="114" ht="23.25" customHeight="1">
      <c r="A114" s="367"/>
      <c r="B114" s="367"/>
      <c r="C114" s="367"/>
      <c r="D114" s="367"/>
      <c r="E114" s="367"/>
      <c r="F114" s="367"/>
      <c r="G114" s="367"/>
      <c r="H114" s="367"/>
      <c r="I114" s="367"/>
      <c r="J114" s="367"/>
      <c r="K114" s="367"/>
      <c r="L114" s="367"/>
      <c r="M114" s="367"/>
      <c r="N114" s="367"/>
      <c r="O114" s="367"/>
      <c r="P114" s="367"/>
      <c r="Q114" s="367"/>
      <c r="R114" s="367"/>
      <c r="S114" s="367"/>
      <c r="T114" s="367"/>
      <c r="U114" s="367"/>
      <c r="V114" s="367"/>
      <c r="W114" s="367"/>
      <c r="X114" s="367"/>
      <c r="Y114" s="367"/>
      <c r="Z114" s="367"/>
      <c r="AA114" s="367"/>
      <c r="AB114" s="367"/>
      <c r="AC114" s="367"/>
      <c r="AD114" s="367"/>
    </row>
    <row r="115" ht="23.25" customHeight="1">
      <c r="A115" s="367"/>
      <c r="B115" s="367"/>
      <c r="C115" s="367"/>
      <c r="D115" s="367"/>
      <c r="E115" s="367"/>
      <c r="F115" s="367"/>
      <c r="G115" s="367"/>
      <c r="H115" s="367"/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</row>
    <row r="116" ht="23.25" customHeight="1">
      <c r="A116" s="367"/>
      <c r="B116" s="367"/>
      <c r="C116" s="367"/>
      <c r="D116" s="367"/>
      <c r="E116" s="367"/>
      <c r="F116" s="367"/>
      <c r="G116" s="367"/>
      <c r="H116" s="367"/>
      <c r="I116" s="367"/>
      <c r="J116" s="367"/>
      <c r="K116" s="367"/>
      <c r="L116" s="367"/>
      <c r="M116" s="367"/>
      <c r="N116" s="367"/>
      <c r="O116" s="367"/>
      <c r="P116" s="367"/>
      <c r="Q116" s="367"/>
      <c r="R116" s="367"/>
      <c r="S116" s="367"/>
      <c r="T116" s="367"/>
      <c r="U116" s="367"/>
      <c r="V116" s="367"/>
      <c r="W116" s="367"/>
      <c r="X116" s="367"/>
      <c r="Y116" s="367"/>
      <c r="Z116" s="367"/>
      <c r="AA116" s="367"/>
      <c r="AB116" s="367"/>
      <c r="AC116" s="367"/>
      <c r="AD116" s="367"/>
    </row>
    <row r="117" ht="23.25" customHeight="1">
      <c r="A117" s="367"/>
      <c r="B117" s="367"/>
      <c r="C117" s="367"/>
      <c r="D117" s="367"/>
      <c r="E117" s="367"/>
      <c r="F117" s="367"/>
      <c r="G117" s="367"/>
      <c r="H117" s="367"/>
      <c r="I117" s="367"/>
      <c r="J117" s="367"/>
      <c r="K117" s="367"/>
      <c r="L117" s="367"/>
      <c r="M117" s="367"/>
      <c r="N117" s="367"/>
      <c r="O117" s="367"/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</row>
    <row r="118" ht="23.25" customHeight="1">
      <c r="A118" s="367"/>
      <c r="B118" s="367"/>
      <c r="C118" s="367"/>
      <c r="D118" s="367"/>
      <c r="E118" s="367"/>
      <c r="F118" s="367"/>
      <c r="G118" s="367"/>
      <c r="H118" s="367"/>
      <c r="I118" s="367"/>
      <c r="J118" s="367"/>
      <c r="K118" s="367"/>
      <c r="L118" s="367"/>
      <c r="M118" s="367"/>
      <c r="N118" s="367"/>
      <c r="O118" s="367"/>
      <c r="P118" s="367"/>
      <c r="Q118" s="367"/>
      <c r="R118" s="367"/>
      <c r="S118" s="367"/>
      <c r="T118" s="367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</row>
    <row r="119" ht="23.25" customHeight="1">
      <c r="A119" s="367"/>
      <c r="B119" s="367"/>
      <c r="C119" s="367"/>
      <c r="D119" s="367"/>
      <c r="E119" s="367"/>
      <c r="F119" s="367"/>
      <c r="G119" s="367"/>
      <c r="H119" s="367"/>
      <c r="I119" s="367"/>
      <c r="J119" s="367"/>
      <c r="K119" s="367"/>
      <c r="L119" s="367"/>
      <c r="M119" s="367"/>
      <c r="N119" s="367"/>
      <c r="O119" s="367"/>
      <c r="P119" s="367"/>
      <c r="Q119" s="367"/>
      <c r="R119" s="367"/>
      <c r="S119" s="367"/>
      <c r="T119" s="367"/>
      <c r="U119" s="367"/>
      <c r="V119" s="367"/>
      <c r="W119" s="367"/>
      <c r="X119" s="367"/>
      <c r="Y119" s="367"/>
      <c r="Z119" s="367"/>
      <c r="AA119" s="367"/>
      <c r="AB119" s="367"/>
      <c r="AC119" s="367"/>
      <c r="AD119" s="367"/>
    </row>
    <row r="120" ht="23.25" customHeight="1">
      <c r="A120" s="367"/>
      <c r="B120" s="367"/>
      <c r="C120" s="367"/>
      <c r="D120" s="367"/>
      <c r="E120" s="367"/>
      <c r="F120" s="367"/>
      <c r="G120" s="367"/>
      <c r="H120" s="367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</row>
    <row r="121" ht="23.25" customHeight="1">
      <c r="A121" s="367"/>
      <c r="B121" s="367"/>
      <c r="C121" s="367"/>
      <c r="D121" s="367"/>
      <c r="E121" s="367"/>
      <c r="F121" s="367"/>
      <c r="G121" s="367"/>
      <c r="H121" s="367"/>
      <c r="I121" s="367"/>
      <c r="J121" s="367"/>
      <c r="K121" s="367"/>
      <c r="L121" s="367"/>
      <c r="M121" s="367"/>
      <c r="N121" s="367"/>
      <c r="O121" s="367"/>
      <c r="P121" s="367"/>
      <c r="Q121" s="367"/>
      <c r="R121" s="367"/>
      <c r="S121" s="367"/>
      <c r="T121" s="367"/>
      <c r="U121" s="367"/>
      <c r="V121" s="367"/>
      <c r="W121" s="367"/>
      <c r="X121" s="367"/>
      <c r="Y121" s="367"/>
      <c r="Z121" s="367"/>
      <c r="AA121" s="367"/>
      <c r="AB121" s="367"/>
      <c r="AC121" s="367"/>
      <c r="AD121" s="367"/>
    </row>
    <row r="122" ht="23.25" customHeight="1">
      <c r="A122" s="367"/>
      <c r="B122" s="367"/>
      <c r="C122" s="367"/>
      <c r="D122" s="367"/>
      <c r="E122" s="367"/>
      <c r="F122" s="367"/>
      <c r="G122" s="367"/>
      <c r="H122" s="367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</row>
    <row r="123" ht="23.25" customHeight="1">
      <c r="A123" s="367"/>
      <c r="B123" s="367"/>
      <c r="C123" s="367"/>
      <c r="D123" s="367"/>
      <c r="E123" s="367"/>
      <c r="F123" s="367"/>
      <c r="G123" s="367"/>
      <c r="H123" s="367"/>
      <c r="I123" s="367"/>
      <c r="J123" s="367"/>
      <c r="K123" s="367"/>
      <c r="L123" s="367"/>
      <c r="M123" s="367"/>
      <c r="N123" s="367"/>
      <c r="O123" s="367"/>
      <c r="P123" s="367"/>
      <c r="Q123" s="367"/>
      <c r="R123" s="367"/>
      <c r="S123" s="367"/>
      <c r="T123" s="367"/>
      <c r="U123" s="367"/>
      <c r="V123" s="367"/>
      <c r="W123" s="367"/>
      <c r="X123" s="367"/>
      <c r="Y123" s="367"/>
      <c r="Z123" s="367"/>
      <c r="AA123" s="367"/>
      <c r="AB123" s="367"/>
      <c r="AC123" s="367"/>
      <c r="AD123" s="367"/>
    </row>
    <row r="124" ht="23.25" customHeight="1">
      <c r="A124" s="367"/>
      <c r="B124" s="367"/>
      <c r="C124" s="367"/>
      <c r="D124" s="367"/>
      <c r="E124" s="367"/>
      <c r="F124" s="367"/>
      <c r="G124" s="367"/>
      <c r="H124" s="367"/>
      <c r="I124" s="367"/>
      <c r="J124" s="367"/>
      <c r="K124" s="367"/>
      <c r="L124" s="367"/>
      <c r="M124" s="367"/>
      <c r="N124" s="367"/>
      <c r="O124" s="367"/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</row>
    <row r="125" ht="23.25" customHeight="1">
      <c r="A125" s="367"/>
      <c r="B125" s="367"/>
      <c r="C125" s="367"/>
      <c r="D125" s="367"/>
      <c r="E125" s="367"/>
      <c r="F125" s="367"/>
      <c r="G125" s="367"/>
      <c r="H125" s="367"/>
      <c r="I125" s="367"/>
      <c r="J125" s="367"/>
      <c r="K125" s="367"/>
      <c r="L125" s="367"/>
      <c r="M125" s="367"/>
      <c r="N125" s="367"/>
      <c r="O125" s="367"/>
      <c r="P125" s="367"/>
      <c r="Q125" s="367"/>
      <c r="R125" s="367"/>
      <c r="S125" s="367"/>
      <c r="T125" s="367"/>
      <c r="U125" s="367"/>
      <c r="V125" s="367"/>
      <c r="W125" s="367"/>
      <c r="X125" s="367"/>
      <c r="Y125" s="367"/>
      <c r="Z125" s="367"/>
      <c r="AA125" s="367"/>
      <c r="AB125" s="367"/>
      <c r="AC125" s="367"/>
      <c r="AD125" s="367"/>
    </row>
    <row r="126" ht="23.25" customHeight="1">
      <c r="A126" s="367"/>
      <c r="B126" s="367"/>
      <c r="C126" s="367"/>
      <c r="D126" s="367"/>
      <c r="E126" s="367"/>
      <c r="F126" s="367"/>
      <c r="G126" s="367"/>
      <c r="H126" s="367"/>
      <c r="I126" s="367"/>
      <c r="J126" s="367"/>
      <c r="K126" s="367"/>
      <c r="L126" s="367"/>
      <c r="M126" s="367"/>
      <c r="N126" s="367"/>
      <c r="O126" s="367"/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</row>
    <row r="127" ht="23.25" customHeight="1">
      <c r="A127" s="367"/>
      <c r="B127" s="367"/>
      <c r="C127" s="367"/>
      <c r="D127" s="367"/>
      <c r="E127" s="367"/>
      <c r="F127" s="367"/>
      <c r="G127" s="367"/>
      <c r="H127" s="367"/>
      <c r="I127" s="367"/>
      <c r="J127" s="367"/>
      <c r="K127" s="367"/>
      <c r="L127" s="367"/>
      <c r="M127" s="367"/>
      <c r="N127" s="367"/>
      <c r="O127" s="367"/>
      <c r="P127" s="367"/>
      <c r="Q127" s="367"/>
      <c r="R127" s="367"/>
      <c r="S127" s="367"/>
      <c r="T127" s="367"/>
      <c r="U127" s="367"/>
      <c r="V127" s="367"/>
      <c r="W127" s="367"/>
      <c r="X127" s="367"/>
      <c r="Y127" s="367"/>
      <c r="Z127" s="367"/>
      <c r="AA127" s="367"/>
      <c r="AB127" s="367"/>
      <c r="AC127" s="367"/>
      <c r="AD127" s="367"/>
    </row>
    <row r="128" ht="23.25" customHeight="1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R128" s="367"/>
      <c r="S128" s="367"/>
      <c r="T128" s="367"/>
      <c r="U128" s="367"/>
      <c r="V128" s="367"/>
      <c r="W128" s="367"/>
      <c r="X128" s="367"/>
      <c r="Y128" s="367"/>
      <c r="Z128" s="367"/>
      <c r="AA128" s="367"/>
      <c r="AB128" s="367"/>
      <c r="AC128" s="367"/>
      <c r="AD128" s="367"/>
    </row>
    <row r="129" ht="23.25" customHeight="1">
      <c r="A129" s="367"/>
      <c r="B129" s="367"/>
      <c r="C129" s="367"/>
      <c r="D129" s="367"/>
      <c r="E129" s="367"/>
      <c r="F129" s="367"/>
      <c r="G129" s="367"/>
      <c r="H129" s="367"/>
      <c r="I129" s="367"/>
      <c r="J129" s="367"/>
      <c r="K129" s="367"/>
      <c r="L129" s="367"/>
      <c r="M129" s="367"/>
      <c r="N129" s="367"/>
      <c r="O129" s="367"/>
      <c r="P129" s="367"/>
      <c r="Q129" s="367"/>
      <c r="R129" s="367"/>
      <c r="S129" s="367"/>
      <c r="T129" s="367"/>
      <c r="U129" s="367"/>
      <c r="V129" s="367"/>
      <c r="W129" s="367"/>
      <c r="X129" s="367"/>
      <c r="Y129" s="367"/>
      <c r="Z129" s="367"/>
      <c r="AA129" s="367"/>
      <c r="AB129" s="367"/>
      <c r="AC129" s="367"/>
      <c r="AD129" s="367"/>
    </row>
    <row r="130" ht="23.25" customHeight="1">
      <c r="A130" s="367"/>
      <c r="B130" s="367"/>
      <c r="C130" s="367"/>
      <c r="D130" s="367"/>
      <c r="E130" s="367"/>
      <c r="F130" s="367"/>
      <c r="G130" s="367"/>
      <c r="H130" s="367"/>
      <c r="I130" s="367"/>
      <c r="J130" s="367"/>
      <c r="K130" s="367"/>
      <c r="L130" s="367"/>
      <c r="M130" s="367"/>
      <c r="N130" s="367"/>
      <c r="O130" s="367"/>
      <c r="P130" s="367"/>
      <c r="Q130" s="367"/>
      <c r="R130" s="367"/>
      <c r="S130" s="367"/>
      <c r="T130" s="367"/>
      <c r="U130" s="367"/>
      <c r="V130" s="367"/>
      <c r="W130" s="367"/>
      <c r="X130" s="367"/>
      <c r="Y130" s="367"/>
      <c r="Z130" s="367"/>
      <c r="AA130" s="367"/>
      <c r="AB130" s="367"/>
      <c r="AC130" s="367"/>
      <c r="AD130" s="367"/>
    </row>
    <row r="131" ht="23.25" customHeight="1">
      <c r="A131" s="367"/>
      <c r="B131" s="367"/>
      <c r="C131" s="367"/>
      <c r="D131" s="367"/>
      <c r="E131" s="367"/>
      <c r="F131" s="367"/>
      <c r="G131" s="367"/>
      <c r="H131" s="367"/>
      <c r="I131" s="367"/>
      <c r="J131" s="367"/>
      <c r="K131" s="367"/>
      <c r="L131" s="367"/>
      <c r="M131" s="367"/>
      <c r="N131" s="367"/>
      <c r="O131" s="367"/>
      <c r="P131" s="367"/>
      <c r="Q131" s="367"/>
      <c r="R131" s="367"/>
      <c r="S131" s="367"/>
      <c r="T131" s="367"/>
      <c r="U131" s="367"/>
      <c r="V131" s="367"/>
      <c r="W131" s="367"/>
      <c r="X131" s="367"/>
      <c r="Y131" s="367"/>
      <c r="Z131" s="367"/>
      <c r="AA131" s="367"/>
      <c r="AB131" s="367"/>
      <c r="AC131" s="367"/>
      <c r="AD131" s="367"/>
    </row>
    <row r="132" ht="23.25" customHeight="1">
      <c r="A132" s="367"/>
      <c r="B132" s="367"/>
      <c r="C132" s="367"/>
      <c r="D132" s="367"/>
      <c r="E132" s="367"/>
      <c r="F132" s="367"/>
      <c r="G132" s="367"/>
      <c r="H132" s="367"/>
      <c r="I132" s="367"/>
      <c r="J132" s="367"/>
      <c r="K132" s="367"/>
      <c r="L132" s="367"/>
      <c r="M132" s="367"/>
      <c r="N132" s="367"/>
      <c r="O132" s="367"/>
      <c r="P132" s="367"/>
      <c r="Q132" s="367"/>
      <c r="R132" s="367"/>
      <c r="S132" s="367"/>
      <c r="T132" s="367"/>
      <c r="U132" s="367"/>
      <c r="V132" s="367"/>
      <c r="W132" s="367"/>
      <c r="X132" s="367"/>
      <c r="Y132" s="367"/>
      <c r="Z132" s="367"/>
      <c r="AA132" s="367"/>
      <c r="AB132" s="367"/>
      <c r="AC132" s="367"/>
      <c r="AD132" s="367"/>
    </row>
    <row r="133" ht="23.25" customHeight="1">
      <c r="A133" s="367"/>
      <c r="B133" s="367"/>
      <c r="C133" s="367"/>
      <c r="D133" s="367"/>
      <c r="E133" s="367"/>
      <c r="F133" s="367"/>
      <c r="G133" s="367"/>
      <c r="H133" s="367"/>
      <c r="I133" s="367"/>
      <c r="J133" s="367"/>
      <c r="K133" s="367"/>
      <c r="L133" s="367"/>
      <c r="M133" s="367"/>
      <c r="N133" s="367"/>
      <c r="O133" s="367"/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</row>
    <row r="134" ht="23.25" customHeight="1">
      <c r="A134" s="367"/>
      <c r="B134" s="367"/>
      <c r="C134" s="367"/>
      <c r="D134" s="367"/>
      <c r="E134" s="367"/>
      <c r="F134" s="367"/>
      <c r="G134" s="367"/>
      <c r="H134" s="367"/>
      <c r="I134" s="367"/>
      <c r="J134" s="367"/>
      <c r="K134" s="367"/>
      <c r="L134" s="367"/>
      <c r="M134" s="367"/>
      <c r="N134" s="367"/>
      <c r="O134" s="367"/>
      <c r="P134" s="367"/>
      <c r="Q134" s="367"/>
      <c r="R134" s="367"/>
      <c r="S134" s="367"/>
      <c r="T134" s="367"/>
      <c r="U134" s="367"/>
      <c r="V134" s="367"/>
      <c r="W134" s="367"/>
      <c r="X134" s="367"/>
      <c r="Y134" s="367"/>
      <c r="Z134" s="367"/>
      <c r="AA134" s="367"/>
      <c r="AB134" s="367"/>
      <c r="AC134" s="367"/>
      <c r="AD134" s="367"/>
    </row>
    <row r="135" ht="23.25" customHeight="1">
      <c r="A135" s="367"/>
      <c r="B135" s="367"/>
      <c r="C135" s="367"/>
      <c r="D135" s="367"/>
      <c r="E135" s="367"/>
      <c r="F135" s="367"/>
      <c r="G135" s="367"/>
      <c r="H135" s="367"/>
      <c r="I135" s="367"/>
      <c r="J135" s="367"/>
      <c r="K135" s="367"/>
      <c r="L135" s="367"/>
      <c r="M135" s="367"/>
      <c r="N135" s="367"/>
      <c r="O135" s="367"/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</row>
    <row r="136" ht="23.25" customHeight="1">
      <c r="A136" s="367"/>
      <c r="B136" s="367"/>
      <c r="C136" s="367"/>
      <c r="D136" s="367"/>
      <c r="E136" s="367"/>
      <c r="F136" s="367"/>
      <c r="G136" s="367"/>
      <c r="H136" s="367"/>
      <c r="I136" s="367"/>
      <c r="J136" s="367"/>
      <c r="K136" s="367"/>
      <c r="L136" s="367"/>
      <c r="M136" s="367"/>
      <c r="N136" s="367"/>
      <c r="O136" s="367"/>
      <c r="P136" s="367"/>
      <c r="Q136" s="367"/>
      <c r="R136" s="367"/>
      <c r="S136" s="367"/>
      <c r="T136" s="367"/>
      <c r="U136" s="367"/>
      <c r="V136" s="367"/>
      <c r="W136" s="367"/>
      <c r="X136" s="367"/>
      <c r="Y136" s="367"/>
      <c r="Z136" s="367"/>
      <c r="AA136" s="367"/>
      <c r="AB136" s="367"/>
      <c r="AC136" s="367"/>
      <c r="AD136" s="367"/>
    </row>
    <row r="137" ht="23.25" customHeight="1">
      <c r="A137" s="367"/>
      <c r="B137" s="367"/>
      <c r="C137" s="367"/>
      <c r="D137" s="367"/>
      <c r="E137" s="367"/>
      <c r="F137" s="367"/>
      <c r="G137" s="367"/>
      <c r="H137" s="367"/>
      <c r="I137" s="367"/>
      <c r="J137" s="367"/>
      <c r="K137" s="367"/>
      <c r="L137" s="367"/>
      <c r="M137" s="367"/>
      <c r="N137" s="367"/>
      <c r="O137" s="367"/>
      <c r="P137" s="367"/>
      <c r="Q137" s="367"/>
      <c r="R137" s="367"/>
      <c r="S137" s="367"/>
      <c r="T137" s="367"/>
      <c r="U137" s="367"/>
      <c r="V137" s="367"/>
      <c r="W137" s="367"/>
      <c r="X137" s="367"/>
      <c r="Y137" s="367"/>
      <c r="Z137" s="367"/>
      <c r="AA137" s="367"/>
      <c r="AB137" s="367"/>
      <c r="AC137" s="367"/>
      <c r="AD137" s="367"/>
    </row>
    <row r="138" ht="23.25" customHeight="1">
      <c r="A138" s="367"/>
      <c r="B138" s="367"/>
      <c r="C138" s="367"/>
      <c r="D138" s="367"/>
      <c r="E138" s="367"/>
      <c r="F138" s="367"/>
      <c r="G138" s="367"/>
      <c r="H138" s="367"/>
      <c r="I138" s="367"/>
      <c r="J138" s="367"/>
      <c r="K138" s="367"/>
      <c r="L138" s="367"/>
      <c r="M138" s="367"/>
      <c r="N138" s="367"/>
      <c r="O138" s="367"/>
      <c r="P138" s="367"/>
      <c r="Q138" s="367"/>
      <c r="R138" s="367"/>
      <c r="S138" s="367"/>
      <c r="T138" s="367"/>
      <c r="U138" s="367"/>
      <c r="V138" s="367"/>
      <c r="W138" s="367"/>
      <c r="X138" s="367"/>
      <c r="Y138" s="367"/>
      <c r="Z138" s="367"/>
      <c r="AA138" s="367"/>
      <c r="AB138" s="367"/>
      <c r="AC138" s="367"/>
      <c r="AD138" s="367"/>
    </row>
    <row r="139" ht="23.25" customHeight="1">
      <c r="A139" s="367"/>
      <c r="B139" s="367"/>
      <c r="C139" s="367"/>
      <c r="D139" s="367"/>
      <c r="E139" s="367"/>
      <c r="F139" s="367"/>
      <c r="G139" s="367"/>
      <c r="H139" s="367"/>
      <c r="I139" s="367"/>
      <c r="J139" s="367"/>
      <c r="K139" s="367"/>
      <c r="L139" s="367"/>
      <c r="M139" s="367"/>
      <c r="N139" s="367"/>
      <c r="O139" s="367"/>
      <c r="P139" s="367"/>
      <c r="Q139" s="367"/>
      <c r="R139" s="367"/>
      <c r="S139" s="367"/>
      <c r="T139" s="367"/>
      <c r="U139" s="367"/>
      <c r="V139" s="367"/>
      <c r="W139" s="367"/>
      <c r="X139" s="367"/>
      <c r="Y139" s="367"/>
      <c r="Z139" s="367"/>
      <c r="AA139" s="367"/>
      <c r="AB139" s="367"/>
      <c r="AC139" s="367"/>
      <c r="AD139" s="367"/>
    </row>
    <row r="140" ht="23.25" customHeight="1">
      <c r="A140" s="367"/>
      <c r="B140" s="367"/>
      <c r="C140" s="367"/>
      <c r="D140" s="367"/>
      <c r="E140" s="367"/>
      <c r="F140" s="367"/>
      <c r="G140" s="367"/>
      <c r="H140" s="367"/>
      <c r="I140" s="367"/>
      <c r="J140" s="367"/>
      <c r="K140" s="367"/>
      <c r="L140" s="367"/>
      <c r="M140" s="367"/>
      <c r="N140" s="367"/>
      <c r="O140" s="367"/>
      <c r="P140" s="367"/>
      <c r="Q140" s="367"/>
      <c r="R140" s="367"/>
      <c r="S140" s="367"/>
      <c r="T140" s="367"/>
      <c r="U140" s="367"/>
      <c r="V140" s="367"/>
      <c r="W140" s="367"/>
      <c r="X140" s="367"/>
      <c r="Y140" s="367"/>
      <c r="Z140" s="367"/>
      <c r="AA140" s="367"/>
      <c r="AB140" s="367"/>
      <c r="AC140" s="367"/>
      <c r="AD140" s="367"/>
    </row>
    <row r="141" ht="23.25" customHeight="1">
      <c r="A141" s="367"/>
      <c r="B141" s="367"/>
      <c r="C141" s="367"/>
      <c r="D141" s="367"/>
      <c r="E141" s="367"/>
      <c r="F141" s="367"/>
      <c r="G141" s="367"/>
      <c r="H141" s="367"/>
      <c r="I141" s="367"/>
      <c r="J141" s="367"/>
      <c r="K141" s="367"/>
      <c r="L141" s="367"/>
      <c r="M141" s="367"/>
      <c r="N141" s="367"/>
      <c r="O141" s="367"/>
      <c r="P141" s="367"/>
      <c r="Q141" s="367"/>
      <c r="R141" s="367"/>
      <c r="S141" s="367"/>
      <c r="T141" s="367"/>
      <c r="U141" s="367"/>
      <c r="V141" s="367"/>
      <c r="W141" s="367"/>
      <c r="X141" s="367"/>
      <c r="Y141" s="367"/>
      <c r="Z141" s="367"/>
      <c r="AA141" s="367"/>
      <c r="AB141" s="367"/>
      <c r="AC141" s="367"/>
      <c r="AD141" s="367"/>
    </row>
    <row r="142" ht="23.25" customHeight="1">
      <c r="A142" s="367"/>
      <c r="B142" s="367"/>
      <c r="C142" s="367"/>
      <c r="D142" s="367"/>
      <c r="E142" s="367"/>
      <c r="F142" s="367"/>
      <c r="G142" s="367"/>
      <c r="H142" s="367"/>
      <c r="I142" s="367"/>
      <c r="J142" s="367"/>
      <c r="K142" s="367"/>
      <c r="L142" s="367"/>
      <c r="M142" s="367"/>
      <c r="N142" s="367"/>
      <c r="O142" s="367"/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</row>
    <row r="143" ht="23.25" customHeight="1">
      <c r="A143" s="367"/>
      <c r="B143" s="367"/>
      <c r="C143" s="367"/>
      <c r="D143" s="367"/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367"/>
      <c r="Q143" s="367"/>
      <c r="R143" s="367"/>
      <c r="S143" s="367"/>
      <c r="T143" s="367"/>
      <c r="U143" s="367"/>
      <c r="V143" s="367"/>
      <c r="W143" s="367"/>
      <c r="X143" s="367"/>
      <c r="Y143" s="367"/>
      <c r="Z143" s="367"/>
      <c r="AA143" s="367"/>
      <c r="AB143" s="367"/>
      <c r="AC143" s="367"/>
      <c r="AD143" s="367"/>
    </row>
    <row r="144" ht="23.25" customHeight="1">
      <c r="A144" s="367"/>
      <c r="B144" s="367"/>
      <c r="C144" s="367"/>
      <c r="D144" s="367"/>
      <c r="E144" s="367"/>
      <c r="F144" s="367"/>
      <c r="G144" s="367"/>
      <c r="H144" s="367"/>
      <c r="I144" s="367"/>
      <c r="J144" s="367"/>
      <c r="K144" s="367"/>
      <c r="L144" s="367"/>
      <c r="M144" s="367"/>
      <c r="N144" s="367"/>
      <c r="O144" s="367"/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</row>
    <row r="145" ht="23.25" customHeight="1">
      <c r="A145" s="367"/>
      <c r="B145" s="367"/>
      <c r="C145" s="367"/>
      <c r="D145" s="367"/>
      <c r="E145" s="367"/>
      <c r="F145" s="367"/>
      <c r="G145" s="367"/>
      <c r="H145" s="367"/>
      <c r="I145" s="367"/>
      <c r="J145" s="367"/>
      <c r="K145" s="367"/>
      <c r="L145" s="367"/>
      <c r="M145" s="367"/>
      <c r="N145" s="367"/>
      <c r="O145" s="367"/>
      <c r="P145" s="367"/>
      <c r="Q145" s="367"/>
      <c r="R145" s="367"/>
      <c r="S145" s="367"/>
      <c r="T145" s="367"/>
      <c r="U145" s="367"/>
      <c r="V145" s="367"/>
      <c r="W145" s="367"/>
      <c r="X145" s="367"/>
      <c r="Y145" s="367"/>
      <c r="Z145" s="367"/>
      <c r="AA145" s="367"/>
      <c r="AB145" s="367"/>
      <c r="AC145" s="367"/>
      <c r="AD145" s="367"/>
    </row>
    <row r="146" ht="23.25" customHeight="1">
      <c r="A146" s="367"/>
      <c r="B146" s="367"/>
      <c r="C146" s="367"/>
      <c r="D146" s="367"/>
      <c r="E146" s="367"/>
      <c r="F146" s="367"/>
      <c r="G146" s="367"/>
      <c r="H146" s="367"/>
      <c r="I146" s="367"/>
      <c r="J146" s="367"/>
      <c r="K146" s="367"/>
      <c r="L146" s="367"/>
      <c r="M146" s="367"/>
      <c r="N146" s="367"/>
      <c r="O146" s="367"/>
      <c r="P146" s="367"/>
      <c r="Q146" s="367"/>
      <c r="R146" s="367"/>
      <c r="S146" s="367"/>
      <c r="T146" s="367"/>
      <c r="U146" s="367"/>
      <c r="V146" s="367"/>
      <c r="W146" s="367"/>
      <c r="X146" s="367"/>
      <c r="Y146" s="367"/>
      <c r="Z146" s="367"/>
      <c r="AA146" s="367"/>
      <c r="AB146" s="367"/>
      <c r="AC146" s="367"/>
      <c r="AD146" s="367"/>
    </row>
    <row r="147" ht="23.25" customHeight="1">
      <c r="A147" s="367"/>
      <c r="B147" s="367"/>
      <c r="C147" s="367"/>
      <c r="D147" s="367"/>
      <c r="E147" s="367"/>
      <c r="F147" s="367"/>
      <c r="G147" s="367"/>
      <c r="H147" s="367"/>
      <c r="I147" s="367"/>
      <c r="J147" s="367"/>
      <c r="K147" s="367"/>
      <c r="L147" s="367"/>
      <c r="M147" s="367"/>
      <c r="N147" s="367"/>
      <c r="O147" s="367"/>
      <c r="P147" s="367"/>
      <c r="Q147" s="367"/>
      <c r="R147" s="367"/>
      <c r="S147" s="367"/>
      <c r="T147" s="367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</row>
    <row r="148" ht="23.25" customHeight="1">
      <c r="A148" s="367"/>
      <c r="B148" s="367"/>
      <c r="C148" s="367"/>
      <c r="D148" s="367"/>
      <c r="E148" s="367"/>
      <c r="F148" s="367"/>
      <c r="G148" s="367"/>
      <c r="H148" s="367"/>
      <c r="I148" s="367"/>
      <c r="J148" s="367"/>
      <c r="K148" s="367"/>
      <c r="L148" s="367"/>
      <c r="M148" s="367"/>
      <c r="N148" s="367"/>
      <c r="O148" s="367"/>
      <c r="P148" s="367"/>
      <c r="Q148" s="367"/>
      <c r="R148" s="367"/>
      <c r="S148" s="367"/>
      <c r="T148" s="367"/>
      <c r="U148" s="367"/>
      <c r="V148" s="367"/>
      <c r="W148" s="367"/>
      <c r="X148" s="367"/>
      <c r="Y148" s="367"/>
      <c r="Z148" s="367"/>
      <c r="AA148" s="367"/>
      <c r="AB148" s="367"/>
      <c r="AC148" s="367"/>
      <c r="AD148" s="367"/>
    </row>
    <row r="149" ht="23.25" customHeight="1">
      <c r="A149" s="367"/>
      <c r="B149" s="367"/>
      <c r="C149" s="367"/>
      <c r="D149" s="367"/>
      <c r="E149" s="367"/>
      <c r="F149" s="367"/>
      <c r="G149" s="367"/>
      <c r="H149" s="367"/>
      <c r="I149" s="367"/>
      <c r="J149" s="367"/>
      <c r="K149" s="367"/>
      <c r="L149" s="367"/>
      <c r="M149" s="367"/>
      <c r="N149" s="367"/>
      <c r="O149" s="367"/>
      <c r="P149" s="367"/>
      <c r="Q149" s="367"/>
      <c r="R149" s="367"/>
      <c r="S149" s="367"/>
      <c r="T149" s="367"/>
      <c r="U149" s="367"/>
      <c r="V149" s="367"/>
      <c r="W149" s="367"/>
      <c r="X149" s="367"/>
      <c r="Y149" s="367"/>
      <c r="Z149" s="367"/>
      <c r="AA149" s="367"/>
      <c r="AB149" s="367"/>
      <c r="AC149" s="367"/>
      <c r="AD149" s="367"/>
    </row>
    <row r="150" ht="23.25" customHeight="1">
      <c r="A150" s="367"/>
      <c r="B150" s="367"/>
      <c r="C150" s="367"/>
      <c r="D150" s="367"/>
      <c r="E150" s="367"/>
      <c r="F150" s="367"/>
      <c r="G150" s="367"/>
      <c r="H150" s="367"/>
      <c r="I150" s="367"/>
      <c r="J150" s="367"/>
      <c r="K150" s="367"/>
      <c r="L150" s="367"/>
      <c r="M150" s="367"/>
      <c r="N150" s="367"/>
      <c r="O150" s="367"/>
      <c r="P150" s="367"/>
      <c r="Q150" s="367"/>
      <c r="R150" s="367"/>
      <c r="S150" s="367"/>
      <c r="T150" s="367"/>
      <c r="U150" s="367"/>
      <c r="V150" s="367"/>
      <c r="W150" s="367"/>
      <c r="X150" s="367"/>
      <c r="Y150" s="367"/>
      <c r="Z150" s="367"/>
      <c r="AA150" s="367"/>
      <c r="AB150" s="367"/>
      <c r="AC150" s="367"/>
      <c r="AD150" s="367"/>
    </row>
    <row r="151" ht="23.25" customHeight="1">
      <c r="A151" s="367"/>
      <c r="B151" s="367"/>
      <c r="C151" s="367"/>
      <c r="D151" s="367"/>
      <c r="E151" s="367"/>
      <c r="F151" s="367"/>
      <c r="G151" s="367"/>
      <c r="H151" s="367"/>
      <c r="I151" s="367"/>
      <c r="J151" s="367"/>
      <c r="K151" s="367"/>
      <c r="L151" s="367"/>
      <c r="M151" s="367"/>
      <c r="N151" s="367"/>
      <c r="O151" s="367"/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</row>
    <row r="152" ht="23.25" customHeight="1">
      <c r="A152" s="367"/>
      <c r="B152" s="367"/>
      <c r="C152" s="367"/>
      <c r="D152" s="367"/>
      <c r="E152" s="367"/>
      <c r="F152" s="367"/>
      <c r="G152" s="367"/>
      <c r="H152" s="367"/>
      <c r="I152" s="367"/>
      <c r="J152" s="367"/>
      <c r="K152" s="367"/>
      <c r="L152" s="367"/>
      <c r="M152" s="367"/>
      <c r="N152" s="367"/>
      <c r="O152" s="367"/>
      <c r="P152" s="367"/>
      <c r="Q152" s="367"/>
      <c r="R152" s="367"/>
      <c r="S152" s="367"/>
      <c r="T152" s="367"/>
      <c r="U152" s="367"/>
      <c r="V152" s="367"/>
      <c r="W152" s="367"/>
      <c r="X152" s="367"/>
      <c r="Y152" s="367"/>
      <c r="Z152" s="367"/>
      <c r="AA152" s="367"/>
      <c r="AB152" s="367"/>
      <c r="AC152" s="367"/>
      <c r="AD152" s="367"/>
    </row>
    <row r="153" ht="23.25" customHeight="1">
      <c r="A153" s="367"/>
      <c r="B153" s="367"/>
      <c r="C153" s="367"/>
      <c r="D153" s="367"/>
      <c r="E153" s="367"/>
      <c r="F153" s="367"/>
      <c r="G153" s="367"/>
      <c r="H153" s="367"/>
      <c r="I153" s="367"/>
      <c r="J153" s="367"/>
      <c r="K153" s="367"/>
      <c r="L153" s="367"/>
      <c r="M153" s="367"/>
      <c r="N153" s="367"/>
      <c r="O153" s="367"/>
      <c r="P153" s="367"/>
      <c r="Q153" s="367"/>
      <c r="R153" s="367"/>
      <c r="S153" s="367"/>
      <c r="T153" s="367"/>
      <c r="U153" s="367"/>
      <c r="V153" s="367"/>
      <c r="W153" s="367"/>
      <c r="X153" s="367"/>
      <c r="Y153" s="367"/>
      <c r="Z153" s="367"/>
      <c r="AA153" s="367"/>
      <c r="AB153" s="367"/>
      <c r="AC153" s="367"/>
      <c r="AD153" s="367"/>
    </row>
    <row r="154" ht="23.25" customHeight="1">
      <c r="A154" s="367"/>
      <c r="B154" s="367"/>
      <c r="C154" s="367"/>
      <c r="D154" s="367"/>
      <c r="E154" s="367"/>
      <c r="F154" s="367"/>
      <c r="G154" s="367"/>
      <c r="H154" s="367"/>
      <c r="I154" s="367"/>
      <c r="J154" s="367"/>
      <c r="K154" s="367"/>
      <c r="L154" s="367"/>
      <c r="M154" s="367"/>
      <c r="N154" s="367"/>
      <c r="O154" s="367"/>
      <c r="P154" s="367"/>
      <c r="Q154" s="367"/>
      <c r="R154" s="367"/>
      <c r="S154" s="367"/>
      <c r="T154" s="367"/>
      <c r="U154" s="367"/>
      <c r="V154" s="367"/>
      <c r="W154" s="367"/>
      <c r="X154" s="367"/>
      <c r="Y154" s="367"/>
      <c r="Z154" s="367"/>
      <c r="AA154" s="367"/>
      <c r="AB154" s="367"/>
      <c r="AC154" s="367"/>
      <c r="AD154" s="367"/>
    </row>
    <row r="155" ht="23.25" customHeight="1">
      <c r="A155" s="367"/>
      <c r="B155" s="367"/>
      <c r="C155" s="367"/>
      <c r="D155" s="367"/>
      <c r="E155" s="367"/>
      <c r="F155" s="367"/>
      <c r="G155" s="367"/>
      <c r="H155" s="367"/>
      <c r="I155" s="367"/>
      <c r="J155" s="367"/>
      <c r="K155" s="367"/>
      <c r="L155" s="367"/>
      <c r="M155" s="367"/>
      <c r="N155" s="367"/>
      <c r="O155" s="367"/>
      <c r="P155" s="367"/>
      <c r="Q155" s="367"/>
      <c r="R155" s="367"/>
      <c r="S155" s="367"/>
      <c r="T155" s="367"/>
      <c r="U155" s="367"/>
      <c r="V155" s="367"/>
      <c r="W155" s="367"/>
      <c r="X155" s="367"/>
      <c r="Y155" s="367"/>
      <c r="Z155" s="367"/>
      <c r="AA155" s="367"/>
      <c r="AB155" s="367"/>
      <c r="AC155" s="367"/>
      <c r="AD155" s="367"/>
    </row>
    <row r="156" ht="23.25" customHeight="1">
      <c r="A156" s="367"/>
      <c r="B156" s="367"/>
      <c r="C156" s="367"/>
      <c r="D156" s="367"/>
      <c r="E156" s="367"/>
      <c r="F156" s="367"/>
      <c r="G156" s="367"/>
      <c r="H156" s="367"/>
      <c r="I156" s="367"/>
      <c r="J156" s="367"/>
      <c r="K156" s="367"/>
      <c r="L156" s="367"/>
      <c r="M156" s="367"/>
      <c r="N156" s="367"/>
      <c r="O156" s="367"/>
      <c r="P156" s="367"/>
      <c r="Q156" s="367"/>
      <c r="R156" s="367"/>
      <c r="S156" s="367"/>
      <c r="T156" s="367"/>
      <c r="U156" s="367"/>
      <c r="V156" s="367"/>
      <c r="W156" s="367"/>
      <c r="X156" s="367"/>
      <c r="Y156" s="367"/>
      <c r="Z156" s="367"/>
      <c r="AA156" s="367"/>
      <c r="AB156" s="367"/>
      <c r="AC156" s="367"/>
      <c r="AD156" s="367"/>
    </row>
    <row r="157" ht="23.25" customHeight="1">
      <c r="A157" s="367"/>
      <c r="B157" s="367"/>
      <c r="C157" s="367"/>
      <c r="D157" s="367"/>
      <c r="E157" s="367"/>
      <c r="F157" s="367"/>
      <c r="G157" s="367"/>
      <c r="H157" s="367"/>
      <c r="I157" s="367"/>
      <c r="J157" s="367"/>
      <c r="K157" s="367"/>
      <c r="L157" s="367"/>
      <c r="M157" s="367"/>
      <c r="N157" s="367"/>
      <c r="O157" s="367"/>
      <c r="P157" s="367"/>
      <c r="Q157" s="367"/>
      <c r="R157" s="367"/>
      <c r="S157" s="367"/>
      <c r="T157" s="367"/>
      <c r="U157" s="367"/>
      <c r="V157" s="367"/>
      <c r="W157" s="367"/>
      <c r="X157" s="367"/>
      <c r="Y157" s="367"/>
      <c r="Z157" s="367"/>
      <c r="AA157" s="367"/>
      <c r="AB157" s="367"/>
      <c r="AC157" s="367"/>
      <c r="AD157" s="367"/>
    </row>
    <row r="158" ht="23.25" customHeight="1">
      <c r="A158" s="367"/>
      <c r="B158" s="367"/>
      <c r="C158" s="367"/>
      <c r="D158" s="367"/>
      <c r="E158" s="367"/>
      <c r="F158" s="367"/>
      <c r="G158" s="367"/>
      <c r="H158" s="367"/>
      <c r="I158" s="367"/>
      <c r="J158" s="367"/>
      <c r="K158" s="367"/>
      <c r="L158" s="367"/>
      <c r="M158" s="367"/>
      <c r="N158" s="367"/>
      <c r="O158" s="367"/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</row>
    <row r="159" ht="23.25" customHeight="1">
      <c r="A159" s="367"/>
      <c r="B159" s="367"/>
      <c r="C159" s="367"/>
      <c r="D159" s="367"/>
      <c r="E159" s="367"/>
      <c r="F159" s="367"/>
      <c r="G159" s="367"/>
      <c r="H159" s="367"/>
      <c r="I159" s="367"/>
      <c r="J159" s="367"/>
      <c r="K159" s="367"/>
      <c r="L159" s="367"/>
      <c r="M159" s="367"/>
      <c r="N159" s="367"/>
      <c r="O159" s="367"/>
      <c r="P159" s="367"/>
      <c r="Q159" s="367"/>
      <c r="R159" s="367"/>
      <c r="S159" s="367"/>
      <c r="T159" s="367"/>
      <c r="U159" s="367"/>
      <c r="V159" s="367"/>
      <c r="W159" s="367"/>
      <c r="X159" s="367"/>
      <c r="Y159" s="367"/>
      <c r="Z159" s="367"/>
      <c r="AA159" s="367"/>
      <c r="AB159" s="367"/>
      <c r="AC159" s="367"/>
      <c r="AD159" s="367"/>
    </row>
    <row r="160" ht="23.25" customHeight="1">
      <c r="A160" s="367"/>
      <c r="B160" s="367"/>
      <c r="C160" s="367"/>
      <c r="D160" s="367"/>
      <c r="E160" s="367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</row>
    <row r="161" ht="23.25" customHeight="1">
      <c r="A161" s="367"/>
      <c r="B161" s="367"/>
      <c r="C161" s="367"/>
      <c r="D161" s="367"/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7"/>
      <c r="P161" s="367"/>
      <c r="Q161" s="367"/>
      <c r="R161" s="367"/>
      <c r="S161" s="367"/>
      <c r="T161" s="367"/>
      <c r="U161" s="367"/>
      <c r="V161" s="367"/>
      <c r="W161" s="367"/>
      <c r="X161" s="367"/>
      <c r="Y161" s="367"/>
      <c r="Z161" s="367"/>
      <c r="AA161" s="367"/>
      <c r="AB161" s="367"/>
      <c r="AC161" s="367"/>
      <c r="AD161" s="367"/>
    </row>
    <row r="162" ht="23.25" customHeight="1">
      <c r="A162" s="367"/>
      <c r="B162" s="367"/>
      <c r="C162" s="367"/>
      <c r="D162" s="367"/>
      <c r="E162" s="367"/>
      <c r="F162" s="367"/>
      <c r="G162" s="367"/>
      <c r="H162" s="367"/>
      <c r="I162" s="367"/>
      <c r="J162" s="367"/>
      <c r="K162" s="367"/>
      <c r="L162" s="367"/>
      <c r="M162" s="367"/>
      <c r="N162" s="367"/>
      <c r="O162" s="367"/>
      <c r="P162" s="367"/>
      <c r="Q162" s="367"/>
      <c r="R162" s="367"/>
      <c r="S162" s="367"/>
      <c r="T162" s="367"/>
      <c r="U162" s="367"/>
      <c r="V162" s="367"/>
      <c r="W162" s="367"/>
      <c r="X162" s="367"/>
      <c r="Y162" s="367"/>
      <c r="Z162" s="367"/>
      <c r="AA162" s="367"/>
      <c r="AB162" s="367"/>
      <c r="AC162" s="367"/>
      <c r="AD162" s="367"/>
    </row>
    <row r="163" ht="23.25" customHeight="1">
      <c r="A163" s="367"/>
      <c r="B163" s="367"/>
      <c r="C163" s="367"/>
      <c r="D163" s="367"/>
      <c r="E163" s="367"/>
      <c r="F163" s="367"/>
      <c r="G163" s="367"/>
      <c r="H163" s="367"/>
      <c r="I163" s="367"/>
      <c r="J163" s="367"/>
      <c r="K163" s="367"/>
      <c r="L163" s="367"/>
      <c r="M163" s="367"/>
      <c r="N163" s="367"/>
      <c r="O163" s="367"/>
      <c r="P163" s="367"/>
      <c r="Q163" s="367"/>
      <c r="R163" s="367"/>
      <c r="S163" s="367"/>
      <c r="T163" s="367"/>
      <c r="U163" s="367"/>
      <c r="V163" s="367"/>
      <c r="W163" s="367"/>
      <c r="X163" s="367"/>
      <c r="Y163" s="367"/>
      <c r="Z163" s="367"/>
      <c r="AA163" s="367"/>
      <c r="AB163" s="367"/>
      <c r="AC163" s="367"/>
      <c r="AD163" s="367"/>
    </row>
    <row r="164" ht="23.25" customHeight="1">
      <c r="A164" s="367"/>
      <c r="B164" s="367"/>
      <c r="C164" s="367"/>
      <c r="D164" s="367"/>
      <c r="E164" s="367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67"/>
      <c r="T164" s="367"/>
      <c r="U164" s="367"/>
      <c r="V164" s="367"/>
      <c r="W164" s="367"/>
      <c r="X164" s="367"/>
      <c r="Y164" s="367"/>
      <c r="Z164" s="367"/>
      <c r="AA164" s="367"/>
      <c r="AB164" s="367"/>
      <c r="AC164" s="367"/>
      <c r="AD164" s="367"/>
    </row>
    <row r="165" ht="23.25" customHeight="1">
      <c r="A165" s="367"/>
      <c r="B165" s="367"/>
      <c r="C165" s="367"/>
      <c r="D165" s="367"/>
      <c r="E165" s="367"/>
      <c r="F165" s="367"/>
      <c r="G165" s="367"/>
      <c r="H165" s="367"/>
      <c r="I165" s="367"/>
      <c r="J165" s="367"/>
      <c r="K165" s="367"/>
      <c r="L165" s="367"/>
      <c r="M165" s="367"/>
      <c r="N165" s="367"/>
      <c r="O165" s="367"/>
      <c r="P165" s="367"/>
      <c r="Q165" s="367"/>
      <c r="R165" s="367"/>
      <c r="S165" s="367"/>
      <c r="T165" s="367"/>
      <c r="U165" s="367"/>
      <c r="V165" s="367"/>
      <c r="W165" s="367"/>
      <c r="X165" s="367"/>
      <c r="Y165" s="367"/>
      <c r="Z165" s="367"/>
      <c r="AA165" s="367"/>
      <c r="AB165" s="367"/>
      <c r="AC165" s="367"/>
      <c r="AD165" s="367"/>
    </row>
    <row r="166" ht="23.25" customHeight="1">
      <c r="A166" s="367"/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7"/>
      <c r="O166" s="367"/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</row>
    <row r="167" ht="23.25" customHeight="1">
      <c r="A167" s="367"/>
      <c r="B167" s="367"/>
      <c r="C167" s="367"/>
      <c r="D167" s="367"/>
      <c r="E167" s="367"/>
      <c r="F167" s="367"/>
      <c r="G167" s="367"/>
      <c r="H167" s="367"/>
      <c r="I167" s="367"/>
      <c r="J167" s="367"/>
      <c r="K167" s="367"/>
      <c r="L167" s="367"/>
      <c r="M167" s="367"/>
      <c r="N167" s="367"/>
      <c r="O167" s="367"/>
      <c r="P167" s="367"/>
      <c r="Q167" s="367"/>
      <c r="R167" s="367"/>
      <c r="S167" s="367"/>
      <c r="T167" s="367"/>
      <c r="U167" s="367"/>
      <c r="V167" s="367"/>
      <c r="W167" s="367"/>
      <c r="X167" s="367"/>
      <c r="Y167" s="367"/>
      <c r="Z167" s="367"/>
      <c r="AA167" s="367"/>
      <c r="AB167" s="367"/>
      <c r="AC167" s="367"/>
      <c r="AD167" s="367"/>
    </row>
    <row r="168" ht="23.25" customHeight="1">
      <c r="A168" s="367"/>
      <c r="B168" s="367"/>
      <c r="C168" s="367"/>
      <c r="D168" s="367"/>
      <c r="E168" s="367"/>
      <c r="F168" s="367"/>
      <c r="G168" s="367"/>
      <c r="H168" s="367"/>
      <c r="I168" s="367"/>
      <c r="J168" s="367"/>
      <c r="K168" s="367"/>
      <c r="L168" s="367"/>
      <c r="M168" s="367"/>
      <c r="N168" s="367"/>
      <c r="O168" s="367"/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</row>
    <row r="169" ht="23.25" customHeight="1">
      <c r="A169" s="367"/>
      <c r="B169" s="367"/>
      <c r="C169" s="3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7"/>
      <c r="T169" s="367"/>
      <c r="U169" s="367"/>
      <c r="V169" s="367"/>
      <c r="W169" s="367"/>
      <c r="X169" s="367"/>
      <c r="Y169" s="367"/>
      <c r="Z169" s="367"/>
      <c r="AA169" s="367"/>
      <c r="AB169" s="367"/>
      <c r="AC169" s="367"/>
      <c r="AD169" s="367"/>
    </row>
    <row r="170" ht="23.25" customHeight="1">
      <c r="A170" s="367"/>
      <c r="B170" s="367"/>
      <c r="C170" s="367"/>
      <c r="D170" s="367"/>
      <c r="E170" s="367"/>
      <c r="F170" s="367"/>
      <c r="G170" s="367"/>
      <c r="H170" s="367"/>
      <c r="I170" s="367"/>
      <c r="J170" s="367"/>
      <c r="K170" s="367"/>
      <c r="L170" s="367"/>
      <c r="M170" s="367"/>
      <c r="N170" s="367"/>
      <c r="O170" s="367"/>
      <c r="P170" s="367"/>
      <c r="Q170" s="367"/>
      <c r="R170" s="367"/>
      <c r="S170" s="367"/>
      <c r="T170" s="367"/>
      <c r="U170" s="367"/>
      <c r="V170" s="367"/>
      <c r="W170" s="367"/>
      <c r="X170" s="367"/>
      <c r="Y170" s="367"/>
      <c r="Z170" s="367"/>
      <c r="AA170" s="367"/>
      <c r="AB170" s="367"/>
      <c r="AC170" s="367"/>
      <c r="AD170" s="367"/>
    </row>
    <row r="171" ht="23.25" customHeight="1">
      <c r="A171" s="367"/>
      <c r="B171" s="367"/>
      <c r="C171" s="367"/>
      <c r="D171" s="367"/>
      <c r="E171" s="367"/>
      <c r="F171" s="367"/>
      <c r="G171" s="367"/>
      <c r="H171" s="367"/>
      <c r="I171" s="367"/>
      <c r="J171" s="367"/>
      <c r="K171" s="367"/>
      <c r="L171" s="367"/>
      <c r="M171" s="367"/>
      <c r="N171" s="367"/>
      <c r="O171" s="367"/>
      <c r="P171" s="367"/>
      <c r="Q171" s="367"/>
      <c r="R171" s="367"/>
      <c r="S171" s="367"/>
      <c r="T171" s="367"/>
      <c r="U171" s="367"/>
      <c r="V171" s="367"/>
      <c r="W171" s="367"/>
      <c r="X171" s="367"/>
      <c r="Y171" s="367"/>
      <c r="Z171" s="367"/>
      <c r="AA171" s="367"/>
      <c r="AB171" s="367"/>
      <c r="AC171" s="367"/>
      <c r="AD171" s="367"/>
    </row>
    <row r="172" ht="23.25" customHeight="1">
      <c r="A172" s="367"/>
      <c r="B172" s="367"/>
      <c r="C172" s="367"/>
      <c r="D172" s="367"/>
      <c r="E172" s="367"/>
      <c r="F172" s="367"/>
      <c r="G172" s="367"/>
      <c r="H172" s="367"/>
      <c r="I172" s="367"/>
      <c r="J172" s="367"/>
      <c r="K172" s="367"/>
      <c r="L172" s="367"/>
      <c r="M172" s="367"/>
      <c r="N172" s="367"/>
      <c r="O172" s="367"/>
      <c r="P172" s="367"/>
      <c r="Q172" s="367"/>
      <c r="R172" s="367"/>
      <c r="S172" s="367"/>
      <c r="T172" s="367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</row>
    <row r="173" ht="23.25" customHeight="1">
      <c r="A173" s="367"/>
      <c r="B173" s="367"/>
      <c r="C173" s="367"/>
      <c r="D173" s="367"/>
      <c r="E173" s="367"/>
      <c r="F173" s="367"/>
      <c r="G173" s="367"/>
      <c r="H173" s="367"/>
      <c r="I173" s="367"/>
      <c r="J173" s="367"/>
      <c r="K173" s="367"/>
      <c r="L173" s="367"/>
      <c r="M173" s="367"/>
      <c r="N173" s="367"/>
      <c r="O173" s="367"/>
      <c r="P173" s="367"/>
      <c r="Q173" s="367"/>
      <c r="R173" s="367"/>
      <c r="S173" s="367"/>
      <c r="T173" s="367"/>
      <c r="U173" s="367"/>
      <c r="V173" s="367"/>
      <c r="W173" s="367"/>
      <c r="X173" s="367"/>
      <c r="Y173" s="367"/>
      <c r="Z173" s="367"/>
      <c r="AA173" s="367"/>
      <c r="AB173" s="367"/>
      <c r="AC173" s="367"/>
      <c r="AD173" s="367"/>
    </row>
    <row r="174" ht="23.25" customHeight="1">
      <c r="A174" s="367"/>
      <c r="B174" s="367"/>
      <c r="C174" s="367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7"/>
      <c r="T174" s="367"/>
      <c r="U174" s="367"/>
      <c r="V174" s="367"/>
      <c r="W174" s="367"/>
      <c r="X174" s="367"/>
      <c r="Y174" s="367"/>
      <c r="Z174" s="367"/>
      <c r="AA174" s="367"/>
      <c r="AB174" s="367"/>
      <c r="AC174" s="367"/>
      <c r="AD174" s="367"/>
    </row>
    <row r="175" ht="23.25" customHeight="1">
      <c r="A175" s="367"/>
      <c r="B175" s="367"/>
      <c r="C175" s="367"/>
      <c r="D175" s="367"/>
      <c r="E175" s="367"/>
      <c r="F175" s="367"/>
      <c r="G175" s="367"/>
      <c r="H175" s="367"/>
      <c r="I175" s="367"/>
      <c r="J175" s="367"/>
      <c r="K175" s="367"/>
      <c r="L175" s="367"/>
      <c r="M175" s="367"/>
      <c r="N175" s="367"/>
      <c r="O175" s="367"/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</row>
    <row r="176" ht="23.25" customHeight="1">
      <c r="A176" s="367"/>
      <c r="B176" s="367"/>
      <c r="C176" s="367"/>
      <c r="D176" s="367"/>
      <c r="E176" s="367"/>
      <c r="F176" s="367"/>
      <c r="G176" s="367"/>
      <c r="H176" s="367"/>
      <c r="I176" s="367"/>
      <c r="J176" s="367"/>
      <c r="K176" s="367"/>
      <c r="L176" s="367"/>
      <c r="M176" s="367"/>
      <c r="N176" s="367"/>
      <c r="O176" s="367"/>
      <c r="P176" s="367"/>
      <c r="Q176" s="367"/>
      <c r="R176" s="367"/>
      <c r="S176" s="367"/>
      <c r="T176" s="367"/>
      <c r="U176" s="367"/>
      <c r="V176" s="367"/>
      <c r="W176" s="367"/>
      <c r="X176" s="367"/>
      <c r="Y176" s="367"/>
      <c r="Z176" s="367"/>
      <c r="AA176" s="367"/>
      <c r="AB176" s="367"/>
      <c r="AC176" s="367"/>
      <c r="AD176" s="367"/>
    </row>
    <row r="177" ht="23.25" customHeight="1">
      <c r="A177" s="367"/>
      <c r="B177" s="367"/>
      <c r="C177" s="3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</row>
    <row r="178" ht="23.25" customHeight="1">
      <c r="A178" s="367"/>
      <c r="B178" s="367"/>
      <c r="C178" s="367"/>
      <c r="D178" s="367"/>
      <c r="E178" s="367"/>
      <c r="F178" s="367"/>
      <c r="G178" s="367"/>
      <c r="H178" s="367"/>
      <c r="I178" s="367"/>
      <c r="J178" s="367"/>
      <c r="K178" s="367"/>
      <c r="L178" s="367"/>
      <c r="M178" s="367"/>
      <c r="N178" s="367"/>
      <c r="O178" s="367"/>
      <c r="P178" s="367"/>
      <c r="Q178" s="367"/>
      <c r="R178" s="367"/>
      <c r="S178" s="367"/>
      <c r="T178" s="367"/>
      <c r="U178" s="367"/>
      <c r="V178" s="367"/>
      <c r="W178" s="367"/>
      <c r="X178" s="367"/>
      <c r="Y178" s="367"/>
      <c r="Z178" s="367"/>
      <c r="AA178" s="367"/>
      <c r="AB178" s="367"/>
      <c r="AC178" s="367"/>
      <c r="AD178" s="367"/>
    </row>
    <row r="179" ht="23.25" customHeight="1">
      <c r="A179" s="367"/>
      <c r="B179" s="367"/>
      <c r="C179" s="367"/>
      <c r="D179" s="367"/>
      <c r="E179" s="367"/>
      <c r="F179" s="367"/>
      <c r="G179" s="367"/>
      <c r="H179" s="367"/>
      <c r="I179" s="367"/>
      <c r="J179" s="367"/>
      <c r="K179" s="367"/>
      <c r="L179" s="367"/>
      <c r="M179" s="367"/>
      <c r="N179" s="367"/>
      <c r="O179" s="367"/>
      <c r="P179" s="367"/>
      <c r="Q179" s="367"/>
      <c r="R179" s="367"/>
      <c r="S179" s="367"/>
      <c r="T179" s="367"/>
      <c r="U179" s="367"/>
      <c r="V179" s="367"/>
      <c r="W179" s="367"/>
      <c r="X179" s="367"/>
      <c r="Y179" s="367"/>
      <c r="Z179" s="367"/>
      <c r="AA179" s="367"/>
      <c r="AB179" s="367"/>
      <c r="AC179" s="367"/>
      <c r="AD179" s="367"/>
    </row>
    <row r="180" ht="23.25" customHeight="1">
      <c r="A180" s="367"/>
      <c r="B180" s="367"/>
      <c r="C180" s="367"/>
      <c r="D180" s="367"/>
      <c r="E180" s="367"/>
      <c r="F180" s="367"/>
      <c r="G180" s="367"/>
      <c r="H180" s="367"/>
      <c r="I180" s="367"/>
      <c r="J180" s="367"/>
      <c r="K180" s="367"/>
      <c r="L180" s="367"/>
      <c r="M180" s="367"/>
      <c r="N180" s="367"/>
      <c r="O180" s="367"/>
      <c r="P180" s="367"/>
      <c r="Q180" s="367"/>
      <c r="R180" s="367"/>
      <c r="S180" s="367"/>
      <c r="T180" s="367"/>
      <c r="U180" s="367"/>
      <c r="V180" s="367"/>
      <c r="W180" s="367"/>
      <c r="X180" s="367"/>
      <c r="Y180" s="367"/>
      <c r="Z180" s="367"/>
      <c r="AA180" s="367"/>
      <c r="AB180" s="367"/>
      <c r="AC180" s="367"/>
      <c r="AD180" s="367"/>
    </row>
    <row r="181" ht="23.25" customHeight="1">
      <c r="A181" s="367"/>
      <c r="B181" s="367"/>
      <c r="C181" s="367"/>
      <c r="D181" s="367"/>
      <c r="E181" s="367"/>
      <c r="F181" s="367"/>
      <c r="G181" s="367"/>
      <c r="H181" s="367"/>
      <c r="I181" s="367"/>
      <c r="J181" s="367"/>
      <c r="K181" s="367"/>
      <c r="L181" s="367"/>
      <c r="M181" s="367"/>
      <c r="N181" s="367"/>
      <c r="O181" s="367"/>
      <c r="P181" s="367"/>
      <c r="Q181" s="367"/>
      <c r="R181" s="367"/>
      <c r="S181" s="367"/>
      <c r="T181" s="367"/>
      <c r="U181" s="367"/>
      <c r="V181" s="367"/>
      <c r="W181" s="367"/>
      <c r="X181" s="367"/>
      <c r="Y181" s="367"/>
      <c r="Z181" s="367"/>
      <c r="AA181" s="367"/>
      <c r="AB181" s="367"/>
      <c r="AC181" s="367"/>
      <c r="AD181" s="367"/>
    </row>
    <row r="182" ht="23.25" customHeight="1">
      <c r="A182" s="367"/>
      <c r="B182" s="367"/>
      <c r="C182" s="367"/>
      <c r="D182" s="367"/>
      <c r="E182" s="367"/>
      <c r="F182" s="367"/>
      <c r="G182" s="367"/>
      <c r="H182" s="367"/>
      <c r="I182" s="367"/>
      <c r="J182" s="367"/>
      <c r="K182" s="367"/>
      <c r="L182" s="367"/>
      <c r="M182" s="367"/>
      <c r="N182" s="367"/>
      <c r="O182" s="367"/>
      <c r="P182" s="367"/>
      <c r="Q182" s="367"/>
      <c r="R182" s="367"/>
      <c r="S182" s="367"/>
      <c r="T182" s="367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</row>
    <row r="183" ht="23.25" customHeight="1">
      <c r="A183" s="367"/>
      <c r="B183" s="367"/>
      <c r="C183" s="367"/>
      <c r="D183" s="367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</row>
    <row r="184" ht="23.25" customHeight="1">
      <c r="A184" s="367"/>
      <c r="B184" s="367"/>
      <c r="C184" s="367"/>
      <c r="D184" s="367"/>
      <c r="E184" s="367"/>
      <c r="F184" s="367"/>
      <c r="G184" s="367"/>
      <c r="H184" s="367"/>
      <c r="I184" s="367"/>
      <c r="J184" s="367"/>
      <c r="K184" s="367"/>
      <c r="L184" s="367"/>
      <c r="M184" s="367"/>
      <c r="N184" s="367"/>
      <c r="O184" s="367"/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</row>
    <row r="185" ht="23.25" customHeight="1">
      <c r="A185" s="367"/>
      <c r="B185" s="367"/>
      <c r="C185" s="367"/>
      <c r="D185" s="367"/>
      <c r="E185" s="367"/>
      <c r="F185" s="367"/>
      <c r="G185" s="367"/>
      <c r="H185" s="367"/>
      <c r="I185" s="367"/>
      <c r="J185" s="367"/>
      <c r="K185" s="367"/>
      <c r="L185" s="367"/>
      <c r="M185" s="367"/>
      <c r="N185" s="367"/>
      <c r="O185" s="367"/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</row>
    <row r="186" ht="23.25" customHeight="1">
      <c r="A186" s="367"/>
      <c r="B186" s="367"/>
      <c r="C186" s="367"/>
      <c r="D186" s="367"/>
      <c r="E186" s="367"/>
      <c r="F186" s="367"/>
      <c r="G186" s="367"/>
      <c r="H186" s="367"/>
      <c r="I186" s="367"/>
      <c r="J186" s="367"/>
      <c r="K186" s="367"/>
      <c r="L186" s="367"/>
      <c r="M186" s="367"/>
      <c r="N186" s="367"/>
      <c r="O186" s="367"/>
      <c r="P186" s="367"/>
      <c r="Q186" s="367"/>
      <c r="R186" s="367"/>
      <c r="S186" s="367"/>
      <c r="T186" s="367"/>
      <c r="U186" s="367"/>
      <c r="V186" s="367"/>
      <c r="W186" s="367"/>
      <c r="X186" s="367"/>
      <c r="Y186" s="367"/>
      <c r="Z186" s="367"/>
      <c r="AA186" s="367"/>
      <c r="AB186" s="367"/>
      <c r="AC186" s="367"/>
      <c r="AD186" s="367"/>
    </row>
    <row r="187" ht="23.25" customHeight="1">
      <c r="A187" s="367"/>
      <c r="B187" s="367"/>
      <c r="C187" s="367"/>
      <c r="D187" s="367"/>
      <c r="E187" s="367"/>
      <c r="F187" s="367"/>
      <c r="G187" s="367"/>
      <c r="H187" s="367"/>
      <c r="I187" s="367"/>
      <c r="J187" s="367"/>
      <c r="K187" s="367"/>
      <c r="L187" s="367"/>
      <c r="M187" s="367"/>
      <c r="N187" s="367"/>
      <c r="O187" s="367"/>
      <c r="P187" s="367"/>
      <c r="Q187" s="367"/>
      <c r="R187" s="367"/>
      <c r="S187" s="367"/>
      <c r="T187" s="367"/>
      <c r="U187" s="367"/>
      <c r="V187" s="367"/>
      <c r="W187" s="367"/>
      <c r="X187" s="367"/>
      <c r="Y187" s="367"/>
      <c r="Z187" s="367"/>
      <c r="AA187" s="367"/>
      <c r="AB187" s="367"/>
      <c r="AC187" s="367"/>
      <c r="AD187" s="367"/>
    </row>
    <row r="188" ht="23.25" customHeight="1">
      <c r="A188" s="367"/>
      <c r="B188" s="367"/>
      <c r="C188" s="367"/>
      <c r="D188" s="367"/>
      <c r="E188" s="367"/>
      <c r="F188" s="367"/>
      <c r="G188" s="367"/>
      <c r="H188" s="367"/>
      <c r="I188" s="367"/>
      <c r="J188" s="367"/>
      <c r="K188" s="367"/>
      <c r="L188" s="367"/>
      <c r="M188" s="367"/>
      <c r="N188" s="367"/>
      <c r="O188" s="367"/>
      <c r="P188" s="367"/>
      <c r="Q188" s="367"/>
      <c r="R188" s="367"/>
      <c r="S188" s="367"/>
      <c r="T188" s="367"/>
      <c r="U188" s="367"/>
      <c r="V188" s="367"/>
      <c r="W188" s="367"/>
      <c r="X188" s="367"/>
      <c r="Y188" s="367"/>
      <c r="Z188" s="367"/>
      <c r="AA188" s="367"/>
      <c r="AB188" s="367"/>
      <c r="AC188" s="367"/>
      <c r="AD188" s="367"/>
    </row>
    <row r="189" ht="23.25" customHeight="1">
      <c r="A189" s="367"/>
      <c r="B189" s="367"/>
      <c r="C189" s="367"/>
      <c r="D189" s="367"/>
      <c r="E189" s="367"/>
      <c r="F189" s="367"/>
      <c r="G189" s="367"/>
      <c r="H189" s="367"/>
      <c r="I189" s="367"/>
      <c r="J189" s="367"/>
      <c r="K189" s="367"/>
      <c r="L189" s="367"/>
      <c r="M189" s="367"/>
      <c r="N189" s="367"/>
      <c r="O189" s="367"/>
      <c r="P189" s="367"/>
      <c r="Q189" s="367"/>
      <c r="R189" s="367"/>
      <c r="S189" s="367"/>
      <c r="T189" s="367"/>
      <c r="U189" s="367"/>
      <c r="V189" s="367"/>
      <c r="W189" s="367"/>
      <c r="X189" s="367"/>
      <c r="Y189" s="367"/>
      <c r="Z189" s="367"/>
      <c r="AA189" s="367"/>
      <c r="AB189" s="367"/>
      <c r="AC189" s="367"/>
      <c r="AD189" s="367"/>
    </row>
    <row r="190" ht="23.25" customHeight="1">
      <c r="A190" s="367"/>
      <c r="B190" s="367"/>
      <c r="C190" s="367"/>
      <c r="D190" s="367"/>
      <c r="E190" s="367"/>
      <c r="F190" s="367"/>
      <c r="G190" s="367"/>
      <c r="H190" s="367"/>
      <c r="I190" s="367"/>
      <c r="J190" s="367"/>
      <c r="K190" s="367"/>
      <c r="L190" s="367"/>
      <c r="M190" s="367"/>
      <c r="N190" s="367"/>
      <c r="O190" s="367"/>
      <c r="P190" s="367"/>
      <c r="Q190" s="367"/>
      <c r="R190" s="367"/>
      <c r="S190" s="367"/>
      <c r="T190" s="367"/>
      <c r="U190" s="367"/>
      <c r="V190" s="367"/>
      <c r="W190" s="367"/>
      <c r="X190" s="367"/>
      <c r="Y190" s="367"/>
      <c r="Z190" s="367"/>
      <c r="AA190" s="367"/>
      <c r="AB190" s="367"/>
      <c r="AC190" s="367"/>
      <c r="AD190" s="367"/>
    </row>
    <row r="191" ht="23.25" customHeight="1">
      <c r="A191" s="367"/>
      <c r="B191" s="367"/>
      <c r="C191" s="367"/>
      <c r="D191" s="367"/>
      <c r="E191" s="367"/>
      <c r="F191" s="367"/>
      <c r="G191" s="367"/>
      <c r="H191" s="367"/>
      <c r="I191" s="367"/>
      <c r="J191" s="367"/>
      <c r="K191" s="367"/>
      <c r="L191" s="367"/>
      <c r="M191" s="367"/>
      <c r="N191" s="367"/>
      <c r="O191" s="367"/>
      <c r="P191" s="367"/>
      <c r="Q191" s="367"/>
      <c r="R191" s="367"/>
      <c r="S191" s="367"/>
      <c r="T191" s="367"/>
      <c r="U191" s="367"/>
      <c r="V191" s="367"/>
      <c r="W191" s="367"/>
      <c r="X191" s="367"/>
      <c r="Y191" s="367"/>
      <c r="Z191" s="367"/>
      <c r="AA191" s="367"/>
      <c r="AB191" s="367"/>
      <c r="AC191" s="367"/>
      <c r="AD191" s="367"/>
    </row>
    <row r="192" ht="23.25" customHeight="1">
      <c r="A192" s="367"/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</row>
    <row r="193" ht="23.25" customHeight="1">
      <c r="A193" s="367"/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</row>
    <row r="194" ht="23.25" customHeight="1">
      <c r="A194" s="367"/>
      <c r="B194" s="367"/>
      <c r="C194" s="367"/>
      <c r="D194" s="367"/>
      <c r="E194" s="367"/>
      <c r="F194" s="367"/>
      <c r="G194" s="367"/>
      <c r="H194" s="367"/>
      <c r="I194" s="367"/>
      <c r="J194" s="367"/>
      <c r="K194" s="367"/>
      <c r="L194" s="367"/>
      <c r="M194" s="367"/>
      <c r="N194" s="367"/>
      <c r="O194" s="367"/>
      <c r="P194" s="367"/>
      <c r="Q194" s="367"/>
      <c r="R194" s="367"/>
      <c r="S194" s="367"/>
      <c r="T194" s="367"/>
      <c r="U194" s="367"/>
      <c r="V194" s="367"/>
      <c r="W194" s="367"/>
      <c r="X194" s="367"/>
      <c r="Y194" s="367"/>
      <c r="Z194" s="367"/>
      <c r="AA194" s="367"/>
      <c r="AB194" s="367"/>
      <c r="AC194" s="367"/>
      <c r="AD194" s="367"/>
    </row>
    <row r="195" ht="23.25" customHeight="1">
      <c r="A195" s="367"/>
      <c r="B195" s="367"/>
      <c r="C195" s="367"/>
      <c r="D195" s="367"/>
      <c r="E195" s="367"/>
      <c r="F195" s="367"/>
      <c r="G195" s="367"/>
      <c r="H195" s="367"/>
      <c r="I195" s="367"/>
      <c r="J195" s="367"/>
      <c r="K195" s="367"/>
      <c r="L195" s="367"/>
      <c r="M195" s="367"/>
      <c r="N195" s="367"/>
      <c r="O195" s="367"/>
      <c r="P195" s="367"/>
      <c r="Q195" s="367"/>
      <c r="R195" s="367"/>
      <c r="S195" s="367"/>
      <c r="T195" s="367"/>
      <c r="U195" s="367"/>
      <c r="V195" s="367"/>
      <c r="W195" s="367"/>
      <c r="X195" s="367"/>
      <c r="Y195" s="367"/>
      <c r="Z195" s="367"/>
      <c r="AA195" s="367"/>
      <c r="AB195" s="367"/>
      <c r="AC195" s="367"/>
      <c r="AD195" s="367"/>
    </row>
    <row r="196" ht="23.25" customHeight="1">
      <c r="A196" s="367"/>
      <c r="B196" s="367"/>
      <c r="C196" s="367"/>
      <c r="D196" s="367"/>
      <c r="E196" s="367"/>
      <c r="F196" s="367"/>
      <c r="G196" s="367"/>
      <c r="H196" s="367"/>
      <c r="I196" s="367"/>
      <c r="J196" s="367"/>
      <c r="K196" s="367"/>
      <c r="L196" s="367"/>
      <c r="M196" s="367"/>
      <c r="N196" s="367"/>
      <c r="O196" s="367"/>
      <c r="P196" s="367"/>
      <c r="Q196" s="367"/>
      <c r="R196" s="367"/>
      <c r="S196" s="367"/>
      <c r="T196" s="367"/>
      <c r="U196" s="367"/>
      <c r="V196" s="367"/>
      <c r="W196" s="367"/>
      <c r="X196" s="367"/>
      <c r="Y196" s="367"/>
      <c r="Z196" s="367"/>
      <c r="AA196" s="367"/>
      <c r="AB196" s="367"/>
      <c r="AC196" s="367"/>
      <c r="AD196" s="367"/>
    </row>
    <row r="197" ht="23.25" customHeight="1">
      <c r="A197" s="367"/>
      <c r="B197" s="367"/>
      <c r="C197" s="367"/>
      <c r="D197" s="367"/>
      <c r="E197" s="367"/>
      <c r="F197" s="367"/>
      <c r="G197" s="367"/>
      <c r="H197" s="367"/>
      <c r="I197" s="367"/>
      <c r="J197" s="367"/>
      <c r="K197" s="367"/>
      <c r="L197" s="367"/>
      <c r="M197" s="367"/>
      <c r="N197" s="367"/>
      <c r="O197" s="367"/>
      <c r="P197" s="367"/>
      <c r="Q197" s="367"/>
      <c r="R197" s="367"/>
      <c r="S197" s="367"/>
      <c r="T197" s="367"/>
      <c r="U197" s="367"/>
      <c r="V197" s="367"/>
      <c r="W197" s="367"/>
      <c r="X197" s="367"/>
      <c r="Y197" s="367"/>
      <c r="Z197" s="367"/>
      <c r="AA197" s="367"/>
      <c r="AB197" s="367"/>
      <c r="AC197" s="367"/>
      <c r="AD197" s="367"/>
    </row>
    <row r="198" ht="23.25" customHeight="1">
      <c r="A198" s="367"/>
      <c r="B198" s="367"/>
      <c r="C198" s="367"/>
      <c r="D198" s="367"/>
      <c r="E198" s="367"/>
      <c r="F198" s="367"/>
      <c r="G198" s="367"/>
      <c r="H198" s="367"/>
      <c r="I198" s="367"/>
      <c r="J198" s="367"/>
      <c r="K198" s="367"/>
      <c r="L198" s="367"/>
      <c r="M198" s="367"/>
      <c r="N198" s="367"/>
      <c r="O198" s="367"/>
      <c r="P198" s="367"/>
      <c r="Q198" s="367"/>
      <c r="R198" s="367"/>
      <c r="S198" s="367"/>
      <c r="T198" s="367"/>
      <c r="U198" s="367"/>
      <c r="V198" s="367"/>
      <c r="W198" s="367"/>
      <c r="X198" s="367"/>
      <c r="Y198" s="367"/>
      <c r="Z198" s="367"/>
      <c r="AA198" s="367"/>
      <c r="AB198" s="367"/>
      <c r="AC198" s="367"/>
      <c r="AD198" s="367"/>
    </row>
    <row r="199" ht="23.25" customHeight="1">
      <c r="A199" s="367"/>
      <c r="B199" s="367"/>
      <c r="C199" s="367"/>
      <c r="D199" s="367"/>
      <c r="E199" s="367"/>
      <c r="F199" s="367"/>
      <c r="G199" s="367"/>
      <c r="H199" s="367"/>
      <c r="I199" s="367"/>
      <c r="J199" s="367"/>
      <c r="K199" s="367"/>
      <c r="L199" s="367"/>
      <c r="M199" s="367"/>
      <c r="N199" s="367"/>
      <c r="O199" s="367"/>
      <c r="P199" s="367"/>
      <c r="Q199" s="367"/>
      <c r="R199" s="367"/>
      <c r="S199" s="367"/>
      <c r="T199" s="367"/>
      <c r="U199" s="367"/>
      <c r="V199" s="367"/>
      <c r="W199" s="367"/>
      <c r="X199" s="367"/>
      <c r="Y199" s="367"/>
      <c r="Z199" s="367"/>
      <c r="AA199" s="367"/>
      <c r="AB199" s="367"/>
      <c r="AC199" s="367"/>
      <c r="AD199" s="367"/>
    </row>
    <row r="200" ht="23.25" customHeight="1">
      <c r="A200" s="367"/>
      <c r="B200" s="367"/>
      <c r="C200" s="367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</row>
    <row r="201" ht="23.25" customHeight="1">
      <c r="A201" s="367"/>
      <c r="B201" s="367"/>
      <c r="C201" s="367"/>
      <c r="D201" s="367"/>
      <c r="E201" s="367"/>
      <c r="F201" s="367"/>
      <c r="G201" s="367"/>
      <c r="H201" s="367"/>
      <c r="I201" s="367"/>
      <c r="J201" s="367"/>
      <c r="K201" s="367"/>
      <c r="L201" s="367"/>
      <c r="M201" s="367"/>
      <c r="N201" s="367"/>
      <c r="O201" s="367"/>
      <c r="P201" s="367"/>
      <c r="Q201" s="367"/>
      <c r="R201" s="367"/>
      <c r="S201" s="367"/>
      <c r="T201" s="367"/>
      <c r="U201" s="367"/>
      <c r="V201" s="367"/>
      <c r="W201" s="367"/>
      <c r="X201" s="367"/>
      <c r="Y201" s="367"/>
      <c r="Z201" s="367"/>
      <c r="AA201" s="367"/>
      <c r="AB201" s="367"/>
      <c r="AC201" s="367"/>
      <c r="AD201" s="367"/>
    </row>
    <row r="202" ht="23.25" customHeight="1">
      <c r="A202" s="367"/>
      <c r="B202" s="367"/>
      <c r="C202" s="367"/>
      <c r="D202" s="367"/>
      <c r="E202" s="367"/>
      <c r="F202" s="367"/>
      <c r="G202" s="367"/>
      <c r="H202" s="367"/>
      <c r="I202" s="367"/>
      <c r="J202" s="367"/>
      <c r="K202" s="367"/>
      <c r="L202" s="367"/>
      <c r="M202" s="367"/>
      <c r="N202" s="367"/>
      <c r="O202" s="367"/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</row>
    <row r="203" ht="23.25" customHeight="1">
      <c r="A203" s="367"/>
      <c r="B203" s="367"/>
      <c r="C203" s="367"/>
      <c r="D203" s="367"/>
      <c r="E203" s="367"/>
      <c r="F203" s="367"/>
      <c r="G203" s="367"/>
      <c r="H203" s="367"/>
      <c r="I203" s="367"/>
      <c r="J203" s="367"/>
      <c r="K203" s="367"/>
      <c r="L203" s="367"/>
      <c r="M203" s="367"/>
      <c r="N203" s="367"/>
      <c r="O203" s="367"/>
      <c r="P203" s="367"/>
      <c r="Q203" s="367"/>
      <c r="R203" s="367"/>
      <c r="S203" s="367"/>
      <c r="T203" s="367"/>
      <c r="U203" s="367"/>
      <c r="V203" s="367"/>
      <c r="W203" s="367"/>
      <c r="X203" s="367"/>
      <c r="Y203" s="367"/>
      <c r="Z203" s="367"/>
      <c r="AA203" s="367"/>
      <c r="AB203" s="367"/>
      <c r="AC203" s="367"/>
      <c r="AD203" s="367"/>
    </row>
    <row r="204" ht="23.25" customHeight="1">
      <c r="A204" s="367"/>
      <c r="B204" s="367"/>
      <c r="C204" s="367"/>
      <c r="D204" s="367"/>
      <c r="E204" s="367"/>
      <c r="F204" s="367"/>
      <c r="G204" s="367"/>
      <c r="H204" s="367"/>
      <c r="I204" s="367"/>
      <c r="J204" s="367"/>
      <c r="K204" s="367"/>
      <c r="L204" s="367"/>
      <c r="M204" s="367"/>
      <c r="N204" s="367"/>
      <c r="O204" s="367"/>
      <c r="P204" s="367"/>
      <c r="Q204" s="367"/>
      <c r="R204" s="367"/>
      <c r="S204" s="367"/>
      <c r="T204" s="367"/>
      <c r="U204" s="367"/>
      <c r="V204" s="367"/>
      <c r="W204" s="367"/>
      <c r="X204" s="367"/>
      <c r="Y204" s="367"/>
      <c r="Z204" s="367"/>
      <c r="AA204" s="367"/>
      <c r="AB204" s="367"/>
      <c r="AC204" s="367"/>
      <c r="AD204" s="367"/>
    </row>
    <row r="205" ht="23.25" customHeight="1">
      <c r="A205" s="367"/>
      <c r="B205" s="367"/>
      <c r="C205" s="367"/>
      <c r="D205" s="367"/>
      <c r="E205" s="367"/>
      <c r="F205" s="367"/>
      <c r="G205" s="367"/>
      <c r="H205" s="367"/>
      <c r="I205" s="367"/>
      <c r="J205" s="367"/>
      <c r="K205" s="367"/>
      <c r="L205" s="367"/>
      <c r="M205" s="367"/>
      <c r="N205" s="367"/>
      <c r="O205" s="367"/>
      <c r="P205" s="367"/>
      <c r="Q205" s="367"/>
      <c r="R205" s="367"/>
      <c r="S205" s="367"/>
      <c r="T205" s="367"/>
      <c r="U205" s="367"/>
      <c r="V205" s="367"/>
      <c r="W205" s="367"/>
      <c r="X205" s="367"/>
      <c r="Y205" s="367"/>
      <c r="Z205" s="367"/>
      <c r="AA205" s="367"/>
      <c r="AB205" s="367"/>
      <c r="AC205" s="367"/>
      <c r="AD205" s="367"/>
    </row>
    <row r="206" ht="23.25" customHeight="1">
      <c r="A206" s="367"/>
      <c r="B206" s="367"/>
      <c r="C206" s="367"/>
      <c r="D206" s="367"/>
      <c r="E206" s="367"/>
      <c r="F206" s="367"/>
      <c r="G206" s="367"/>
      <c r="H206" s="367"/>
      <c r="I206" s="367"/>
      <c r="J206" s="367"/>
      <c r="K206" s="367"/>
      <c r="L206" s="367"/>
      <c r="M206" s="367"/>
      <c r="N206" s="367"/>
      <c r="O206" s="367"/>
      <c r="P206" s="367"/>
      <c r="Q206" s="367"/>
      <c r="R206" s="367"/>
      <c r="S206" s="367"/>
      <c r="T206" s="367"/>
      <c r="U206" s="367"/>
      <c r="V206" s="367"/>
      <c r="W206" s="367"/>
      <c r="X206" s="367"/>
      <c r="Y206" s="367"/>
      <c r="Z206" s="367"/>
      <c r="AA206" s="367"/>
      <c r="AB206" s="367"/>
      <c r="AC206" s="367"/>
      <c r="AD206" s="367"/>
    </row>
    <row r="207" ht="23.25" customHeight="1">
      <c r="A207" s="367"/>
      <c r="B207" s="367"/>
      <c r="C207" s="367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7"/>
      <c r="T207" s="367"/>
      <c r="U207" s="367"/>
      <c r="V207" s="367"/>
      <c r="W207" s="367"/>
      <c r="X207" s="367"/>
      <c r="Y207" s="367"/>
      <c r="Z207" s="367"/>
      <c r="AA207" s="367"/>
      <c r="AB207" s="367"/>
      <c r="AC207" s="367"/>
      <c r="AD207" s="367"/>
    </row>
    <row r="208" ht="23.25" customHeight="1">
      <c r="A208" s="367"/>
      <c r="B208" s="367"/>
      <c r="C208" s="367"/>
      <c r="D208" s="367"/>
      <c r="E208" s="367"/>
      <c r="F208" s="367"/>
      <c r="G208" s="367"/>
      <c r="H208" s="367"/>
      <c r="I208" s="367"/>
      <c r="J208" s="367"/>
      <c r="K208" s="367"/>
      <c r="L208" s="367"/>
      <c r="M208" s="367"/>
      <c r="N208" s="367"/>
      <c r="O208" s="367"/>
      <c r="P208" s="367"/>
      <c r="Q208" s="367"/>
      <c r="R208" s="367"/>
      <c r="S208" s="367"/>
      <c r="T208" s="367"/>
      <c r="U208" s="367"/>
      <c r="V208" s="367"/>
      <c r="W208" s="367"/>
      <c r="X208" s="367"/>
      <c r="Y208" s="367"/>
      <c r="Z208" s="367"/>
      <c r="AA208" s="367"/>
      <c r="AB208" s="367"/>
      <c r="AC208" s="367"/>
      <c r="AD208" s="367"/>
    </row>
    <row r="209" ht="23.25" customHeight="1">
      <c r="A209" s="367"/>
      <c r="B209" s="367"/>
      <c r="C209" s="367"/>
      <c r="D209" s="367"/>
      <c r="E209" s="367"/>
      <c r="F209" s="367"/>
      <c r="G209" s="367"/>
      <c r="H209" s="367"/>
      <c r="I209" s="367"/>
      <c r="J209" s="367"/>
      <c r="K209" s="367"/>
      <c r="L209" s="367"/>
      <c r="M209" s="367"/>
      <c r="N209" s="367"/>
      <c r="O209" s="367"/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</row>
    <row r="210" ht="23.25" customHeight="1">
      <c r="A210" s="367"/>
      <c r="B210" s="367"/>
      <c r="C210" s="367"/>
      <c r="D210" s="367"/>
      <c r="E210" s="367"/>
      <c r="F210" s="367"/>
      <c r="G210" s="367"/>
      <c r="H210" s="367"/>
      <c r="I210" s="367"/>
      <c r="J210" s="367"/>
      <c r="K210" s="367"/>
      <c r="L210" s="367"/>
      <c r="M210" s="367"/>
      <c r="N210" s="367"/>
      <c r="O210" s="367"/>
      <c r="P210" s="367"/>
      <c r="Q210" s="367"/>
      <c r="R210" s="367"/>
      <c r="S210" s="367"/>
      <c r="T210" s="367"/>
      <c r="U210" s="367"/>
      <c r="V210" s="367"/>
      <c r="W210" s="367"/>
      <c r="X210" s="367"/>
      <c r="Y210" s="367"/>
      <c r="Z210" s="367"/>
      <c r="AA210" s="367"/>
      <c r="AB210" s="367"/>
      <c r="AC210" s="367"/>
      <c r="AD210" s="367"/>
    </row>
    <row r="211" ht="23.25" customHeight="1">
      <c r="A211" s="367"/>
      <c r="B211" s="367"/>
      <c r="C211" s="367"/>
      <c r="D211" s="367"/>
      <c r="E211" s="367"/>
      <c r="F211" s="367"/>
      <c r="G211" s="367"/>
      <c r="H211" s="367"/>
      <c r="I211" s="367"/>
      <c r="J211" s="367"/>
      <c r="K211" s="367"/>
      <c r="L211" s="367"/>
      <c r="M211" s="367"/>
      <c r="N211" s="367"/>
      <c r="O211" s="367"/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</row>
    <row r="212" ht="23.25" customHeight="1">
      <c r="A212" s="367"/>
      <c r="B212" s="367"/>
      <c r="C212" s="367"/>
      <c r="D212" s="367"/>
      <c r="E212" s="367"/>
      <c r="F212" s="367"/>
      <c r="G212" s="367"/>
      <c r="H212" s="367"/>
      <c r="I212" s="367"/>
      <c r="J212" s="367"/>
      <c r="K212" s="367"/>
      <c r="L212" s="367"/>
      <c r="M212" s="367"/>
      <c r="N212" s="367"/>
      <c r="O212" s="367"/>
      <c r="P212" s="367"/>
      <c r="Q212" s="367"/>
      <c r="R212" s="367"/>
      <c r="S212" s="367"/>
      <c r="T212" s="367"/>
      <c r="U212" s="367"/>
      <c r="V212" s="367"/>
      <c r="W212" s="367"/>
      <c r="X212" s="367"/>
      <c r="Y212" s="367"/>
      <c r="Z212" s="367"/>
      <c r="AA212" s="367"/>
      <c r="AB212" s="367"/>
      <c r="AC212" s="367"/>
      <c r="AD212" s="367"/>
    </row>
    <row r="213" ht="23.25" customHeight="1">
      <c r="A213" s="367"/>
      <c r="B213" s="367"/>
      <c r="C213" s="367"/>
      <c r="D213" s="367"/>
      <c r="E213" s="367"/>
      <c r="F213" s="367"/>
      <c r="G213" s="367"/>
      <c r="H213" s="367"/>
      <c r="I213" s="367"/>
      <c r="J213" s="367"/>
      <c r="K213" s="367"/>
      <c r="L213" s="367"/>
      <c r="M213" s="367"/>
      <c r="N213" s="367"/>
      <c r="O213" s="367"/>
      <c r="P213" s="367"/>
      <c r="Q213" s="367"/>
      <c r="R213" s="367"/>
      <c r="S213" s="367"/>
      <c r="T213" s="367"/>
      <c r="U213" s="367"/>
      <c r="V213" s="367"/>
      <c r="W213" s="367"/>
      <c r="X213" s="367"/>
      <c r="Y213" s="367"/>
      <c r="Z213" s="367"/>
      <c r="AA213" s="367"/>
      <c r="AB213" s="367"/>
      <c r="AC213" s="367"/>
      <c r="AD213" s="367"/>
    </row>
    <row r="214" ht="23.25" customHeight="1">
      <c r="A214" s="367"/>
      <c r="B214" s="367"/>
      <c r="C214" s="367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7"/>
      <c r="T214" s="367"/>
      <c r="U214" s="367"/>
      <c r="V214" s="367"/>
      <c r="W214" s="367"/>
      <c r="X214" s="367"/>
      <c r="Y214" s="367"/>
      <c r="Z214" s="367"/>
      <c r="AA214" s="367"/>
      <c r="AB214" s="367"/>
      <c r="AC214" s="367"/>
      <c r="AD214" s="367"/>
    </row>
    <row r="215" ht="23.25" customHeight="1">
      <c r="A215" s="367"/>
      <c r="B215" s="367"/>
      <c r="C215" s="367"/>
      <c r="D215" s="367"/>
      <c r="E215" s="367"/>
      <c r="F215" s="367"/>
      <c r="G215" s="367"/>
      <c r="H215" s="367"/>
      <c r="I215" s="367"/>
      <c r="J215" s="367"/>
      <c r="K215" s="367"/>
      <c r="L215" s="367"/>
      <c r="M215" s="367"/>
      <c r="N215" s="367"/>
      <c r="O215" s="367"/>
      <c r="P215" s="367"/>
      <c r="Q215" s="367"/>
      <c r="R215" s="367"/>
      <c r="S215" s="367"/>
      <c r="T215" s="367"/>
      <c r="U215" s="367"/>
      <c r="V215" s="367"/>
      <c r="W215" s="367"/>
      <c r="X215" s="367"/>
      <c r="Y215" s="367"/>
      <c r="Z215" s="367"/>
      <c r="AA215" s="367"/>
      <c r="AB215" s="367"/>
      <c r="AC215" s="367"/>
      <c r="AD215" s="367"/>
    </row>
    <row r="216" ht="23.25" customHeight="1">
      <c r="A216" s="367"/>
      <c r="B216" s="367"/>
      <c r="C216" s="367"/>
      <c r="D216" s="367"/>
      <c r="E216" s="367"/>
      <c r="F216" s="367"/>
      <c r="G216" s="367"/>
      <c r="H216" s="367"/>
      <c r="I216" s="367"/>
      <c r="J216" s="367"/>
      <c r="K216" s="367"/>
      <c r="L216" s="367"/>
      <c r="M216" s="367"/>
      <c r="N216" s="367"/>
      <c r="O216" s="367"/>
      <c r="P216" s="367"/>
      <c r="Q216" s="367"/>
      <c r="R216" s="367"/>
      <c r="S216" s="367"/>
      <c r="T216" s="367"/>
      <c r="U216" s="367"/>
      <c r="V216" s="367"/>
      <c r="W216" s="367"/>
      <c r="X216" s="367"/>
      <c r="Y216" s="367"/>
      <c r="Z216" s="367"/>
      <c r="AA216" s="367"/>
      <c r="AB216" s="367"/>
      <c r="AC216" s="367"/>
      <c r="AD216" s="367"/>
    </row>
    <row r="217" ht="23.25" customHeight="1">
      <c r="A217" s="367"/>
      <c r="B217" s="367"/>
      <c r="C217" s="367"/>
      <c r="D217" s="367"/>
      <c r="E217" s="367"/>
      <c r="F217" s="367"/>
      <c r="G217" s="367"/>
      <c r="H217" s="367"/>
      <c r="I217" s="367"/>
      <c r="J217" s="367"/>
      <c r="K217" s="367"/>
      <c r="L217" s="367"/>
      <c r="M217" s="367"/>
      <c r="N217" s="367"/>
      <c r="O217" s="367"/>
      <c r="P217" s="367"/>
      <c r="Q217" s="367"/>
      <c r="R217" s="367"/>
      <c r="S217" s="367"/>
      <c r="T217" s="367"/>
      <c r="U217" s="367"/>
      <c r="V217" s="367"/>
      <c r="W217" s="367"/>
      <c r="X217" s="367"/>
      <c r="Y217" s="367"/>
      <c r="Z217" s="367"/>
      <c r="AA217" s="367"/>
      <c r="AB217" s="367"/>
      <c r="AC217" s="367"/>
      <c r="AD217" s="367"/>
    </row>
    <row r="218" ht="23.25" customHeight="1">
      <c r="A218" s="367"/>
      <c r="B218" s="367"/>
      <c r="C218" s="367"/>
      <c r="D218" s="367"/>
      <c r="E218" s="367"/>
      <c r="F218" s="367"/>
      <c r="G218" s="367"/>
      <c r="H218" s="367"/>
      <c r="I218" s="367"/>
      <c r="J218" s="367"/>
      <c r="K218" s="367"/>
      <c r="L218" s="367"/>
      <c r="M218" s="367"/>
      <c r="N218" s="367"/>
      <c r="O218" s="367"/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</row>
    <row r="219" ht="23.25" customHeight="1">
      <c r="A219" s="367"/>
      <c r="B219" s="367"/>
      <c r="C219" s="367"/>
      <c r="D219" s="367"/>
      <c r="E219" s="367"/>
      <c r="F219" s="367"/>
      <c r="G219" s="367"/>
      <c r="H219" s="367"/>
      <c r="I219" s="367"/>
      <c r="J219" s="367"/>
      <c r="K219" s="367"/>
      <c r="L219" s="367"/>
      <c r="M219" s="367"/>
      <c r="N219" s="367"/>
      <c r="O219" s="367"/>
      <c r="P219" s="367"/>
      <c r="Q219" s="367"/>
      <c r="R219" s="367"/>
      <c r="S219" s="367"/>
      <c r="T219" s="367"/>
      <c r="U219" s="367"/>
      <c r="V219" s="367"/>
      <c r="W219" s="367"/>
      <c r="X219" s="367"/>
      <c r="Y219" s="367"/>
      <c r="Z219" s="367"/>
      <c r="AA219" s="367"/>
      <c r="AB219" s="367"/>
      <c r="AC219" s="367"/>
      <c r="AD219" s="367"/>
    </row>
    <row r="220" ht="23.25" customHeight="1">
      <c r="A220" s="367"/>
      <c r="B220" s="367"/>
      <c r="C220" s="367"/>
      <c r="D220" s="367"/>
      <c r="E220" s="367"/>
      <c r="F220" s="367"/>
      <c r="G220" s="367"/>
      <c r="H220" s="367"/>
      <c r="I220" s="367"/>
      <c r="J220" s="367"/>
      <c r="K220" s="367"/>
      <c r="L220" s="367"/>
      <c r="M220" s="367"/>
      <c r="N220" s="367"/>
      <c r="O220" s="367"/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</row>
    <row r="221" ht="23.25" customHeight="1">
      <c r="A221" s="367"/>
      <c r="B221" s="367"/>
      <c r="C221" s="367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7"/>
      <c r="T221" s="367"/>
      <c r="U221" s="367"/>
      <c r="V221" s="367"/>
      <c r="W221" s="367"/>
      <c r="X221" s="367"/>
      <c r="Y221" s="367"/>
      <c r="Z221" s="367"/>
      <c r="AA221" s="367"/>
      <c r="AB221" s="367"/>
      <c r="AC221" s="367"/>
      <c r="AD221" s="367"/>
    </row>
    <row r="222" ht="23.25" customHeight="1">
      <c r="A222" s="367"/>
      <c r="B222" s="367"/>
      <c r="C222" s="367"/>
      <c r="D222" s="367"/>
      <c r="E222" s="367"/>
      <c r="F222" s="367"/>
      <c r="G222" s="367"/>
      <c r="H222" s="367"/>
      <c r="I222" s="367"/>
      <c r="J222" s="367"/>
      <c r="K222" s="367"/>
      <c r="L222" s="367"/>
      <c r="M222" s="367"/>
      <c r="N222" s="367"/>
      <c r="O222" s="367"/>
      <c r="P222" s="367"/>
      <c r="Q222" s="367"/>
      <c r="R222" s="367"/>
      <c r="S222" s="367"/>
      <c r="T222" s="367"/>
      <c r="U222" s="367"/>
      <c r="V222" s="367"/>
      <c r="W222" s="367"/>
      <c r="X222" s="367"/>
      <c r="Y222" s="367"/>
      <c r="Z222" s="367"/>
      <c r="AA222" s="367"/>
      <c r="AB222" s="367"/>
      <c r="AC222" s="367"/>
      <c r="AD222" s="367"/>
    </row>
    <row r="223" ht="23.25" customHeight="1">
      <c r="A223" s="367"/>
      <c r="B223" s="367"/>
      <c r="C223" s="367"/>
      <c r="D223" s="367"/>
      <c r="E223" s="367"/>
      <c r="F223" s="367"/>
      <c r="G223" s="367"/>
      <c r="H223" s="367"/>
      <c r="I223" s="367"/>
      <c r="J223" s="367"/>
      <c r="K223" s="367"/>
      <c r="L223" s="367"/>
      <c r="M223" s="367"/>
      <c r="N223" s="367"/>
      <c r="O223" s="367"/>
      <c r="P223" s="367"/>
      <c r="Q223" s="367"/>
      <c r="R223" s="367"/>
      <c r="S223" s="367"/>
      <c r="T223" s="367"/>
      <c r="U223" s="367"/>
      <c r="V223" s="367"/>
      <c r="W223" s="367"/>
      <c r="X223" s="367"/>
      <c r="Y223" s="367"/>
      <c r="Z223" s="367"/>
      <c r="AA223" s="367"/>
      <c r="AB223" s="367"/>
      <c r="AC223" s="367"/>
      <c r="AD223" s="367"/>
    </row>
    <row r="224" ht="23.25" customHeight="1">
      <c r="A224" s="367"/>
      <c r="B224" s="367"/>
      <c r="C224" s="367"/>
      <c r="D224" s="367"/>
      <c r="E224" s="367"/>
      <c r="F224" s="367"/>
      <c r="G224" s="367"/>
      <c r="H224" s="367"/>
      <c r="I224" s="367"/>
      <c r="J224" s="367"/>
      <c r="K224" s="367"/>
      <c r="L224" s="367"/>
      <c r="M224" s="367"/>
      <c r="N224" s="367"/>
      <c r="O224" s="367"/>
      <c r="P224" s="367"/>
      <c r="Q224" s="367"/>
      <c r="R224" s="367"/>
      <c r="S224" s="367"/>
      <c r="T224" s="367"/>
      <c r="U224" s="367"/>
      <c r="V224" s="367"/>
      <c r="W224" s="367"/>
      <c r="X224" s="367"/>
      <c r="Y224" s="367"/>
      <c r="Z224" s="367"/>
      <c r="AA224" s="367"/>
      <c r="AB224" s="367"/>
      <c r="AC224" s="367"/>
      <c r="AD224" s="367"/>
    </row>
    <row r="225" ht="23.25" customHeight="1">
      <c r="A225" s="367"/>
      <c r="B225" s="367"/>
      <c r="C225" s="367"/>
      <c r="D225" s="367"/>
      <c r="E225" s="367"/>
      <c r="F225" s="367"/>
      <c r="G225" s="367"/>
      <c r="H225" s="367"/>
      <c r="I225" s="367"/>
      <c r="J225" s="367"/>
      <c r="K225" s="367"/>
      <c r="L225" s="367"/>
      <c r="M225" s="367"/>
      <c r="N225" s="367"/>
      <c r="O225" s="367"/>
      <c r="P225" s="367"/>
      <c r="Q225" s="367"/>
      <c r="R225" s="367"/>
      <c r="S225" s="367"/>
      <c r="T225" s="367"/>
      <c r="U225" s="367"/>
      <c r="V225" s="367"/>
      <c r="W225" s="367"/>
      <c r="X225" s="367"/>
      <c r="Y225" s="367"/>
      <c r="Z225" s="367"/>
      <c r="AA225" s="367"/>
      <c r="AB225" s="367"/>
      <c r="AC225" s="367"/>
      <c r="AD225" s="367"/>
    </row>
    <row r="226" ht="23.25" customHeight="1">
      <c r="A226" s="367"/>
      <c r="B226" s="367"/>
      <c r="C226" s="367"/>
      <c r="D226" s="367"/>
      <c r="E226" s="367"/>
      <c r="F226" s="367"/>
      <c r="G226" s="367"/>
      <c r="H226" s="367"/>
      <c r="I226" s="367"/>
      <c r="J226" s="367"/>
      <c r="K226" s="367"/>
      <c r="L226" s="367"/>
      <c r="M226" s="367"/>
      <c r="N226" s="367"/>
      <c r="O226" s="367"/>
      <c r="P226" s="367"/>
      <c r="Q226" s="367"/>
      <c r="R226" s="367"/>
      <c r="S226" s="367"/>
      <c r="T226" s="367"/>
      <c r="U226" s="367"/>
      <c r="V226" s="367"/>
      <c r="W226" s="367"/>
      <c r="X226" s="367"/>
      <c r="Y226" s="367"/>
      <c r="Z226" s="367"/>
      <c r="AA226" s="367"/>
      <c r="AB226" s="367"/>
      <c r="AC226" s="367"/>
      <c r="AD226" s="367"/>
    </row>
    <row r="227" ht="23.25" customHeight="1">
      <c r="A227" s="367"/>
      <c r="B227" s="367"/>
      <c r="C227" s="367"/>
      <c r="D227" s="367"/>
      <c r="E227" s="367"/>
      <c r="F227" s="367"/>
      <c r="G227" s="367"/>
      <c r="H227" s="367"/>
      <c r="I227" s="367"/>
      <c r="J227" s="367"/>
      <c r="K227" s="367"/>
      <c r="L227" s="367"/>
      <c r="M227" s="367"/>
      <c r="N227" s="367"/>
      <c r="O227" s="367"/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</row>
    <row r="228" ht="23.25" customHeight="1">
      <c r="A228" s="367"/>
      <c r="B228" s="367"/>
      <c r="C228" s="367"/>
      <c r="D228" s="367"/>
      <c r="E228" s="367"/>
      <c r="F228" s="367"/>
      <c r="G228" s="367"/>
      <c r="H228" s="367"/>
      <c r="I228" s="367"/>
      <c r="J228" s="367"/>
      <c r="K228" s="367"/>
      <c r="L228" s="367"/>
      <c r="M228" s="367"/>
      <c r="N228" s="367"/>
      <c r="O228" s="367"/>
      <c r="P228" s="367"/>
      <c r="Q228" s="367"/>
      <c r="R228" s="367"/>
      <c r="S228" s="367"/>
      <c r="T228" s="367"/>
      <c r="U228" s="367"/>
      <c r="V228" s="367"/>
      <c r="W228" s="367"/>
      <c r="X228" s="367"/>
      <c r="Y228" s="367"/>
      <c r="Z228" s="367"/>
      <c r="AA228" s="367"/>
      <c r="AB228" s="367"/>
      <c r="AC228" s="367"/>
      <c r="AD228" s="367"/>
    </row>
    <row r="229" ht="23.25" customHeight="1">
      <c r="A229" s="367"/>
      <c r="B229" s="367"/>
      <c r="C229" s="367"/>
      <c r="D229" s="367"/>
      <c r="E229" s="367"/>
      <c r="F229" s="367"/>
      <c r="G229" s="367"/>
      <c r="H229" s="367"/>
      <c r="I229" s="367"/>
      <c r="J229" s="367"/>
      <c r="K229" s="367"/>
      <c r="L229" s="367"/>
      <c r="M229" s="367"/>
      <c r="N229" s="367"/>
      <c r="O229" s="367"/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</row>
    <row r="230" ht="23.25" customHeight="1">
      <c r="A230" s="367"/>
      <c r="B230" s="367"/>
      <c r="C230" s="367"/>
      <c r="D230" s="367"/>
      <c r="E230" s="367"/>
      <c r="F230" s="367"/>
      <c r="G230" s="367"/>
      <c r="H230" s="367"/>
      <c r="I230" s="367"/>
      <c r="J230" s="367"/>
      <c r="K230" s="367"/>
      <c r="L230" s="367"/>
      <c r="M230" s="367"/>
      <c r="N230" s="367"/>
      <c r="O230" s="367"/>
      <c r="P230" s="367"/>
      <c r="Q230" s="367"/>
      <c r="R230" s="367"/>
      <c r="S230" s="367"/>
      <c r="T230" s="367"/>
      <c r="U230" s="367"/>
      <c r="V230" s="367"/>
      <c r="W230" s="367"/>
      <c r="X230" s="367"/>
      <c r="Y230" s="367"/>
      <c r="Z230" s="367"/>
      <c r="AA230" s="367"/>
      <c r="AB230" s="367"/>
      <c r="AC230" s="367"/>
      <c r="AD230" s="367"/>
    </row>
    <row r="231" ht="23.25" customHeight="1">
      <c r="A231" s="367"/>
      <c r="B231" s="367"/>
      <c r="C231" s="367"/>
      <c r="D231" s="367"/>
      <c r="E231" s="367"/>
      <c r="F231" s="367"/>
      <c r="G231" s="367"/>
      <c r="H231" s="367"/>
      <c r="I231" s="367"/>
      <c r="J231" s="367"/>
      <c r="K231" s="367"/>
      <c r="L231" s="367"/>
      <c r="M231" s="367"/>
      <c r="N231" s="367"/>
      <c r="O231" s="367"/>
      <c r="P231" s="367"/>
      <c r="Q231" s="367"/>
      <c r="R231" s="367"/>
      <c r="S231" s="367"/>
      <c r="T231" s="367"/>
      <c r="U231" s="367"/>
      <c r="V231" s="367"/>
      <c r="W231" s="367"/>
      <c r="X231" s="367"/>
      <c r="Y231" s="367"/>
      <c r="Z231" s="367"/>
      <c r="AA231" s="367"/>
      <c r="AB231" s="367"/>
      <c r="AC231" s="367"/>
      <c r="AD231" s="367"/>
    </row>
    <row r="232" ht="23.25" customHeight="1">
      <c r="A232" s="367"/>
      <c r="B232" s="367"/>
      <c r="C232" s="367"/>
      <c r="D232" s="367"/>
      <c r="E232" s="367"/>
      <c r="F232" s="367"/>
      <c r="G232" s="367"/>
      <c r="H232" s="367"/>
      <c r="I232" s="367"/>
      <c r="J232" s="367"/>
      <c r="K232" s="367"/>
      <c r="L232" s="367"/>
      <c r="M232" s="367"/>
      <c r="N232" s="367"/>
      <c r="O232" s="367"/>
      <c r="P232" s="367"/>
      <c r="Q232" s="367"/>
      <c r="R232" s="367"/>
      <c r="S232" s="367"/>
      <c r="T232" s="367"/>
      <c r="U232" s="367"/>
      <c r="V232" s="367"/>
      <c r="W232" s="367"/>
      <c r="X232" s="367"/>
      <c r="Y232" s="367"/>
      <c r="Z232" s="367"/>
      <c r="AA232" s="367"/>
      <c r="AB232" s="367"/>
      <c r="AC232" s="367"/>
      <c r="AD232" s="367"/>
    </row>
    <row r="233" ht="23.25" customHeight="1">
      <c r="A233" s="367"/>
      <c r="B233" s="367"/>
      <c r="C233" s="367"/>
      <c r="D233" s="367"/>
      <c r="E233" s="367"/>
      <c r="F233" s="367"/>
      <c r="G233" s="367"/>
      <c r="H233" s="367"/>
      <c r="I233" s="367"/>
      <c r="J233" s="367"/>
      <c r="K233" s="367"/>
      <c r="L233" s="367"/>
      <c r="M233" s="367"/>
      <c r="N233" s="367"/>
      <c r="O233" s="367"/>
      <c r="P233" s="367"/>
      <c r="Q233" s="367"/>
      <c r="R233" s="367"/>
      <c r="S233" s="367"/>
      <c r="T233" s="367"/>
      <c r="U233" s="367"/>
      <c r="V233" s="367"/>
      <c r="W233" s="367"/>
      <c r="X233" s="367"/>
      <c r="Y233" s="367"/>
      <c r="Z233" s="367"/>
      <c r="AA233" s="367"/>
      <c r="AB233" s="367"/>
      <c r="AC233" s="367"/>
      <c r="AD233" s="367"/>
    </row>
    <row r="234" ht="23.25" customHeight="1">
      <c r="A234" s="367"/>
      <c r="B234" s="367"/>
      <c r="C234" s="367"/>
      <c r="D234" s="367"/>
      <c r="E234" s="367"/>
      <c r="F234" s="367"/>
      <c r="G234" s="367"/>
      <c r="H234" s="367"/>
      <c r="I234" s="367"/>
      <c r="J234" s="367"/>
      <c r="K234" s="367"/>
      <c r="L234" s="367"/>
      <c r="M234" s="367"/>
      <c r="N234" s="367"/>
      <c r="O234" s="367"/>
      <c r="P234" s="367"/>
      <c r="Q234" s="367"/>
      <c r="R234" s="367"/>
      <c r="S234" s="367"/>
      <c r="T234" s="367"/>
      <c r="U234" s="367"/>
      <c r="V234" s="367"/>
      <c r="W234" s="367"/>
      <c r="X234" s="367"/>
      <c r="Y234" s="367"/>
      <c r="Z234" s="367"/>
      <c r="AA234" s="367"/>
      <c r="AB234" s="367"/>
      <c r="AC234" s="367"/>
      <c r="AD234" s="367"/>
    </row>
    <row r="235" ht="23.25" customHeight="1">
      <c r="A235" s="367"/>
      <c r="B235" s="367"/>
      <c r="C235" s="367"/>
      <c r="D235" s="367"/>
      <c r="E235" s="367"/>
      <c r="F235" s="367"/>
      <c r="G235" s="367"/>
      <c r="H235" s="367"/>
      <c r="I235" s="367"/>
      <c r="J235" s="367"/>
      <c r="K235" s="367"/>
      <c r="L235" s="367"/>
      <c r="M235" s="367"/>
      <c r="N235" s="367"/>
      <c r="O235" s="367"/>
      <c r="P235" s="367"/>
      <c r="Q235" s="367"/>
      <c r="R235" s="367"/>
      <c r="S235" s="367"/>
      <c r="T235" s="367"/>
      <c r="U235" s="367"/>
      <c r="V235" s="367"/>
      <c r="W235" s="367"/>
      <c r="X235" s="367"/>
      <c r="Y235" s="367"/>
      <c r="Z235" s="367"/>
      <c r="AA235" s="367"/>
      <c r="AB235" s="367"/>
      <c r="AC235" s="367"/>
      <c r="AD235" s="367"/>
    </row>
    <row r="236" ht="23.25" customHeight="1">
      <c r="A236" s="367"/>
      <c r="B236" s="367"/>
      <c r="C236" s="367"/>
      <c r="D236" s="367"/>
      <c r="E236" s="367"/>
      <c r="F236" s="367"/>
      <c r="G236" s="367"/>
      <c r="H236" s="367"/>
      <c r="I236" s="367"/>
      <c r="J236" s="367"/>
      <c r="K236" s="367"/>
      <c r="L236" s="367"/>
      <c r="M236" s="367"/>
      <c r="N236" s="367"/>
      <c r="O236" s="367"/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</row>
    <row r="237" ht="23.25" customHeight="1">
      <c r="A237" s="367"/>
      <c r="B237" s="367"/>
      <c r="C237" s="367"/>
      <c r="D237" s="367"/>
      <c r="E237" s="367"/>
      <c r="F237" s="367"/>
      <c r="G237" s="367"/>
      <c r="H237" s="367"/>
      <c r="I237" s="367"/>
      <c r="J237" s="367"/>
      <c r="K237" s="367"/>
      <c r="L237" s="367"/>
      <c r="M237" s="367"/>
      <c r="N237" s="367"/>
      <c r="O237" s="367"/>
      <c r="P237" s="367"/>
      <c r="Q237" s="367"/>
      <c r="R237" s="367"/>
      <c r="S237" s="367"/>
      <c r="T237" s="367"/>
      <c r="U237" s="367"/>
      <c r="V237" s="367"/>
      <c r="W237" s="367"/>
      <c r="X237" s="367"/>
      <c r="Y237" s="367"/>
      <c r="Z237" s="367"/>
      <c r="AA237" s="367"/>
      <c r="AB237" s="367"/>
      <c r="AC237" s="367"/>
      <c r="AD237" s="367"/>
    </row>
    <row r="238" ht="23.25" customHeight="1">
      <c r="A238" s="367"/>
      <c r="B238" s="367"/>
      <c r="C238" s="367"/>
      <c r="D238" s="367"/>
      <c r="E238" s="367"/>
      <c r="F238" s="367"/>
      <c r="G238" s="367"/>
      <c r="H238" s="367"/>
      <c r="I238" s="367"/>
      <c r="J238" s="367"/>
      <c r="K238" s="367"/>
      <c r="L238" s="367"/>
      <c r="M238" s="367"/>
      <c r="N238" s="367"/>
      <c r="O238" s="367"/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</row>
    <row r="239" ht="23.25" customHeight="1">
      <c r="A239" s="367"/>
      <c r="B239" s="367"/>
      <c r="C239" s="367"/>
      <c r="D239" s="367"/>
      <c r="E239" s="367"/>
      <c r="F239" s="367"/>
      <c r="G239" s="367"/>
      <c r="H239" s="367"/>
      <c r="I239" s="367"/>
      <c r="J239" s="367"/>
      <c r="K239" s="367"/>
      <c r="L239" s="367"/>
      <c r="M239" s="367"/>
      <c r="N239" s="367"/>
      <c r="O239" s="367"/>
      <c r="P239" s="367"/>
      <c r="Q239" s="367"/>
      <c r="R239" s="367"/>
      <c r="S239" s="367"/>
      <c r="T239" s="367"/>
      <c r="U239" s="367"/>
      <c r="V239" s="367"/>
      <c r="W239" s="367"/>
      <c r="X239" s="367"/>
      <c r="Y239" s="367"/>
      <c r="Z239" s="367"/>
      <c r="AA239" s="367"/>
      <c r="AB239" s="367"/>
      <c r="AC239" s="367"/>
      <c r="AD239" s="367"/>
    </row>
    <row r="240" ht="23.25" customHeight="1">
      <c r="A240" s="367"/>
      <c r="B240" s="367"/>
      <c r="C240" s="367"/>
      <c r="D240" s="367"/>
      <c r="E240" s="367"/>
      <c r="F240" s="367"/>
      <c r="G240" s="367"/>
      <c r="H240" s="367"/>
      <c r="I240" s="367"/>
      <c r="J240" s="367"/>
      <c r="K240" s="367"/>
      <c r="L240" s="367"/>
      <c r="M240" s="367"/>
      <c r="N240" s="367"/>
      <c r="O240" s="367"/>
      <c r="P240" s="367"/>
      <c r="Q240" s="367"/>
      <c r="R240" s="367"/>
      <c r="S240" s="367"/>
      <c r="T240" s="367"/>
      <c r="U240" s="367"/>
      <c r="V240" s="367"/>
      <c r="W240" s="367"/>
      <c r="X240" s="367"/>
      <c r="Y240" s="367"/>
      <c r="Z240" s="367"/>
      <c r="AA240" s="367"/>
      <c r="AB240" s="367"/>
      <c r="AC240" s="367"/>
      <c r="AD240" s="367"/>
    </row>
    <row r="241" ht="23.25" customHeight="1">
      <c r="A241" s="367"/>
      <c r="B241" s="367"/>
      <c r="C241" s="367"/>
      <c r="D241" s="367"/>
      <c r="E241" s="367"/>
      <c r="F241" s="367"/>
      <c r="G241" s="367"/>
      <c r="H241" s="367"/>
      <c r="I241" s="367"/>
      <c r="J241" s="367"/>
      <c r="K241" s="367"/>
      <c r="L241" s="367"/>
      <c r="M241" s="367"/>
      <c r="N241" s="367"/>
      <c r="O241" s="367"/>
      <c r="P241" s="367"/>
      <c r="Q241" s="367"/>
      <c r="R241" s="367"/>
      <c r="S241" s="367"/>
      <c r="T241" s="367"/>
      <c r="U241" s="367"/>
      <c r="V241" s="367"/>
      <c r="W241" s="367"/>
      <c r="X241" s="367"/>
      <c r="Y241" s="367"/>
      <c r="Z241" s="367"/>
      <c r="AA241" s="367"/>
      <c r="AB241" s="367"/>
      <c r="AC241" s="367"/>
      <c r="AD241" s="367"/>
    </row>
    <row r="242" ht="23.25" customHeight="1">
      <c r="A242" s="367"/>
      <c r="B242" s="367"/>
      <c r="C242" s="367"/>
      <c r="D242" s="367"/>
      <c r="E242" s="367"/>
      <c r="F242" s="367"/>
      <c r="G242" s="367"/>
      <c r="H242" s="367"/>
      <c r="I242" s="367"/>
      <c r="J242" s="367"/>
      <c r="K242" s="367"/>
      <c r="L242" s="367"/>
      <c r="M242" s="367"/>
      <c r="N242" s="367"/>
      <c r="O242" s="367"/>
      <c r="P242" s="367"/>
      <c r="Q242" s="367"/>
      <c r="R242" s="367"/>
      <c r="S242" s="367"/>
      <c r="T242" s="367"/>
      <c r="U242" s="367"/>
      <c r="V242" s="367"/>
      <c r="W242" s="367"/>
      <c r="X242" s="367"/>
      <c r="Y242" s="367"/>
      <c r="Z242" s="367"/>
      <c r="AA242" s="367"/>
      <c r="AB242" s="367"/>
      <c r="AC242" s="367"/>
      <c r="AD242" s="367"/>
    </row>
    <row r="243" ht="23.25" customHeight="1">
      <c r="A243" s="367"/>
      <c r="B243" s="367"/>
      <c r="C243" s="367"/>
      <c r="D243" s="367"/>
      <c r="E243" s="367"/>
      <c r="F243" s="367"/>
      <c r="G243" s="367"/>
      <c r="H243" s="367"/>
      <c r="I243" s="367"/>
      <c r="J243" s="367"/>
      <c r="K243" s="367"/>
      <c r="L243" s="367"/>
      <c r="M243" s="367"/>
      <c r="N243" s="367"/>
      <c r="O243" s="367"/>
      <c r="P243" s="367"/>
      <c r="Q243" s="367"/>
      <c r="R243" s="367"/>
      <c r="S243" s="367"/>
      <c r="T243" s="367"/>
      <c r="U243" s="367"/>
      <c r="V243" s="367"/>
      <c r="W243" s="367"/>
      <c r="X243" s="367"/>
      <c r="Y243" s="367"/>
      <c r="Z243" s="367"/>
      <c r="AA243" s="367"/>
      <c r="AB243" s="367"/>
      <c r="AC243" s="367"/>
      <c r="AD243" s="367"/>
    </row>
    <row r="244" ht="23.25" customHeight="1">
      <c r="A244" s="367"/>
      <c r="B244" s="367"/>
      <c r="C244" s="367"/>
      <c r="D244" s="367"/>
      <c r="E244" s="367"/>
      <c r="F244" s="367"/>
      <c r="G244" s="367"/>
      <c r="H244" s="367"/>
      <c r="I244" s="367"/>
      <c r="J244" s="367"/>
      <c r="K244" s="367"/>
      <c r="L244" s="367"/>
      <c r="M244" s="367"/>
      <c r="N244" s="367"/>
      <c r="O244" s="367"/>
      <c r="P244" s="367"/>
      <c r="Q244" s="367"/>
      <c r="R244" s="367"/>
      <c r="S244" s="367"/>
      <c r="T244" s="367"/>
      <c r="U244" s="367"/>
      <c r="V244" s="367"/>
      <c r="W244" s="367"/>
      <c r="X244" s="367"/>
      <c r="Y244" s="367"/>
      <c r="Z244" s="367"/>
      <c r="AA244" s="367"/>
      <c r="AB244" s="367"/>
      <c r="AC244" s="367"/>
      <c r="AD244" s="367"/>
    </row>
    <row r="245" ht="23.25" customHeight="1">
      <c r="A245" s="367"/>
      <c r="B245" s="367"/>
      <c r="C245" s="367"/>
      <c r="D245" s="367"/>
      <c r="E245" s="367"/>
      <c r="F245" s="367"/>
      <c r="G245" s="367"/>
      <c r="H245" s="367"/>
      <c r="I245" s="367"/>
      <c r="J245" s="367"/>
      <c r="K245" s="367"/>
      <c r="L245" s="367"/>
      <c r="M245" s="367"/>
      <c r="N245" s="367"/>
      <c r="O245" s="367"/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</row>
    <row r="246" ht="23.25" customHeight="1">
      <c r="A246" s="367"/>
      <c r="B246" s="367"/>
      <c r="C246" s="367"/>
      <c r="D246" s="367"/>
      <c r="E246" s="367"/>
      <c r="F246" s="367"/>
      <c r="G246" s="367"/>
      <c r="H246" s="367"/>
      <c r="I246" s="367"/>
      <c r="J246" s="367"/>
      <c r="K246" s="367"/>
      <c r="L246" s="367"/>
      <c r="M246" s="367"/>
      <c r="N246" s="367"/>
      <c r="O246" s="367"/>
      <c r="P246" s="367"/>
      <c r="Q246" s="367"/>
      <c r="R246" s="367"/>
      <c r="S246" s="367"/>
      <c r="T246" s="367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7.0" topLeftCell="A8" activePane="bottomLeft" state="frozen"/>
      <selection activeCell="B9" sqref="B9" pane="bottomLeft"/>
    </sheetView>
  </sheetViews>
  <sheetFormatPr customHeight="1" defaultColWidth="14.43" defaultRowHeight="15.0"/>
  <cols>
    <col customWidth="1" min="1" max="1" width="23.43"/>
    <col customWidth="1" min="2" max="2" width="22.86"/>
    <col customWidth="1" min="3" max="3" width="23.14"/>
    <col customWidth="1" min="4" max="4" width="19.86"/>
    <col customWidth="1" min="5" max="5" width="21.0"/>
    <col customWidth="1" min="6" max="7" width="19.86"/>
    <col customWidth="1" min="8" max="8" width="141.57"/>
    <col customWidth="1" min="9" max="9" width="23.29"/>
    <col customWidth="1" min="10" max="10" width="83.29"/>
    <col customWidth="1" min="11" max="30" width="19.86"/>
  </cols>
  <sheetData>
    <row r="1" ht="23.25" customHeight="1">
      <c r="A1" s="366" t="s">
        <v>53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7"/>
      <c r="AD1" s="367"/>
    </row>
    <row r="2" ht="23.25" customHeight="1">
      <c r="A2" s="367"/>
      <c r="B2" s="367"/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7"/>
      <c r="O2" s="367"/>
      <c r="P2" s="367"/>
      <c r="Q2" s="367"/>
      <c r="R2" s="367"/>
      <c r="S2" s="367"/>
      <c r="T2" s="367"/>
      <c r="U2" s="367"/>
      <c r="V2" s="367"/>
      <c r="W2" s="367"/>
      <c r="X2" s="367"/>
      <c r="Y2" s="367"/>
      <c r="Z2" s="367"/>
      <c r="AA2" s="367"/>
      <c r="AB2" s="367"/>
      <c r="AC2" s="367"/>
      <c r="AD2" s="367"/>
    </row>
    <row r="3" ht="23.25" customHeight="1">
      <c r="A3" s="366" t="s">
        <v>184</v>
      </c>
      <c r="B3" s="367"/>
      <c r="C3" s="367"/>
      <c r="D3" s="367"/>
      <c r="E3" s="367"/>
      <c r="F3" s="367"/>
      <c r="G3" s="367"/>
      <c r="H3" s="367"/>
      <c r="I3" s="367"/>
      <c r="J3" s="367"/>
      <c r="K3" s="367"/>
      <c r="L3" s="367"/>
      <c r="M3" s="367"/>
      <c r="N3" s="367"/>
      <c r="O3" s="367"/>
      <c r="P3" s="367"/>
      <c r="Q3" s="367"/>
      <c r="R3" s="367"/>
      <c r="S3" s="367"/>
      <c r="T3" s="367"/>
      <c r="U3" s="367"/>
      <c r="V3" s="367"/>
      <c r="W3" s="367"/>
      <c r="X3" s="367"/>
      <c r="Y3" s="367"/>
      <c r="Z3" s="367"/>
      <c r="AA3" s="367"/>
      <c r="AB3" s="367"/>
      <c r="AC3" s="367"/>
      <c r="AD3" s="367"/>
    </row>
    <row r="4" ht="23.25" customHeight="1">
      <c r="A4" s="366" t="s">
        <v>185</v>
      </c>
      <c r="B4" s="369" t="s">
        <v>233</v>
      </c>
      <c r="C4" s="367"/>
      <c r="D4" s="367"/>
      <c r="E4" s="367"/>
      <c r="F4" s="367"/>
      <c r="G4" s="367"/>
      <c r="H4" s="367"/>
      <c r="I4" s="367"/>
      <c r="J4" s="367"/>
      <c r="K4" s="367"/>
      <c r="L4" s="367"/>
      <c r="M4" s="367"/>
      <c r="N4" s="367"/>
      <c r="O4" s="367"/>
      <c r="P4" s="367"/>
      <c r="Q4" s="367"/>
      <c r="R4" s="367"/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</row>
    <row r="5" ht="23.25" customHeight="1">
      <c r="A5" s="366"/>
      <c r="B5" s="411"/>
      <c r="C5" s="367"/>
      <c r="D5" s="367"/>
      <c r="E5" s="367"/>
      <c r="F5" s="367"/>
      <c r="G5" s="367"/>
      <c r="H5" s="367"/>
      <c r="I5" s="367"/>
      <c r="J5" s="367"/>
      <c r="K5" s="367"/>
      <c r="L5" s="367"/>
      <c r="M5" s="367"/>
      <c r="N5" s="367"/>
      <c r="O5" s="367"/>
      <c r="P5" s="367"/>
      <c r="Q5" s="367"/>
      <c r="R5" s="367"/>
      <c r="S5" s="367"/>
      <c r="T5" s="367"/>
      <c r="U5" s="367"/>
      <c r="V5" s="367"/>
      <c r="W5" s="367"/>
      <c r="X5" s="367"/>
      <c r="Y5" s="367"/>
      <c r="Z5" s="367"/>
      <c r="AA5" s="367"/>
      <c r="AB5" s="367"/>
      <c r="AC5" s="367"/>
      <c r="AD5" s="367"/>
    </row>
    <row r="6" ht="24.0" customHeight="1">
      <c r="A6" s="367"/>
      <c r="B6" s="367"/>
      <c r="C6" s="367"/>
      <c r="D6" s="367"/>
      <c r="E6" s="367"/>
      <c r="F6" s="367"/>
      <c r="G6" s="367"/>
      <c r="H6" s="367"/>
      <c r="I6" s="370">
        <v>0.011</v>
      </c>
      <c r="J6" s="367"/>
      <c r="K6" s="367"/>
      <c r="L6" s="367"/>
      <c r="M6" s="367"/>
      <c r="N6" s="367"/>
      <c r="O6" s="367"/>
      <c r="P6" s="367"/>
      <c r="Q6" s="367"/>
      <c r="R6" s="367"/>
      <c r="S6" s="367"/>
      <c r="T6" s="367"/>
      <c r="U6" s="367"/>
      <c r="V6" s="367"/>
      <c r="W6" s="367"/>
      <c r="X6" s="367"/>
      <c r="Y6" s="367"/>
      <c r="Z6" s="367"/>
      <c r="AA6" s="367"/>
      <c r="AB6" s="367"/>
      <c r="AC6" s="367"/>
      <c r="AD6" s="367"/>
    </row>
    <row r="7" ht="68.25" customHeight="1">
      <c r="A7" s="371" t="s">
        <v>187</v>
      </c>
      <c r="B7" s="372" t="s">
        <v>188</v>
      </c>
      <c r="C7" s="373" t="s">
        <v>189</v>
      </c>
      <c r="D7" s="373" t="s">
        <v>190</v>
      </c>
      <c r="E7" s="373" t="s">
        <v>191</v>
      </c>
      <c r="F7" s="373" t="s">
        <v>192</v>
      </c>
      <c r="G7" s="412" t="s">
        <v>193</v>
      </c>
      <c r="H7" s="374" t="s">
        <v>12</v>
      </c>
      <c r="I7" s="413" t="s">
        <v>236</v>
      </c>
      <c r="J7" s="375" t="s">
        <v>235</v>
      </c>
      <c r="K7" s="367"/>
      <c r="L7" s="367"/>
      <c r="M7" s="367"/>
      <c r="N7" s="367"/>
      <c r="O7" s="367"/>
      <c r="P7" s="367"/>
      <c r="Q7" s="367"/>
      <c r="R7" s="367"/>
      <c r="S7" s="367"/>
      <c r="T7" s="367"/>
      <c r="U7" s="367"/>
      <c r="V7" s="367"/>
      <c r="W7" s="367"/>
      <c r="X7" s="367"/>
      <c r="Y7" s="367"/>
      <c r="Z7" s="367"/>
      <c r="AA7" s="367"/>
      <c r="AB7" s="367"/>
      <c r="AC7" s="367"/>
      <c r="AD7" s="367"/>
    </row>
    <row r="8" ht="38.25" customHeight="1">
      <c r="A8" s="414" t="str">
        <f>+SUMMARY!#REF!</f>
        <v>#ERROR!</v>
      </c>
      <c r="B8" s="378" t="str">
        <f>+SUMMARY!#REF!</f>
        <v>#ERROR!</v>
      </c>
      <c r="C8" s="378" t="str">
        <f>+SUMMARY!#REF!</f>
        <v>#ERROR!</v>
      </c>
      <c r="D8" s="378" t="str">
        <f>+SUMMARY!#REF!</f>
        <v>#ERROR!</v>
      </c>
      <c r="E8" s="378" t="str">
        <f>+SUMMARY!#REF!</f>
        <v>#ERROR!</v>
      </c>
      <c r="F8" s="378" t="str">
        <f>+SUMMARY!#REF!</f>
        <v>#ERROR!</v>
      </c>
      <c r="G8" s="378" t="str">
        <f>+SUMMARY!#REF!</f>
        <v>#ERROR!</v>
      </c>
      <c r="H8" s="415" t="str">
        <f>+SUMMARY!#REF!</f>
        <v>#ERROR!</v>
      </c>
      <c r="I8" s="416" t="str">
        <f t="shared" ref="I8:I38" si="1">E8/B8</f>
        <v>#ERROR!</v>
      </c>
      <c r="J8" s="381"/>
      <c r="K8" s="367"/>
      <c r="L8" s="367"/>
      <c r="M8" s="367"/>
      <c r="N8" s="367"/>
      <c r="O8" s="367"/>
      <c r="P8" s="367"/>
      <c r="Q8" s="367"/>
      <c r="R8" s="367"/>
      <c r="S8" s="367"/>
      <c r="T8" s="367"/>
      <c r="U8" s="367"/>
      <c r="V8" s="367"/>
      <c r="W8" s="367"/>
      <c r="X8" s="367"/>
      <c r="Y8" s="367"/>
      <c r="Z8" s="367"/>
      <c r="AA8" s="367"/>
      <c r="AB8" s="367"/>
      <c r="AC8" s="367"/>
      <c r="AD8" s="367"/>
    </row>
    <row r="9" ht="38.25" customHeight="1">
      <c r="A9" s="414">
        <f>+SUMMARY!A7</f>
        <v>44531</v>
      </c>
      <c r="B9" s="378">
        <f>+SUMMARY!B7</f>
        <v>45405.016</v>
      </c>
      <c r="C9" s="378">
        <f>+SUMMARY!C7</f>
        <v>42128.06568</v>
      </c>
      <c r="D9" s="378">
        <f>+SUMMARY!D7</f>
        <v>0</v>
      </c>
      <c r="E9" s="378">
        <f>+SUMMARY!E7</f>
        <v>221.4</v>
      </c>
      <c r="F9" s="378">
        <f>+SUMMARY!F7</f>
        <v>1226.42583</v>
      </c>
      <c r="G9" s="378">
        <f>+SUMMARY!G7</f>
        <v>1829.124493</v>
      </c>
      <c r="H9" s="415" t="str">
        <f>+SUMMARY!H7</f>
        <v/>
      </c>
      <c r="I9" s="416">
        <f t="shared" si="1"/>
        <v>0.004876113247</v>
      </c>
      <c r="J9" s="381"/>
      <c r="K9" s="367"/>
      <c r="L9" s="367"/>
      <c r="M9" s="367"/>
      <c r="N9" s="367"/>
      <c r="O9" s="367"/>
      <c r="P9" s="367"/>
      <c r="Q9" s="367"/>
      <c r="R9" s="367"/>
      <c r="S9" s="367"/>
      <c r="T9" s="367"/>
      <c r="U9" s="367"/>
      <c r="V9" s="367"/>
      <c r="W9" s="367"/>
      <c r="X9" s="367"/>
      <c r="Y9" s="367"/>
      <c r="Z9" s="367"/>
      <c r="AA9" s="367"/>
      <c r="AB9" s="367"/>
      <c r="AC9" s="367"/>
      <c r="AD9" s="367"/>
    </row>
    <row r="10" ht="38.25" customHeight="1">
      <c r="A10" s="414">
        <f>+SUMMARY!A8</f>
        <v>44532</v>
      </c>
      <c r="B10" s="378">
        <f>+SUMMARY!B8</f>
        <v>31734.9539</v>
      </c>
      <c r="C10" s="378">
        <f>+SUMMARY!C8</f>
        <v>28333.96424</v>
      </c>
      <c r="D10" s="378">
        <f>+SUMMARY!D8</f>
        <v>494.321596</v>
      </c>
      <c r="E10" s="378">
        <f>+SUMMARY!E8</f>
        <v>187.2</v>
      </c>
      <c r="F10" s="378">
        <f>+SUMMARY!F8</f>
        <v>2123.367034</v>
      </c>
      <c r="G10" s="378">
        <f>+SUMMARY!G8</f>
        <v>596.1010266</v>
      </c>
      <c r="H10" s="415" t="str">
        <f>+SUMMARY!H8</f>
        <v>#REF!</v>
      </c>
      <c r="I10" s="416">
        <f t="shared" si="1"/>
        <v>0.005898858419</v>
      </c>
      <c r="J10" s="381"/>
      <c r="K10" s="367"/>
      <c r="L10" s="367"/>
      <c r="M10" s="367"/>
      <c r="N10" s="367"/>
      <c r="O10" s="367"/>
      <c r="P10" s="367"/>
      <c r="Q10" s="367"/>
      <c r="R10" s="367"/>
      <c r="S10" s="367"/>
      <c r="T10" s="367"/>
      <c r="U10" s="367"/>
      <c r="V10" s="367"/>
      <c r="W10" s="367"/>
      <c r="X10" s="367"/>
      <c r="Y10" s="367"/>
      <c r="Z10" s="367"/>
      <c r="AA10" s="367"/>
      <c r="AB10" s="367"/>
      <c r="AC10" s="367"/>
      <c r="AD10" s="367"/>
    </row>
    <row r="11" ht="38.25" customHeight="1">
      <c r="A11" s="414">
        <f>+SUMMARY!A9</f>
        <v>44533</v>
      </c>
      <c r="B11" s="378">
        <f>+SUMMARY!B9</f>
        <v>54027.6746</v>
      </c>
      <c r="C11" s="378">
        <f>+SUMMARY!C9</f>
        <v>50468.73379</v>
      </c>
      <c r="D11" s="378">
        <f>+SUMMARY!D9</f>
        <v>643.7208955</v>
      </c>
      <c r="E11" s="378">
        <f>+SUMMARY!E9</f>
        <v>250.2</v>
      </c>
      <c r="F11" s="378">
        <f>+SUMMARY!F9</f>
        <v>1541.777769</v>
      </c>
      <c r="G11" s="378">
        <f>+SUMMARY!G9</f>
        <v>1123.242142</v>
      </c>
      <c r="H11" s="415" t="str">
        <f>+SUMMARY!H9</f>
        <v/>
      </c>
      <c r="I11" s="416">
        <f t="shared" si="1"/>
        <v>0.004630960001</v>
      </c>
      <c r="J11" s="381"/>
      <c r="K11" s="367"/>
      <c r="L11" s="367"/>
      <c r="M11" s="367"/>
      <c r="N11" s="367"/>
      <c r="O11" s="367"/>
      <c r="P11" s="367"/>
      <c r="Q11" s="367"/>
      <c r="R11" s="367"/>
      <c r="S11" s="367"/>
      <c r="T11" s="367"/>
      <c r="U11" s="367"/>
      <c r="V11" s="367"/>
      <c r="W11" s="367"/>
      <c r="X11" s="367"/>
      <c r="Y11" s="367"/>
      <c r="Z11" s="367"/>
      <c r="AA11" s="367"/>
      <c r="AB11" s="367"/>
      <c r="AC11" s="367"/>
      <c r="AD11" s="367"/>
    </row>
    <row r="12" ht="38.25" customHeight="1">
      <c r="A12" s="414">
        <f>+SUMMARY!A10</f>
        <v>44534</v>
      </c>
      <c r="B12" s="378">
        <f>+SUMMARY!B10</f>
        <v>25882.4472</v>
      </c>
      <c r="C12" s="378">
        <f>+SUMMARY!C10</f>
        <v>21560.79494</v>
      </c>
      <c r="D12" s="378">
        <f>+SUMMARY!D10</f>
        <v>255.94023</v>
      </c>
      <c r="E12" s="378">
        <f>+SUMMARY!E10</f>
        <v>102</v>
      </c>
      <c r="F12" s="378">
        <f>+SUMMARY!F10</f>
        <v>1539.174144</v>
      </c>
      <c r="G12" s="378">
        <f>+SUMMARY!G10</f>
        <v>2424.537883</v>
      </c>
      <c r="H12" s="417" t="str">
        <f>+SUMMARY!H10</f>
        <v/>
      </c>
      <c r="I12" s="416">
        <f t="shared" si="1"/>
        <v>0.003940894739</v>
      </c>
      <c r="J12" s="381"/>
      <c r="K12" s="367"/>
      <c r="L12" s="367"/>
      <c r="M12" s="367"/>
      <c r="N12" s="367"/>
      <c r="O12" s="367"/>
      <c r="P12" s="367"/>
      <c r="Q12" s="367"/>
      <c r="R12" s="367"/>
      <c r="S12" s="367"/>
      <c r="T12" s="367"/>
      <c r="U12" s="367"/>
      <c r="V12" s="367"/>
      <c r="W12" s="367"/>
      <c r="X12" s="367"/>
      <c r="Y12" s="367"/>
      <c r="Z12" s="367"/>
      <c r="AA12" s="367"/>
      <c r="AB12" s="367"/>
      <c r="AC12" s="367"/>
      <c r="AD12" s="367"/>
    </row>
    <row r="13" ht="38.25" customHeight="1">
      <c r="A13" s="414">
        <f>+SUMMARY!A11</f>
        <v>44536</v>
      </c>
      <c r="B13" s="378">
        <f>+SUMMARY!B11</f>
        <v>19954.1884</v>
      </c>
      <c r="C13" s="378">
        <f>+SUMMARY!C11</f>
        <v>17304.30669</v>
      </c>
      <c r="D13" s="378">
        <f>+SUMMARY!D11</f>
        <v>552.30769</v>
      </c>
      <c r="E13" s="378">
        <f>+SUMMARY!E11</f>
        <v>220.2</v>
      </c>
      <c r="F13" s="378">
        <f>+SUMMARY!F11</f>
        <v>1523.476529</v>
      </c>
      <c r="G13" s="378">
        <f>+SUMMARY!G11</f>
        <v>353.8974918</v>
      </c>
      <c r="H13" s="415" t="str">
        <f>+SUMMARY!H11</f>
        <v/>
      </c>
      <c r="I13" s="416">
        <f t="shared" si="1"/>
        <v>0.01103527719</v>
      </c>
      <c r="J13" s="381"/>
      <c r="K13" s="367"/>
      <c r="L13" s="367"/>
      <c r="M13" s="367"/>
      <c r="N13" s="367"/>
      <c r="O13" s="367"/>
      <c r="P13" s="367"/>
      <c r="Q13" s="367"/>
      <c r="R13" s="367"/>
      <c r="S13" s="367"/>
      <c r="T13" s="367"/>
      <c r="U13" s="367"/>
      <c r="V13" s="367"/>
      <c r="W13" s="367"/>
      <c r="X13" s="367"/>
      <c r="Y13" s="367"/>
      <c r="Z13" s="367"/>
      <c r="AA13" s="367"/>
      <c r="AB13" s="367"/>
      <c r="AC13" s="367"/>
      <c r="AD13" s="367"/>
    </row>
    <row r="14" ht="38.25" customHeight="1">
      <c r="A14" s="414">
        <f>+SUMMARY!A12</f>
        <v>44537</v>
      </c>
      <c r="B14" s="378">
        <f>+SUMMARY!B12</f>
        <v>45005.006</v>
      </c>
      <c r="C14" s="378">
        <f>+SUMMARY!C12</f>
        <v>42406.0933</v>
      </c>
      <c r="D14" s="378">
        <f>+SUMMARY!D12</f>
        <v>445.31238</v>
      </c>
      <c r="E14" s="378">
        <f>+SUMMARY!E12</f>
        <v>117.6</v>
      </c>
      <c r="F14" s="378">
        <f>+SUMMARY!F12</f>
        <v>875.728969</v>
      </c>
      <c r="G14" s="378">
        <f>+SUMMARY!G12</f>
        <v>1160.271352</v>
      </c>
      <c r="H14" s="415" t="str">
        <f>+SUMMARY!H12</f>
        <v/>
      </c>
      <c r="I14" s="416">
        <f t="shared" si="1"/>
        <v>0.002613042647</v>
      </c>
      <c r="J14" s="418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19"/>
      <c r="V14" s="419"/>
      <c r="W14" s="419"/>
      <c r="X14" s="419"/>
      <c r="Y14" s="419"/>
      <c r="Z14" s="419"/>
      <c r="AA14" s="419"/>
      <c r="AB14" s="419"/>
      <c r="AC14" s="419"/>
      <c r="AD14" s="419"/>
    </row>
    <row r="15" ht="38.25" customHeight="1">
      <c r="A15" s="414">
        <f>+SUMMARY!A13</f>
        <v>44538</v>
      </c>
      <c r="B15" s="378">
        <f>+SUMMARY!B13</f>
        <v>42780.2104</v>
      </c>
      <c r="C15" s="378">
        <f>+SUMMARY!C13</f>
        <v>40263.89664</v>
      </c>
      <c r="D15" s="378">
        <f>+SUMMARY!D13</f>
        <v>585.303957</v>
      </c>
      <c r="E15" s="378">
        <f>+SUMMARY!E13</f>
        <v>169.8</v>
      </c>
      <c r="F15" s="378">
        <f>+SUMMARY!F13</f>
        <v>937.5270121</v>
      </c>
      <c r="G15" s="378">
        <f>+SUMMARY!G13</f>
        <v>823.6827903</v>
      </c>
      <c r="H15" s="415" t="str">
        <f>+SUMMARY!H13</f>
        <v>#REF!</v>
      </c>
      <c r="I15" s="416">
        <f t="shared" si="1"/>
        <v>0.003969124939</v>
      </c>
      <c r="J15" s="381"/>
      <c r="K15" s="367"/>
      <c r="L15" s="367"/>
      <c r="M15" s="367"/>
      <c r="N15" s="367"/>
      <c r="O15" s="367"/>
      <c r="P15" s="367"/>
      <c r="Q15" s="367"/>
      <c r="R15" s="367"/>
      <c r="S15" s="367"/>
      <c r="T15" s="367"/>
      <c r="U15" s="367"/>
      <c r="V15" s="367"/>
      <c r="W15" s="367"/>
      <c r="X15" s="367"/>
      <c r="Y15" s="367"/>
      <c r="Z15" s="367"/>
      <c r="AA15" s="367"/>
      <c r="AB15" s="367"/>
      <c r="AC15" s="367"/>
      <c r="AD15" s="367"/>
    </row>
    <row r="16" ht="38.25" customHeight="1">
      <c r="A16" s="414">
        <f>+SUMMARY!A14</f>
        <v>44539</v>
      </c>
      <c r="B16" s="378">
        <f>+SUMMARY!B14</f>
        <v>19152.0555</v>
      </c>
      <c r="C16" s="378">
        <f>+SUMMARY!C14</f>
        <v>17516.80046</v>
      </c>
      <c r="D16" s="378">
        <f>+SUMMARY!D14</f>
        <v>488.837856</v>
      </c>
      <c r="E16" s="378">
        <f>+SUMMARY!E14</f>
        <v>145.2</v>
      </c>
      <c r="F16" s="378">
        <f>+SUMMARY!F14</f>
        <v>666.8355141</v>
      </c>
      <c r="G16" s="378">
        <f>+SUMMARY!G14</f>
        <v>334.3816746</v>
      </c>
      <c r="H16" s="415" t="str">
        <f>+SUMMARY!H14</f>
        <v/>
      </c>
      <c r="I16" s="416">
        <f t="shared" si="1"/>
        <v>0.007581431664</v>
      </c>
      <c r="J16" s="381"/>
      <c r="K16" s="367"/>
      <c r="L16" s="367"/>
      <c r="M16" s="367"/>
      <c r="N16" s="367"/>
      <c r="O16" s="367"/>
      <c r="P16" s="367"/>
      <c r="Q16" s="367"/>
      <c r="R16" s="367"/>
      <c r="S16" s="367"/>
      <c r="T16" s="367"/>
      <c r="U16" s="367"/>
      <c r="V16" s="367"/>
      <c r="W16" s="367"/>
      <c r="X16" s="367"/>
      <c r="Y16" s="367"/>
      <c r="Z16" s="367"/>
      <c r="AA16" s="367"/>
      <c r="AB16" s="367"/>
      <c r="AC16" s="367"/>
      <c r="AD16" s="367"/>
    </row>
    <row r="17" ht="38.25" customHeight="1">
      <c r="A17" s="414">
        <f>+SUMMARY!A15</f>
        <v>44540</v>
      </c>
      <c r="B17" s="378">
        <f>+SUMMARY!B15</f>
        <v>46525.2376</v>
      </c>
      <c r="C17" s="378">
        <f>+SUMMARY!C15</f>
        <v>42822.04164</v>
      </c>
      <c r="D17" s="378">
        <f>+SUMMARY!D15</f>
        <v>610.334472</v>
      </c>
      <c r="E17" s="378">
        <f>+SUMMARY!E15</f>
        <v>244.2</v>
      </c>
      <c r="F17" s="378">
        <f>+SUMMARY!F15</f>
        <v>1480.120358</v>
      </c>
      <c r="G17" s="378">
        <f>+SUMMARY!G15</f>
        <v>1368.541131</v>
      </c>
      <c r="H17" s="415" t="str">
        <f>+SUMMARY!H15</f>
        <v/>
      </c>
      <c r="I17" s="416">
        <f t="shared" si="1"/>
        <v>0.005248764168</v>
      </c>
      <c r="J17" s="381"/>
      <c r="K17" s="367"/>
      <c r="L17" s="367"/>
      <c r="M17" s="367"/>
      <c r="N17" s="367"/>
      <c r="O17" s="367"/>
      <c r="P17" s="367"/>
      <c r="Q17" s="367"/>
      <c r="R17" s="367"/>
      <c r="S17" s="367"/>
      <c r="T17" s="367"/>
      <c r="U17" s="367"/>
      <c r="V17" s="367"/>
      <c r="W17" s="367"/>
      <c r="X17" s="367"/>
      <c r="Y17" s="367"/>
      <c r="Z17" s="367"/>
      <c r="AA17" s="367"/>
      <c r="AB17" s="367"/>
      <c r="AC17" s="367"/>
      <c r="AD17" s="367"/>
    </row>
    <row r="18" ht="38.25" customHeight="1">
      <c r="A18" s="414">
        <f>+SUMMARY!A16</f>
        <v>44541</v>
      </c>
      <c r="B18" s="378">
        <f>+SUMMARY!B16</f>
        <v>11519.9157</v>
      </c>
      <c r="C18" s="378">
        <f>+SUMMARY!C16</f>
        <v>10249.88662</v>
      </c>
      <c r="D18" s="378">
        <f>+SUMMARY!D16</f>
        <v>199.6899765</v>
      </c>
      <c r="E18" s="378">
        <f>+SUMMARY!E16</f>
        <v>88.8</v>
      </c>
      <c r="F18" s="378">
        <f>+SUMMARY!F16</f>
        <v>893.1945127</v>
      </c>
      <c r="G18" s="378">
        <f>+SUMMARY!G16</f>
        <v>88.34458815</v>
      </c>
      <c r="H18" s="415" t="str">
        <f>+SUMMARY!H16</f>
        <v/>
      </c>
      <c r="I18" s="416">
        <f t="shared" si="1"/>
        <v>0.007708389741</v>
      </c>
      <c r="J18" s="381"/>
      <c r="K18" s="367"/>
      <c r="L18" s="367"/>
      <c r="M18" s="367"/>
      <c r="N18" s="367"/>
      <c r="O18" s="367"/>
      <c r="P18" s="367"/>
      <c r="Q18" s="367"/>
      <c r="R18" s="367"/>
      <c r="S18" s="367"/>
      <c r="T18" s="367"/>
      <c r="U18" s="367"/>
      <c r="V18" s="367"/>
      <c r="W18" s="367"/>
      <c r="X18" s="367"/>
      <c r="Y18" s="367"/>
      <c r="Z18" s="367"/>
      <c r="AA18" s="367"/>
      <c r="AB18" s="367"/>
      <c r="AC18" s="367"/>
      <c r="AD18" s="367"/>
    </row>
    <row r="19" ht="38.25" customHeight="1">
      <c r="A19" s="414">
        <f>+SUMMARY!A17</f>
        <v>44543</v>
      </c>
      <c r="B19" s="378">
        <f>+SUMMARY!B17</f>
        <v>36168.6977</v>
      </c>
      <c r="C19" s="378">
        <f>+SUMMARY!C17</f>
        <v>33701.01894</v>
      </c>
      <c r="D19" s="378">
        <f>+SUMMARY!D17</f>
        <v>1012.816924</v>
      </c>
      <c r="E19" s="378">
        <f>+SUMMARY!E17</f>
        <v>306.6</v>
      </c>
      <c r="F19" s="378">
        <f>+SUMMARY!F17</f>
        <v>1513.728918</v>
      </c>
      <c r="G19" s="378">
        <f>+SUMMARY!G17</f>
        <v>-365.467078</v>
      </c>
      <c r="H19" s="415" t="str">
        <f>+SUMMARY!H17</f>
        <v/>
      </c>
      <c r="I19" s="416">
        <f t="shared" si="1"/>
        <v>0.00847694331</v>
      </c>
      <c r="J19" s="381"/>
      <c r="K19" s="367"/>
      <c r="L19" s="367"/>
      <c r="M19" s="367"/>
      <c r="N19" s="367"/>
      <c r="O19" s="367"/>
      <c r="P19" s="367"/>
      <c r="Q19" s="367"/>
      <c r="R19" s="367"/>
      <c r="S19" s="367"/>
      <c r="T19" s="367"/>
      <c r="U19" s="367"/>
      <c r="V19" s="367"/>
      <c r="W19" s="367"/>
      <c r="X19" s="367"/>
      <c r="Y19" s="367"/>
      <c r="Z19" s="367"/>
      <c r="AA19" s="367"/>
      <c r="AB19" s="367"/>
      <c r="AC19" s="367"/>
      <c r="AD19" s="367"/>
    </row>
    <row r="20" ht="38.25" customHeight="1">
      <c r="A20" s="414">
        <f>+SUMMARY!A18</f>
        <v>44544</v>
      </c>
      <c r="B20" s="378">
        <f>+SUMMARY!B18</f>
        <v>30281.139</v>
      </c>
      <c r="C20" s="378">
        <f>+SUMMARY!C18</f>
        <v>27514.84631</v>
      </c>
      <c r="D20" s="378">
        <f>+SUMMARY!D18</f>
        <v>206.6646195</v>
      </c>
      <c r="E20" s="378">
        <f>+SUMMARY!E18</f>
        <v>75</v>
      </c>
      <c r="F20" s="378">
        <f>+SUMMARY!F18</f>
        <v>1987.77499</v>
      </c>
      <c r="G20" s="378">
        <f>+SUMMARY!G18</f>
        <v>496.8530801</v>
      </c>
      <c r="H20" s="415" t="str">
        <f>+SUMMARY!H18</f>
        <v/>
      </c>
      <c r="I20" s="416">
        <f t="shared" si="1"/>
        <v>0.002476789265</v>
      </c>
      <c r="J20" s="381"/>
      <c r="K20" s="367"/>
      <c r="L20" s="367"/>
      <c r="M20" s="367"/>
      <c r="N20" s="367"/>
      <c r="O20" s="367"/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7"/>
      <c r="AA20" s="367"/>
      <c r="AB20" s="367"/>
      <c r="AC20" s="367"/>
      <c r="AD20" s="367"/>
    </row>
    <row r="21" ht="38.25" customHeight="1">
      <c r="A21" s="414">
        <f>+SUMMARY!A19</f>
        <v>44545</v>
      </c>
      <c r="B21" s="378">
        <f>+SUMMARY!B19</f>
        <v>43880.2607</v>
      </c>
      <c r="C21" s="378">
        <f>+SUMMARY!C19</f>
        <v>40592.75102</v>
      </c>
      <c r="D21" s="378">
        <f>+SUMMARY!D19</f>
        <v>635.65626</v>
      </c>
      <c r="E21" s="378">
        <f>+SUMMARY!E19</f>
        <v>216.6</v>
      </c>
      <c r="F21" s="378">
        <f>+SUMMARY!F19</f>
        <v>1311.015018</v>
      </c>
      <c r="G21" s="378">
        <f>+SUMMARY!G19</f>
        <v>1124.238401</v>
      </c>
      <c r="H21" s="415" t="str">
        <f>+SUMMARY!H19</f>
        <v/>
      </c>
      <c r="I21" s="416">
        <f t="shared" si="1"/>
        <v>0.004936160281</v>
      </c>
      <c r="J21" s="381"/>
      <c r="K21" s="367"/>
      <c r="L21" s="367"/>
      <c r="M21" s="367"/>
      <c r="N21" s="367"/>
      <c r="O21" s="367"/>
      <c r="P21" s="367"/>
      <c r="Q21" s="367"/>
      <c r="R21" s="367"/>
      <c r="S21" s="367"/>
      <c r="T21" s="367"/>
      <c r="U21" s="367"/>
      <c r="V21" s="367"/>
      <c r="W21" s="367"/>
      <c r="X21" s="367"/>
      <c r="Y21" s="367"/>
      <c r="Z21" s="367"/>
      <c r="AA21" s="367"/>
      <c r="AB21" s="367"/>
      <c r="AC21" s="367"/>
      <c r="AD21" s="367"/>
    </row>
    <row r="22" ht="38.25" customHeight="1">
      <c r="A22" s="414">
        <f>+SUMMARY!A20</f>
        <v>44547</v>
      </c>
      <c r="B22" s="378">
        <f>+SUMMARY!B20</f>
        <v>59740.1166</v>
      </c>
      <c r="C22" s="378">
        <f>+SUMMARY!C20</f>
        <v>55609.71205</v>
      </c>
      <c r="D22" s="378">
        <f>+SUMMARY!D20</f>
        <v>754.0013955</v>
      </c>
      <c r="E22" s="378">
        <f>+SUMMARY!E20</f>
        <v>277.8</v>
      </c>
      <c r="F22" s="378">
        <f>+SUMMARY!F20</f>
        <v>2190.8064</v>
      </c>
      <c r="G22" s="378">
        <f>+SUMMARY!G20</f>
        <v>907.7967536</v>
      </c>
      <c r="H22" s="415" t="str">
        <f>+SUMMARY!H20</f>
        <v/>
      </c>
      <c r="I22" s="416">
        <f t="shared" si="1"/>
        <v>0.004650141577</v>
      </c>
      <c r="J22" s="381"/>
      <c r="K22" s="367"/>
      <c r="L22" s="367"/>
      <c r="M22" s="367"/>
      <c r="N22" s="367"/>
      <c r="O22" s="367"/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7"/>
      <c r="AA22" s="367"/>
      <c r="AB22" s="367"/>
      <c r="AC22" s="367"/>
      <c r="AD22" s="367"/>
    </row>
    <row r="23" ht="38.25" customHeight="1">
      <c r="A23" s="414">
        <f>+SUMMARY!A21</f>
        <v>44548</v>
      </c>
      <c r="B23" s="378">
        <f>+SUMMARY!B21</f>
        <v>17552.8779</v>
      </c>
      <c r="C23" s="378">
        <f>+SUMMARY!C21</f>
        <v>16369.64108</v>
      </c>
      <c r="D23" s="378">
        <f>+SUMMARY!D21</f>
        <v>337.073944</v>
      </c>
      <c r="E23" s="378">
        <f>+SUMMARY!E21</f>
        <v>139.8</v>
      </c>
      <c r="F23" s="378">
        <f>+SUMMARY!F21</f>
        <v>398.1750552</v>
      </c>
      <c r="G23" s="378">
        <f>+SUMMARY!G21</f>
        <v>308.1878206</v>
      </c>
      <c r="H23" s="415" t="str">
        <f>+SUMMARY!H21</f>
        <v/>
      </c>
      <c r="I23" s="416">
        <f t="shared" si="1"/>
        <v>0.007964505923</v>
      </c>
      <c r="J23" s="381"/>
      <c r="K23" s="367"/>
      <c r="L23" s="367"/>
      <c r="M23" s="367"/>
      <c r="N23" s="367"/>
      <c r="O23" s="367"/>
      <c r="P23" s="367"/>
      <c r="Q23" s="367"/>
      <c r="R23" s="367"/>
      <c r="S23" s="367"/>
      <c r="T23" s="367"/>
      <c r="U23" s="367"/>
      <c r="V23" s="367"/>
      <c r="W23" s="367"/>
      <c r="X23" s="367"/>
      <c r="Y23" s="367"/>
      <c r="Z23" s="367"/>
      <c r="AA23" s="367"/>
      <c r="AB23" s="367"/>
      <c r="AC23" s="367"/>
      <c r="AD23" s="367"/>
    </row>
    <row r="24" ht="38.25" customHeight="1">
      <c r="A24" s="414">
        <f>+SUMMARY!A22</f>
        <v>44549</v>
      </c>
      <c r="B24" s="378">
        <f>+SUMMARY!B22</f>
        <v>6959.5194</v>
      </c>
      <c r="C24" s="378">
        <f>+SUMMARY!C22</f>
        <v>6117.789559</v>
      </c>
      <c r="D24" s="378">
        <f>+SUMMARY!D22</f>
        <v>154.331892</v>
      </c>
      <c r="E24" s="378">
        <f>+SUMMARY!E22</f>
        <v>48.6</v>
      </c>
      <c r="F24" s="378">
        <f>+SUMMARY!F22</f>
        <v>592.3052618</v>
      </c>
      <c r="G24" s="378">
        <f>+SUMMARY!G22</f>
        <v>46.49268762</v>
      </c>
      <c r="H24" s="415" t="str">
        <f>+SUMMARY!H22</f>
        <v/>
      </c>
      <c r="I24" s="416">
        <f t="shared" si="1"/>
        <v>0.006983240826</v>
      </c>
      <c r="J24" s="381"/>
      <c r="K24" s="367"/>
      <c r="L24" s="367"/>
      <c r="M24" s="367"/>
      <c r="N24" s="367"/>
      <c r="O24" s="367"/>
      <c r="P24" s="367"/>
      <c r="Q24" s="367"/>
      <c r="R24" s="367"/>
      <c r="S24" s="367"/>
      <c r="T24" s="367"/>
      <c r="U24" s="367"/>
      <c r="V24" s="367"/>
      <c r="W24" s="367"/>
      <c r="X24" s="367"/>
      <c r="Y24" s="367"/>
      <c r="Z24" s="367"/>
      <c r="AA24" s="367"/>
      <c r="AB24" s="367"/>
      <c r="AC24" s="367"/>
      <c r="AD24" s="367"/>
    </row>
    <row r="25" ht="38.25" customHeight="1">
      <c r="A25" s="414">
        <f>+SUMMARY!A23</f>
        <v>44550</v>
      </c>
      <c r="B25" s="378">
        <f>+SUMMARY!B23</f>
        <v>42498.824</v>
      </c>
      <c r="C25" s="378">
        <f>+SUMMARY!C23</f>
        <v>38599.86759</v>
      </c>
      <c r="D25" s="378">
        <f>+SUMMARY!D23</f>
        <v>0</v>
      </c>
      <c r="E25" s="378">
        <f>+SUMMARY!E23</f>
        <v>192.6</v>
      </c>
      <c r="F25" s="378">
        <f>+SUMMARY!F23</f>
        <v>2211.350853</v>
      </c>
      <c r="G25" s="378">
        <f>+SUMMARY!G23</f>
        <v>1495.005558</v>
      </c>
      <c r="H25" s="415" t="str">
        <f>+SUMMARY!H23</f>
        <v/>
      </c>
      <c r="I25" s="416">
        <f t="shared" si="1"/>
        <v>0.004531890106</v>
      </c>
      <c r="J25" s="418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19"/>
      <c r="V25" s="419"/>
      <c r="W25" s="419"/>
      <c r="X25" s="419"/>
      <c r="Y25" s="419"/>
      <c r="Z25" s="419"/>
      <c r="AA25" s="419"/>
      <c r="AB25" s="419"/>
      <c r="AC25" s="419"/>
      <c r="AD25" s="419"/>
    </row>
    <row r="26" ht="38.25" customHeight="1">
      <c r="A26" s="414">
        <f>+SUMMARY!A24</f>
        <v>44551</v>
      </c>
      <c r="B26" s="378">
        <f>+SUMMARY!B24</f>
        <v>51812.5395</v>
      </c>
      <c r="C26" s="378">
        <f>+SUMMARY!C24</f>
        <v>47543.99022</v>
      </c>
      <c r="D26" s="378">
        <f>+SUMMARY!D24</f>
        <v>0</v>
      </c>
      <c r="E26" s="378">
        <f>+SUMMARY!E24</f>
        <v>157.2</v>
      </c>
      <c r="F26" s="378">
        <f>+SUMMARY!F24</f>
        <v>2383.992472</v>
      </c>
      <c r="G26" s="378">
        <f>+SUMMARY!G24</f>
        <v>1727.356804</v>
      </c>
      <c r="H26" s="415" t="str">
        <f>+SUMMARY!H24</f>
        <v/>
      </c>
      <c r="I26" s="416">
        <f t="shared" si="1"/>
        <v>0.003034014575</v>
      </c>
      <c r="J26" s="381"/>
      <c r="K26" s="367"/>
      <c r="L26" s="367"/>
      <c r="M26" s="367"/>
      <c r="N26" s="367"/>
      <c r="O26" s="367"/>
      <c r="P26" s="367"/>
      <c r="Q26" s="367"/>
      <c r="R26" s="367"/>
      <c r="S26" s="367"/>
      <c r="T26" s="367"/>
      <c r="U26" s="367"/>
      <c r="V26" s="367"/>
      <c r="W26" s="367"/>
      <c r="X26" s="367"/>
      <c r="Y26" s="367"/>
      <c r="Z26" s="367"/>
      <c r="AA26" s="367"/>
      <c r="AB26" s="367"/>
      <c r="AC26" s="367"/>
      <c r="AD26" s="367"/>
    </row>
    <row r="27" ht="38.25" customHeight="1">
      <c r="A27" s="414">
        <f>+SUMMARY!A25</f>
        <v>44552</v>
      </c>
      <c r="B27" s="378">
        <f>+SUMMARY!B25</f>
        <v>41459.244</v>
      </c>
      <c r="C27" s="378">
        <f>+SUMMARY!C25</f>
        <v>38670.27177</v>
      </c>
      <c r="D27" s="378">
        <f>+SUMMARY!D25</f>
        <v>0</v>
      </c>
      <c r="E27" s="378">
        <f>+SUMMARY!E25</f>
        <v>193.2</v>
      </c>
      <c r="F27" s="378">
        <f>+SUMMARY!F25</f>
        <v>934.4075244</v>
      </c>
      <c r="G27" s="378">
        <f>+SUMMARY!G25</f>
        <v>1661.364709</v>
      </c>
      <c r="H27" s="415" t="str">
        <f>+SUMMARY!H25</f>
        <v/>
      </c>
      <c r="I27" s="416">
        <f t="shared" si="1"/>
        <v>0.004659998142</v>
      </c>
      <c r="J27" s="381"/>
      <c r="K27" s="367"/>
      <c r="L27" s="367"/>
      <c r="M27" s="367"/>
      <c r="N27" s="367"/>
      <c r="O27" s="367"/>
      <c r="P27" s="367"/>
      <c r="Q27" s="367"/>
      <c r="R27" s="367"/>
      <c r="S27" s="367"/>
      <c r="T27" s="367"/>
      <c r="U27" s="367"/>
      <c r="V27" s="367"/>
      <c r="W27" s="367"/>
      <c r="X27" s="367"/>
      <c r="Y27" s="367"/>
      <c r="Z27" s="367"/>
      <c r="AA27" s="367"/>
      <c r="AB27" s="367"/>
      <c r="AC27" s="367"/>
      <c r="AD27" s="367"/>
    </row>
    <row r="28" ht="38.25" customHeight="1">
      <c r="A28" s="414">
        <f>+SUMMARY!A26</f>
        <v>44553</v>
      </c>
      <c r="B28" s="378">
        <f>+SUMMARY!B26</f>
        <v>32416.9951</v>
      </c>
      <c r="C28" s="378">
        <f>+SUMMARY!C26</f>
        <v>30448.34276</v>
      </c>
      <c r="D28" s="378">
        <f>+SUMMARY!D26</f>
        <v>0</v>
      </c>
      <c r="E28" s="378">
        <f>+SUMMARY!E26</f>
        <v>191.4</v>
      </c>
      <c r="F28" s="378">
        <f>+SUMMARY!F26</f>
        <v>970.3027349</v>
      </c>
      <c r="G28" s="378">
        <f>+SUMMARY!G26</f>
        <v>806.9496061</v>
      </c>
      <c r="H28" s="415" t="str">
        <f>+SUMMARY!H26</f>
        <v/>
      </c>
      <c r="I28" s="416">
        <f t="shared" si="1"/>
        <v>0.00590431036</v>
      </c>
      <c r="J28" s="381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</row>
    <row r="29" ht="38.25" customHeight="1">
      <c r="A29" s="414">
        <f>+SUMMARY!A27</f>
        <v>44554</v>
      </c>
      <c r="B29" s="378">
        <f>+SUMMARY!B27</f>
        <v>47245.3448</v>
      </c>
      <c r="C29" s="378">
        <f>+SUMMARY!C27</f>
        <v>44537.77476</v>
      </c>
      <c r="D29" s="378">
        <f>+SUMMARY!D27</f>
        <v>0</v>
      </c>
      <c r="E29" s="378">
        <f>+SUMMARY!E27</f>
        <v>163.2</v>
      </c>
      <c r="F29" s="378">
        <f>+SUMMARY!F27</f>
        <v>903.1886236</v>
      </c>
      <c r="G29" s="378">
        <f>+SUMMARY!G27</f>
        <v>1641.181418</v>
      </c>
      <c r="H29" s="417" t="str">
        <f>+SUMMARY!H27</f>
        <v/>
      </c>
      <c r="I29" s="416">
        <f t="shared" si="1"/>
        <v>0.003454308582</v>
      </c>
      <c r="J29" s="381"/>
      <c r="K29" s="367"/>
      <c r="L29" s="367"/>
      <c r="M29" s="367"/>
      <c r="N29" s="367"/>
      <c r="O29" s="367"/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7"/>
      <c r="AA29" s="367"/>
      <c r="AB29" s="367"/>
      <c r="AC29" s="367"/>
      <c r="AD29" s="367"/>
    </row>
    <row r="30" ht="38.25" customHeight="1">
      <c r="A30" s="414">
        <f>+SUMMARY!A28</f>
        <v>44555</v>
      </c>
      <c r="B30" s="378">
        <f>+SUMMARY!B28</f>
        <v>40892.6312</v>
      </c>
      <c r="C30" s="378">
        <f>+SUMMARY!C28</f>
        <v>37974.33568</v>
      </c>
      <c r="D30" s="378">
        <f>+SUMMARY!D28</f>
        <v>0</v>
      </c>
      <c r="E30" s="378">
        <f>+SUMMARY!E28</f>
        <v>202.8</v>
      </c>
      <c r="F30" s="378">
        <f>+SUMMARY!F28</f>
        <v>1565.157998</v>
      </c>
      <c r="G30" s="378">
        <f>+SUMMARY!G28</f>
        <v>1150.337527</v>
      </c>
      <c r="H30" s="415" t="str">
        <f>+SUMMARY!H28</f>
        <v/>
      </c>
      <c r="I30" s="416">
        <f t="shared" si="1"/>
        <v>0.004959328712</v>
      </c>
      <c r="J30" s="381"/>
      <c r="K30" s="367"/>
      <c r="L30" s="367"/>
      <c r="M30" s="367"/>
      <c r="N30" s="367"/>
      <c r="O30" s="367"/>
      <c r="P30" s="367"/>
      <c r="Q30" s="367"/>
      <c r="R30" s="367"/>
      <c r="S30" s="367"/>
      <c r="T30" s="367"/>
      <c r="U30" s="367"/>
      <c r="V30" s="367"/>
      <c r="W30" s="367"/>
      <c r="X30" s="367"/>
      <c r="Y30" s="367"/>
      <c r="Z30" s="367"/>
      <c r="AA30" s="367"/>
      <c r="AB30" s="367"/>
      <c r="AC30" s="367"/>
      <c r="AD30" s="367"/>
    </row>
    <row r="31" ht="38.25" customHeight="1">
      <c r="A31" s="414">
        <f>+SUMMARY!A29</f>
        <v>44557</v>
      </c>
      <c r="B31" s="378">
        <f>+SUMMARY!B29</f>
        <v>54168.1505</v>
      </c>
      <c r="C31" s="378">
        <f>+SUMMARY!C29</f>
        <v>49238.03389</v>
      </c>
      <c r="D31" s="378">
        <f>+SUMMARY!D29</f>
        <v>0</v>
      </c>
      <c r="E31" s="378">
        <f>+SUMMARY!E29</f>
        <v>242.4</v>
      </c>
      <c r="F31" s="378">
        <f>+SUMMARY!F29</f>
        <v>2068.939212</v>
      </c>
      <c r="G31" s="378">
        <f>+SUMMARY!G29</f>
        <v>2618.777397</v>
      </c>
      <c r="H31" s="415" t="str">
        <f>+SUMMARY!H29</f>
        <v/>
      </c>
      <c r="I31" s="416">
        <f t="shared" si="1"/>
        <v>0.004474954337</v>
      </c>
      <c r="J31" s="381"/>
      <c r="K31" s="367"/>
      <c r="L31" s="367"/>
      <c r="M31" s="367"/>
      <c r="N31" s="367"/>
      <c r="O31" s="367"/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7"/>
      <c r="AA31" s="367"/>
      <c r="AB31" s="367"/>
      <c r="AC31" s="367"/>
      <c r="AD31" s="367"/>
    </row>
    <row r="32" ht="38.25" customHeight="1">
      <c r="A32" s="414">
        <f>+SUMMARY!A30</f>
        <v>44558</v>
      </c>
      <c r="B32" s="378">
        <f>+SUMMARY!B30</f>
        <v>43533.2527</v>
      </c>
      <c r="C32" s="378">
        <f>+SUMMARY!C30</f>
        <v>40565.30544</v>
      </c>
      <c r="D32" s="378">
        <f>+SUMMARY!D30</f>
        <v>0</v>
      </c>
      <c r="E32" s="378">
        <f>+SUMMARY!E30</f>
        <v>244.8</v>
      </c>
      <c r="F32" s="378">
        <f>+SUMMARY!F30</f>
        <v>1442.964291</v>
      </c>
      <c r="G32" s="378">
        <f>+SUMMARY!G30</f>
        <v>1280.182973</v>
      </c>
      <c r="H32" s="417" t="str">
        <f>+SUMMARY!H30</f>
        <v/>
      </c>
      <c r="I32" s="416">
        <f t="shared" si="1"/>
        <v>0.005623287598</v>
      </c>
      <c r="J32" s="381"/>
      <c r="K32" s="367"/>
      <c r="L32" s="367"/>
      <c r="M32" s="367"/>
      <c r="N32" s="367"/>
      <c r="O32" s="367"/>
      <c r="P32" s="367"/>
      <c r="Q32" s="367"/>
      <c r="R32" s="367"/>
      <c r="S32" s="367"/>
      <c r="T32" s="367"/>
      <c r="U32" s="367"/>
      <c r="V32" s="367"/>
      <c r="W32" s="367"/>
      <c r="X32" s="367"/>
      <c r="Y32" s="367"/>
      <c r="Z32" s="367"/>
      <c r="AA32" s="367"/>
      <c r="AB32" s="367"/>
      <c r="AC32" s="367"/>
      <c r="AD32" s="367"/>
    </row>
    <row r="33" ht="38.25" customHeight="1">
      <c r="A33" s="414" t="str">
        <f>+SUMMARY!#REF!</f>
        <v>#ERROR!</v>
      </c>
      <c r="B33" s="378" t="str">
        <f>+SUMMARY!#REF!</f>
        <v>#ERROR!</v>
      </c>
      <c r="C33" s="378" t="str">
        <f>+SUMMARY!#REF!</f>
        <v>#ERROR!</v>
      </c>
      <c r="D33" s="378" t="str">
        <f>+SUMMARY!#REF!</f>
        <v>#ERROR!</v>
      </c>
      <c r="E33" s="378" t="str">
        <f>+SUMMARY!#REF!</f>
        <v>#ERROR!</v>
      </c>
      <c r="F33" s="378" t="str">
        <f>+SUMMARY!#REF!</f>
        <v>#ERROR!</v>
      </c>
      <c r="G33" s="378" t="str">
        <f>+SUMMARY!#REF!</f>
        <v>#ERROR!</v>
      </c>
      <c r="H33" s="415" t="str">
        <f>+SUMMARY!#REF!</f>
        <v>#ERROR!</v>
      </c>
      <c r="I33" s="416" t="str">
        <f t="shared" si="1"/>
        <v>#ERROR!</v>
      </c>
      <c r="J33" s="381"/>
      <c r="K33" s="367"/>
      <c r="L33" s="367"/>
      <c r="M33" s="367"/>
      <c r="N33" s="367"/>
      <c r="O33" s="367"/>
      <c r="P33" s="367"/>
      <c r="Q33" s="367"/>
      <c r="R33" s="367"/>
      <c r="S33" s="367"/>
      <c r="T33" s="367"/>
      <c r="U33" s="367"/>
      <c r="V33" s="367"/>
      <c r="W33" s="367"/>
      <c r="X33" s="367"/>
      <c r="Y33" s="367"/>
      <c r="Z33" s="367"/>
      <c r="AA33" s="367"/>
      <c r="AB33" s="367"/>
      <c r="AC33" s="367"/>
      <c r="AD33" s="367"/>
    </row>
    <row r="34" ht="38.25" customHeight="1">
      <c r="A34" s="414" t="str">
        <f>+SUMMARY!#REF!</f>
        <v>#ERROR!</v>
      </c>
      <c r="B34" s="378" t="str">
        <f>+SUMMARY!#REF!</f>
        <v>#ERROR!</v>
      </c>
      <c r="C34" s="378" t="str">
        <f>+SUMMARY!#REF!</f>
        <v>#ERROR!</v>
      </c>
      <c r="D34" s="378" t="str">
        <f>+SUMMARY!#REF!</f>
        <v>#ERROR!</v>
      </c>
      <c r="E34" s="378" t="str">
        <f>+SUMMARY!#REF!</f>
        <v>#ERROR!</v>
      </c>
      <c r="F34" s="378" t="str">
        <f>+SUMMARY!#REF!</f>
        <v>#ERROR!</v>
      </c>
      <c r="G34" s="378" t="str">
        <f>+SUMMARY!#REF!</f>
        <v>#ERROR!</v>
      </c>
      <c r="H34" s="415" t="str">
        <f>+SUMMARY!#REF!</f>
        <v>#ERROR!</v>
      </c>
      <c r="I34" s="416" t="str">
        <f t="shared" si="1"/>
        <v>#ERROR!</v>
      </c>
      <c r="J34" s="381"/>
      <c r="K34" s="367"/>
      <c r="L34" s="367"/>
      <c r="M34" s="367"/>
      <c r="N34" s="367"/>
      <c r="O34" s="367"/>
      <c r="P34" s="367"/>
      <c r="Q34" s="367"/>
      <c r="R34" s="367"/>
      <c r="S34" s="367"/>
      <c r="T34" s="367"/>
      <c r="U34" s="367"/>
      <c r="V34" s="367"/>
      <c r="W34" s="367"/>
      <c r="X34" s="367"/>
      <c r="Y34" s="367"/>
      <c r="Z34" s="367"/>
      <c r="AA34" s="367"/>
      <c r="AB34" s="367"/>
      <c r="AC34" s="367"/>
      <c r="AD34" s="367"/>
    </row>
    <row r="35" ht="38.25" customHeight="1">
      <c r="A35" s="414" t="str">
        <f>+SUMMARY!#REF!</f>
        <v>#ERROR!</v>
      </c>
      <c r="B35" s="378" t="str">
        <f>+SUMMARY!#REF!</f>
        <v>#ERROR!</v>
      </c>
      <c r="C35" s="378" t="str">
        <f>+SUMMARY!#REF!</f>
        <v>#ERROR!</v>
      </c>
      <c r="D35" s="378" t="str">
        <f>+SUMMARY!#REF!</f>
        <v>#ERROR!</v>
      </c>
      <c r="E35" s="378" t="str">
        <f>+SUMMARY!#REF!</f>
        <v>#ERROR!</v>
      </c>
      <c r="F35" s="378" t="str">
        <f>+SUMMARY!#REF!</f>
        <v>#ERROR!</v>
      </c>
      <c r="G35" s="378" t="str">
        <f>+SUMMARY!#REF!</f>
        <v>#ERROR!</v>
      </c>
      <c r="H35" s="415" t="str">
        <f>+SUMMARY!#REF!</f>
        <v>#ERROR!</v>
      </c>
      <c r="I35" s="416" t="str">
        <f t="shared" si="1"/>
        <v>#ERROR!</v>
      </c>
      <c r="J35" s="381"/>
      <c r="K35" s="367"/>
      <c r="L35" s="367"/>
      <c r="M35" s="367"/>
      <c r="N35" s="367"/>
      <c r="O35" s="367"/>
      <c r="P35" s="367"/>
      <c r="Q35" s="367"/>
      <c r="R35" s="367"/>
      <c r="S35" s="367"/>
      <c r="T35" s="367"/>
      <c r="U35" s="367"/>
      <c r="V35" s="367"/>
      <c r="W35" s="367"/>
      <c r="X35" s="367"/>
      <c r="Y35" s="367"/>
      <c r="Z35" s="367"/>
      <c r="AA35" s="367"/>
      <c r="AB35" s="367"/>
      <c r="AC35" s="367"/>
      <c r="AD35" s="367"/>
    </row>
    <row r="36" ht="38.25" customHeight="1">
      <c r="A36" s="414" t="str">
        <f>+SUMMARY!#REF!</f>
        <v>#ERROR!</v>
      </c>
      <c r="B36" s="378" t="str">
        <f>+SUMMARY!#REF!</f>
        <v>#ERROR!</v>
      </c>
      <c r="C36" s="378" t="str">
        <f>+SUMMARY!#REF!</f>
        <v>#ERROR!</v>
      </c>
      <c r="D36" s="378" t="str">
        <f>+SUMMARY!#REF!</f>
        <v>#ERROR!</v>
      </c>
      <c r="E36" s="378" t="str">
        <f>+SUMMARY!#REF!</f>
        <v>#ERROR!</v>
      </c>
      <c r="F36" s="378" t="str">
        <f>+SUMMARY!#REF!</f>
        <v>#ERROR!</v>
      </c>
      <c r="G36" s="378" t="str">
        <f>+SUMMARY!#REF!</f>
        <v>#ERROR!</v>
      </c>
      <c r="H36" s="415" t="str">
        <f>+SUMMARY!#REF!</f>
        <v>#ERROR!</v>
      </c>
      <c r="I36" s="416" t="str">
        <f t="shared" si="1"/>
        <v>#ERROR!</v>
      </c>
      <c r="J36" s="381"/>
      <c r="K36" s="367"/>
      <c r="L36" s="367"/>
      <c r="M36" s="367"/>
      <c r="N36" s="367"/>
      <c r="O36" s="367"/>
      <c r="P36" s="367"/>
      <c r="Q36" s="367"/>
      <c r="R36" s="367"/>
      <c r="S36" s="367"/>
      <c r="T36" s="367"/>
      <c r="U36" s="367"/>
      <c r="V36" s="367"/>
      <c r="W36" s="367"/>
      <c r="X36" s="367"/>
      <c r="Y36" s="367"/>
      <c r="Z36" s="367"/>
      <c r="AA36" s="367"/>
      <c r="AB36" s="367"/>
      <c r="AC36" s="367"/>
      <c r="AD36" s="367"/>
    </row>
    <row r="37" ht="38.25" customHeight="1">
      <c r="A37" s="414" t="str">
        <f>+SUMMARY!#REF!</f>
        <v>#ERROR!</v>
      </c>
      <c r="B37" s="378" t="str">
        <f>+SUMMARY!#REF!</f>
        <v>#ERROR!</v>
      </c>
      <c r="C37" s="378" t="str">
        <f>+SUMMARY!#REF!</f>
        <v>#ERROR!</v>
      </c>
      <c r="D37" s="378" t="str">
        <f>+SUMMARY!#REF!</f>
        <v>#ERROR!</v>
      </c>
      <c r="E37" s="378" t="str">
        <f>+SUMMARY!#REF!</f>
        <v>#ERROR!</v>
      </c>
      <c r="F37" s="378" t="str">
        <f>+SUMMARY!#REF!</f>
        <v>#ERROR!</v>
      </c>
      <c r="G37" s="378" t="str">
        <f>+SUMMARY!#REF!</f>
        <v>#ERROR!</v>
      </c>
      <c r="H37" s="415" t="str">
        <f>+SUMMARY!#REF!</f>
        <v>#ERROR!</v>
      </c>
      <c r="I37" s="416" t="str">
        <f t="shared" si="1"/>
        <v>#ERROR!</v>
      </c>
      <c r="J37" s="381"/>
      <c r="K37" s="367"/>
      <c r="L37" s="367"/>
      <c r="M37" s="367"/>
      <c r="N37" s="367"/>
      <c r="O37" s="367"/>
      <c r="P37" s="367"/>
      <c r="Q37" s="367"/>
      <c r="R37" s="367"/>
      <c r="S37" s="367"/>
      <c r="T37" s="367"/>
      <c r="U37" s="367"/>
      <c r="V37" s="367"/>
      <c r="W37" s="367"/>
      <c r="X37" s="367"/>
      <c r="Y37" s="367"/>
      <c r="Z37" s="367"/>
      <c r="AA37" s="367"/>
      <c r="AB37" s="367"/>
      <c r="AC37" s="367"/>
      <c r="AD37" s="367"/>
    </row>
    <row r="38" ht="30.0" customHeight="1">
      <c r="A38" s="384" t="s">
        <v>117</v>
      </c>
      <c r="B38" s="420" t="str">
        <f t="shared" ref="B38:G38" si="2">SUM(B8:B37)</f>
        <v>#ERROR!</v>
      </c>
      <c r="C38" s="420" t="str">
        <f t="shared" si="2"/>
        <v>#ERROR!</v>
      </c>
      <c r="D38" s="420" t="str">
        <f t="shared" si="2"/>
        <v>#ERROR!</v>
      </c>
      <c r="E38" s="420" t="str">
        <f t="shared" si="2"/>
        <v>#ERROR!</v>
      </c>
      <c r="F38" s="420" t="str">
        <f t="shared" si="2"/>
        <v>#ERROR!</v>
      </c>
      <c r="G38" s="420" t="str">
        <f t="shared" si="2"/>
        <v>#ERROR!</v>
      </c>
      <c r="H38" s="421" t="str">
        <f>+SUMMARY!H31</f>
        <v/>
      </c>
      <c r="I38" s="422" t="str">
        <f t="shared" si="1"/>
        <v>#ERROR!</v>
      </c>
      <c r="J38" s="388"/>
      <c r="K38" s="367"/>
      <c r="L38" s="367"/>
      <c r="M38" s="367"/>
      <c r="N38" s="367"/>
      <c r="O38" s="367"/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7"/>
      <c r="AA38" s="367"/>
      <c r="AB38" s="367"/>
      <c r="AC38" s="367"/>
      <c r="AD38" s="367"/>
    </row>
    <row r="39" ht="30.0" customHeight="1">
      <c r="A39" s="423" t="s">
        <v>49</v>
      </c>
      <c r="B39" s="424"/>
      <c r="C39" s="425" t="str">
        <f>+C38/B38</f>
        <v>#ERROR!</v>
      </c>
      <c r="D39" s="425" t="str">
        <f>+D38/B38</f>
        <v>#ERROR!</v>
      </c>
      <c r="E39" s="426" t="str">
        <f>+E38/B38</f>
        <v>#ERROR!</v>
      </c>
      <c r="F39" s="391" t="str">
        <f>+F38/B38</f>
        <v>#ERROR!</v>
      </c>
      <c r="G39" s="391" t="str">
        <f>+G38/B38</f>
        <v>#ERROR!</v>
      </c>
      <c r="H39" s="427" t="str">
        <f>+SUMMARY!H32</f>
        <v/>
      </c>
      <c r="I39" s="407"/>
      <c r="J39" s="395"/>
      <c r="K39" s="367"/>
      <c r="L39" s="367"/>
      <c r="M39" s="367"/>
      <c r="N39" s="367"/>
      <c r="O39" s="367"/>
      <c r="P39" s="367"/>
      <c r="Q39" s="367"/>
      <c r="R39" s="367"/>
      <c r="S39" s="367"/>
      <c r="T39" s="367"/>
      <c r="U39" s="367"/>
      <c r="V39" s="367"/>
      <c r="W39" s="367"/>
      <c r="X39" s="367"/>
      <c r="Y39" s="367"/>
      <c r="Z39" s="367"/>
      <c r="AA39" s="367"/>
      <c r="AB39" s="367"/>
      <c r="AC39" s="367"/>
      <c r="AD39" s="367"/>
    </row>
    <row r="40" ht="33.75" customHeight="1">
      <c r="A40" s="428" t="s">
        <v>224</v>
      </c>
      <c r="B40" s="429"/>
      <c r="C40" s="430"/>
      <c r="D40" s="430">
        <v>0.0053</v>
      </c>
      <c r="E40" s="430">
        <v>0.0084</v>
      </c>
      <c r="F40" s="430"/>
      <c r="G40" s="431">
        <v>0.0061</v>
      </c>
      <c r="H40" s="432"/>
      <c r="I40" s="367"/>
      <c r="J40" s="367"/>
      <c r="K40" s="367"/>
      <c r="L40" s="367"/>
      <c r="M40" s="367"/>
      <c r="N40" s="367"/>
      <c r="O40" s="367"/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7"/>
      <c r="AA40" s="367"/>
      <c r="AB40" s="367"/>
      <c r="AC40" s="367"/>
      <c r="AD40" s="367"/>
    </row>
    <row r="41" ht="40.5" customHeight="1">
      <c r="A41" s="401"/>
      <c r="B41" s="367"/>
      <c r="C41" s="367"/>
      <c r="D41" s="367" t="s">
        <v>225</v>
      </c>
      <c r="E41" s="367"/>
      <c r="F41" s="402" t="str">
        <f>+D38+E38+F38+G38</f>
        <v>#ERROR!</v>
      </c>
      <c r="G41" s="367"/>
      <c r="H41" s="403"/>
      <c r="I41" s="367"/>
      <c r="J41" s="367"/>
      <c r="K41" s="367"/>
      <c r="L41" s="367"/>
      <c r="M41" s="367"/>
      <c r="N41" s="367"/>
      <c r="O41" s="367"/>
      <c r="P41" s="367"/>
      <c r="Q41" s="367"/>
      <c r="R41" s="367"/>
      <c r="S41" s="367"/>
      <c r="T41" s="367"/>
      <c r="U41" s="367"/>
      <c r="V41" s="367"/>
      <c r="W41" s="367"/>
      <c r="X41" s="367"/>
      <c r="Y41" s="367"/>
      <c r="Z41" s="367"/>
      <c r="AA41" s="367"/>
      <c r="AB41" s="367"/>
      <c r="AC41" s="367"/>
      <c r="AD41" s="367"/>
    </row>
    <row r="42" ht="23.25" customHeight="1">
      <c r="A42" s="401"/>
      <c r="B42" s="367"/>
      <c r="C42" s="367"/>
      <c r="D42" s="367" t="s">
        <v>226</v>
      </c>
      <c r="E42" s="367"/>
      <c r="F42" s="404" t="str">
        <f>+F41/B38</f>
        <v>#ERROR!</v>
      </c>
      <c r="G42" s="367"/>
      <c r="H42" s="403"/>
      <c r="I42" s="367"/>
      <c r="J42" s="367"/>
      <c r="K42" s="367"/>
      <c r="L42" s="367"/>
      <c r="M42" s="367"/>
      <c r="N42" s="367"/>
      <c r="O42" s="367"/>
      <c r="P42" s="367"/>
      <c r="Q42" s="367"/>
      <c r="R42" s="367"/>
      <c r="S42" s="367"/>
      <c r="T42" s="367"/>
      <c r="U42" s="367"/>
      <c r="V42" s="367"/>
      <c r="W42" s="367"/>
      <c r="X42" s="367"/>
      <c r="Y42" s="367"/>
      <c r="Z42" s="367"/>
      <c r="AA42" s="367"/>
      <c r="AB42" s="367"/>
      <c r="AC42" s="367"/>
      <c r="AD42" s="367"/>
    </row>
    <row r="43" ht="23.25" customHeight="1">
      <c r="A43" s="401"/>
      <c r="B43" s="367"/>
      <c r="C43" s="367"/>
      <c r="D43" s="367" t="s">
        <v>227</v>
      </c>
      <c r="E43" s="367"/>
      <c r="F43" s="404" t="str">
        <f t="shared" ref="F43:F44" si="3">+D39+E39+G39</f>
        <v>#ERROR!</v>
      </c>
      <c r="G43" s="367"/>
      <c r="H43" s="403"/>
      <c r="I43" s="367"/>
      <c r="J43" s="367"/>
      <c r="K43" s="367"/>
      <c r="L43" s="367"/>
      <c r="M43" s="367"/>
      <c r="N43" s="367"/>
      <c r="O43" s="367"/>
      <c r="P43" s="367"/>
      <c r="Q43" s="367"/>
      <c r="R43" s="367"/>
      <c r="S43" s="367"/>
      <c r="T43" s="367"/>
      <c r="U43" s="367"/>
      <c r="V43" s="367"/>
      <c r="W43" s="367"/>
      <c r="X43" s="367"/>
      <c r="Y43" s="367"/>
      <c r="Z43" s="367"/>
      <c r="AA43" s="367"/>
      <c r="AB43" s="367"/>
      <c r="AC43" s="367"/>
      <c r="AD43" s="367"/>
    </row>
    <row r="44" ht="23.25" customHeight="1">
      <c r="A44" s="401"/>
      <c r="B44" s="367"/>
      <c r="C44" s="366" t="s">
        <v>228</v>
      </c>
      <c r="D44" s="366"/>
      <c r="E44" s="366"/>
      <c r="F44" s="370">
        <f t="shared" si="3"/>
        <v>0.0198</v>
      </c>
      <c r="G44" s="367"/>
      <c r="H44" s="403"/>
      <c r="I44" s="367"/>
      <c r="J44" s="367"/>
      <c r="K44" s="367"/>
      <c r="L44" s="367"/>
      <c r="M44" s="367"/>
      <c r="N44" s="367"/>
      <c r="O44" s="367"/>
      <c r="P44" s="367"/>
      <c r="Q44" s="367"/>
      <c r="R44" s="367"/>
      <c r="S44" s="367"/>
      <c r="T44" s="367"/>
      <c r="U44" s="367"/>
      <c r="V44" s="367"/>
      <c r="W44" s="367"/>
      <c r="X44" s="367"/>
      <c r="Y44" s="367"/>
      <c r="Z44" s="367"/>
      <c r="AA44" s="367"/>
      <c r="AB44" s="367"/>
      <c r="AC44" s="367"/>
      <c r="AD44" s="367"/>
    </row>
    <row r="45" ht="23.25" customHeight="1">
      <c r="A45" s="401" t="s">
        <v>229</v>
      </c>
      <c r="B45" s="367"/>
      <c r="C45" s="367"/>
      <c r="D45" s="405">
        <v>9.0</v>
      </c>
      <c r="E45" s="367"/>
      <c r="F45" s="367"/>
      <c r="G45" s="367"/>
      <c r="H45" s="403"/>
      <c r="I45" s="367"/>
      <c r="J45" s="367"/>
      <c r="K45" s="367"/>
      <c r="L45" s="367"/>
      <c r="M45" s="367"/>
      <c r="N45" s="367"/>
      <c r="O45" s="367"/>
      <c r="P45" s="367"/>
      <c r="Q45" s="367"/>
      <c r="R45" s="367"/>
      <c r="S45" s="367"/>
      <c r="T45" s="367"/>
      <c r="U45" s="367"/>
      <c r="V45" s="367"/>
      <c r="W45" s="367"/>
      <c r="X45" s="367"/>
      <c r="Y45" s="367"/>
      <c r="Z45" s="367"/>
      <c r="AA45" s="367"/>
      <c r="AB45" s="367"/>
      <c r="AC45" s="367"/>
      <c r="AD45" s="367"/>
    </row>
    <row r="46" ht="23.25" customHeight="1">
      <c r="A46" s="401"/>
      <c r="B46" s="367"/>
      <c r="C46" s="367" t="s">
        <v>230</v>
      </c>
      <c r="D46" s="406" t="str">
        <f t="shared" ref="D46:E46" si="4">+$D$45*D38</f>
        <v>#ERROR!</v>
      </c>
      <c r="E46" s="406" t="str">
        <f t="shared" si="4"/>
        <v>#ERROR!</v>
      </c>
      <c r="F46" s="406"/>
      <c r="G46" s="406" t="str">
        <f>+$D$45*G38</f>
        <v>#ERROR!</v>
      </c>
      <c r="H46" s="403"/>
      <c r="I46" s="367"/>
      <c r="J46" s="367"/>
      <c r="K46" s="367"/>
      <c r="L46" s="367"/>
      <c r="M46" s="367"/>
      <c r="N46" s="367"/>
      <c r="O46" s="367"/>
      <c r="P46" s="367"/>
      <c r="Q46" s="367"/>
      <c r="R46" s="367"/>
      <c r="S46" s="367"/>
      <c r="T46" s="367"/>
      <c r="U46" s="367"/>
      <c r="V46" s="367"/>
      <c r="W46" s="367"/>
      <c r="X46" s="367"/>
      <c r="Y46" s="367"/>
      <c r="Z46" s="367"/>
      <c r="AA46" s="367"/>
      <c r="AB46" s="367"/>
      <c r="AC46" s="367"/>
      <c r="AD46" s="367"/>
    </row>
    <row r="47" ht="24.0" customHeight="1">
      <c r="A47" s="407"/>
      <c r="B47" s="408"/>
      <c r="C47" s="408"/>
      <c r="D47" s="408"/>
      <c r="E47" s="408"/>
      <c r="F47" s="408"/>
      <c r="G47" s="408"/>
      <c r="H47" s="409"/>
      <c r="I47" s="367"/>
      <c r="J47" s="367"/>
      <c r="K47" s="367"/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7"/>
      <c r="AA47" s="367"/>
      <c r="AB47" s="367"/>
      <c r="AC47" s="367"/>
      <c r="AD47" s="367"/>
    </row>
    <row r="48" ht="23.25" customHeight="1">
      <c r="A48" s="367"/>
      <c r="B48" s="367"/>
      <c r="C48" s="367"/>
      <c r="D48" s="367"/>
      <c r="E48" s="367"/>
      <c r="F48" s="367"/>
      <c r="G48" s="367"/>
      <c r="H48" s="367"/>
      <c r="I48" s="367"/>
      <c r="J48" s="367"/>
      <c r="K48" s="367"/>
      <c r="L48" s="367"/>
      <c r="M48" s="367"/>
      <c r="N48" s="367"/>
      <c r="O48" s="367"/>
      <c r="P48" s="367"/>
      <c r="Q48" s="367"/>
      <c r="R48" s="367"/>
      <c r="S48" s="367"/>
      <c r="T48" s="367"/>
      <c r="U48" s="367"/>
      <c r="V48" s="367"/>
      <c r="W48" s="367"/>
      <c r="X48" s="367"/>
      <c r="Y48" s="367"/>
      <c r="Z48" s="367"/>
      <c r="AA48" s="367"/>
      <c r="AB48" s="367"/>
      <c r="AC48" s="367"/>
      <c r="AD48" s="367"/>
    </row>
    <row r="49" ht="23.25" customHeight="1">
      <c r="A49" s="367"/>
      <c r="B49" s="367"/>
      <c r="C49" s="367"/>
      <c r="D49" s="367"/>
      <c r="E49" s="367"/>
      <c r="F49" s="410"/>
      <c r="G49" s="367"/>
      <c r="H49" s="367"/>
      <c r="I49" s="367"/>
      <c r="J49" s="367"/>
      <c r="K49" s="367"/>
      <c r="L49" s="367"/>
      <c r="M49" s="367"/>
      <c r="N49" s="367"/>
      <c r="O49" s="367"/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7"/>
      <c r="AA49" s="367"/>
      <c r="AB49" s="367"/>
      <c r="AC49" s="367"/>
      <c r="AD49" s="367"/>
    </row>
    <row r="50" ht="23.25" customHeight="1">
      <c r="A50" s="367"/>
      <c r="B50" s="367"/>
      <c r="C50" s="367"/>
      <c r="D50" s="367"/>
      <c r="E50" s="410"/>
      <c r="F50" s="367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</row>
    <row r="51" ht="23.25" customHeight="1">
      <c r="A51" s="367"/>
      <c r="B51" s="367"/>
      <c r="C51" s="367"/>
      <c r="D51" s="367"/>
      <c r="E51" s="367"/>
      <c r="F51" s="367"/>
      <c r="G51" s="367"/>
      <c r="H51" s="367"/>
      <c r="I51" s="367"/>
      <c r="J51" s="367"/>
      <c r="K51" s="367"/>
      <c r="L51" s="367"/>
      <c r="M51" s="367"/>
      <c r="N51" s="367"/>
      <c r="O51" s="367"/>
      <c r="P51" s="367"/>
      <c r="Q51" s="367"/>
      <c r="R51" s="367"/>
      <c r="S51" s="367"/>
      <c r="T51" s="367"/>
      <c r="U51" s="367"/>
      <c r="V51" s="367"/>
      <c r="W51" s="367"/>
      <c r="X51" s="367"/>
      <c r="Y51" s="367"/>
      <c r="Z51" s="367"/>
      <c r="AA51" s="367"/>
      <c r="AB51" s="367"/>
      <c r="AC51" s="367"/>
      <c r="AD51" s="367"/>
    </row>
    <row r="52" ht="23.25" customHeight="1">
      <c r="A52" s="367"/>
      <c r="B52" s="367"/>
      <c r="C52" s="367"/>
      <c r="D52" s="367"/>
      <c r="E52" s="367"/>
      <c r="F52" s="367"/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67"/>
      <c r="S52" s="367"/>
      <c r="T52" s="367"/>
      <c r="U52" s="367"/>
      <c r="V52" s="367"/>
      <c r="W52" s="367"/>
      <c r="X52" s="367"/>
      <c r="Y52" s="367"/>
      <c r="Z52" s="367"/>
      <c r="AA52" s="367"/>
      <c r="AB52" s="367"/>
      <c r="AC52" s="367"/>
      <c r="AD52" s="367"/>
    </row>
    <row r="53" ht="23.25" customHeight="1">
      <c r="A53" s="367"/>
      <c r="B53" s="367"/>
      <c r="C53" s="367"/>
      <c r="D53" s="367"/>
      <c r="E53" s="367"/>
      <c r="F53" s="367"/>
      <c r="G53" s="367"/>
      <c r="H53" s="367"/>
      <c r="I53" s="367"/>
      <c r="J53" s="367"/>
      <c r="K53" s="367"/>
      <c r="L53" s="367"/>
      <c r="M53" s="367"/>
      <c r="N53" s="367"/>
      <c r="O53" s="367"/>
      <c r="P53" s="367"/>
      <c r="Q53" s="367"/>
      <c r="R53" s="367"/>
      <c r="S53" s="367"/>
      <c r="T53" s="367"/>
      <c r="U53" s="367"/>
      <c r="V53" s="367"/>
      <c r="W53" s="367"/>
      <c r="X53" s="367"/>
      <c r="Y53" s="367"/>
      <c r="Z53" s="367"/>
      <c r="AA53" s="367"/>
      <c r="AB53" s="367"/>
      <c r="AC53" s="367"/>
      <c r="AD53" s="367"/>
    </row>
    <row r="54" ht="23.25" customHeight="1">
      <c r="A54" s="367"/>
      <c r="B54" s="367"/>
      <c r="C54" s="367"/>
      <c r="D54" s="367"/>
      <c r="E54" s="367"/>
      <c r="F54" s="367"/>
      <c r="G54" s="367"/>
      <c r="H54" s="367"/>
      <c r="I54" s="367"/>
      <c r="J54" s="367"/>
      <c r="K54" s="367"/>
      <c r="L54" s="367"/>
      <c r="M54" s="367"/>
      <c r="N54" s="367"/>
      <c r="O54" s="367"/>
      <c r="P54" s="367"/>
      <c r="Q54" s="367"/>
      <c r="R54" s="367"/>
      <c r="S54" s="367"/>
      <c r="T54" s="367"/>
      <c r="U54" s="367"/>
      <c r="V54" s="367"/>
      <c r="W54" s="367"/>
      <c r="X54" s="367"/>
      <c r="Y54" s="367"/>
      <c r="Z54" s="367"/>
      <c r="AA54" s="367"/>
      <c r="AB54" s="367"/>
      <c r="AC54" s="367"/>
      <c r="AD54" s="367"/>
    </row>
    <row r="55" ht="23.25" customHeight="1">
      <c r="A55" s="367"/>
      <c r="B55" s="367"/>
      <c r="C55" s="367"/>
      <c r="D55" s="367"/>
      <c r="E55" s="367"/>
      <c r="F55" s="367"/>
      <c r="G55" s="367"/>
      <c r="H55" s="367"/>
      <c r="I55" s="367"/>
      <c r="J55" s="367"/>
      <c r="K55" s="367"/>
      <c r="L55" s="367"/>
      <c r="M55" s="367"/>
      <c r="N55" s="367"/>
      <c r="O55" s="367"/>
      <c r="P55" s="367"/>
      <c r="Q55" s="367"/>
      <c r="R55" s="367"/>
      <c r="S55" s="367"/>
      <c r="T55" s="367"/>
      <c r="U55" s="367"/>
      <c r="V55" s="367"/>
      <c r="W55" s="367"/>
      <c r="X55" s="367"/>
      <c r="Y55" s="367"/>
      <c r="Z55" s="367"/>
      <c r="AA55" s="367"/>
      <c r="AB55" s="367"/>
      <c r="AC55" s="367"/>
      <c r="AD55" s="367"/>
    </row>
    <row r="56" ht="23.25" customHeight="1">
      <c r="A56" s="367"/>
      <c r="B56" s="367"/>
      <c r="C56" s="367"/>
      <c r="D56" s="367"/>
      <c r="E56" s="367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67"/>
      <c r="S56" s="367"/>
      <c r="T56" s="367"/>
      <c r="U56" s="367"/>
      <c r="V56" s="367"/>
      <c r="W56" s="367"/>
      <c r="X56" s="367"/>
      <c r="Y56" s="367"/>
      <c r="Z56" s="367"/>
      <c r="AA56" s="367"/>
      <c r="AB56" s="367"/>
      <c r="AC56" s="367"/>
      <c r="AD56" s="367"/>
    </row>
    <row r="57" ht="23.25" customHeight="1">
      <c r="A57" s="367"/>
      <c r="B57" s="367"/>
      <c r="C57" s="367"/>
      <c r="D57" s="367"/>
      <c r="E57" s="367"/>
      <c r="F57" s="367"/>
      <c r="G57" s="367"/>
      <c r="H57" s="367"/>
      <c r="I57" s="367"/>
      <c r="J57" s="367"/>
      <c r="K57" s="367"/>
      <c r="L57" s="367"/>
      <c r="M57" s="367"/>
      <c r="N57" s="367"/>
      <c r="O57" s="367"/>
      <c r="P57" s="367"/>
      <c r="Q57" s="367"/>
      <c r="R57" s="367"/>
      <c r="S57" s="367"/>
      <c r="T57" s="367"/>
      <c r="U57" s="367"/>
      <c r="V57" s="367"/>
      <c r="W57" s="367"/>
      <c r="X57" s="367"/>
      <c r="Y57" s="367"/>
      <c r="Z57" s="367"/>
      <c r="AA57" s="367"/>
      <c r="AB57" s="367"/>
      <c r="AC57" s="367"/>
      <c r="AD57" s="367"/>
    </row>
    <row r="58" ht="23.25" customHeight="1">
      <c r="A58" s="367"/>
      <c r="B58" s="367"/>
      <c r="C58" s="367"/>
      <c r="D58" s="367"/>
      <c r="E58" s="367"/>
      <c r="F58" s="367"/>
      <c r="G58" s="367"/>
      <c r="H58" s="367"/>
      <c r="I58" s="367"/>
      <c r="J58" s="367"/>
      <c r="K58" s="367"/>
      <c r="L58" s="367"/>
      <c r="M58" s="367"/>
      <c r="N58" s="367"/>
      <c r="O58" s="367"/>
      <c r="P58" s="367"/>
      <c r="Q58" s="367"/>
      <c r="R58" s="367"/>
      <c r="S58" s="367"/>
      <c r="T58" s="367"/>
      <c r="U58" s="367"/>
      <c r="V58" s="367"/>
      <c r="W58" s="367"/>
      <c r="X58" s="367"/>
      <c r="Y58" s="367"/>
      <c r="Z58" s="367"/>
      <c r="AA58" s="367"/>
      <c r="AB58" s="367"/>
      <c r="AC58" s="367"/>
      <c r="AD58" s="367"/>
    </row>
    <row r="59" ht="23.25" customHeight="1">
      <c r="A59" s="367"/>
      <c r="B59" s="367"/>
      <c r="C59" s="367"/>
      <c r="D59" s="367"/>
      <c r="E59" s="367"/>
      <c r="F59" s="367"/>
      <c r="G59" s="367"/>
      <c r="H59" s="367"/>
      <c r="I59" s="367"/>
      <c r="J59" s="367"/>
      <c r="K59" s="367"/>
      <c r="L59" s="367"/>
      <c r="M59" s="367"/>
      <c r="N59" s="367"/>
      <c r="O59" s="367"/>
      <c r="P59" s="367"/>
      <c r="Q59" s="367"/>
      <c r="R59" s="367"/>
      <c r="S59" s="367"/>
      <c r="T59" s="367"/>
      <c r="U59" s="367"/>
      <c r="V59" s="367"/>
      <c r="W59" s="367"/>
      <c r="X59" s="367"/>
      <c r="Y59" s="367"/>
      <c r="Z59" s="367"/>
      <c r="AA59" s="367"/>
      <c r="AB59" s="367"/>
      <c r="AC59" s="367"/>
      <c r="AD59" s="367"/>
    </row>
    <row r="60" ht="23.25" customHeight="1">
      <c r="A60" s="367"/>
      <c r="B60" s="367"/>
      <c r="C60" s="367"/>
      <c r="D60" s="367"/>
      <c r="E60" s="367"/>
      <c r="F60" s="367"/>
      <c r="G60" s="367"/>
      <c r="H60" s="367"/>
      <c r="I60" s="367"/>
      <c r="J60" s="367"/>
      <c r="K60" s="367"/>
      <c r="L60" s="367"/>
      <c r="M60" s="367"/>
      <c r="N60" s="367"/>
      <c r="O60" s="367"/>
      <c r="P60" s="367"/>
      <c r="Q60" s="367"/>
      <c r="R60" s="367"/>
      <c r="S60" s="367"/>
      <c r="T60" s="367"/>
      <c r="U60" s="367"/>
      <c r="V60" s="367"/>
      <c r="W60" s="367"/>
      <c r="X60" s="367"/>
      <c r="Y60" s="367"/>
      <c r="Z60" s="367"/>
      <c r="AA60" s="367"/>
      <c r="AB60" s="367"/>
      <c r="AC60" s="367"/>
      <c r="AD60" s="367"/>
    </row>
    <row r="61" ht="23.25" customHeight="1">
      <c r="A61" s="367"/>
      <c r="B61" s="367"/>
      <c r="C61" s="367"/>
      <c r="D61" s="367"/>
      <c r="E61" s="367"/>
      <c r="F61" s="367"/>
      <c r="G61" s="367"/>
      <c r="H61" s="367"/>
      <c r="I61" s="367"/>
      <c r="J61" s="367"/>
      <c r="K61" s="367"/>
      <c r="L61" s="367"/>
      <c r="M61" s="367"/>
      <c r="N61" s="367"/>
      <c r="O61" s="367"/>
      <c r="P61" s="367"/>
      <c r="Q61" s="367"/>
      <c r="R61" s="367"/>
      <c r="S61" s="367"/>
      <c r="T61" s="367"/>
      <c r="U61" s="367"/>
      <c r="V61" s="367"/>
      <c r="W61" s="367"/>
      <c r="X61" s="367"/>
      <c r="Y61" s="367"/>
      <c r="Z61" s="367"/>
      <c r="AA61" s="367"/>
      <c r="AB61" s="367"/>
      <c r="AC61" s="367"/>
      <c r="AD61" s="367"/>
    </row>
    <row r="62" ht="23.25" customHeight="1">
      <c r="A62" s="367"/>
      <c r="B62" s="367"/>
      <c r="C62" s="367"/>
      <c r="D62" s="367"/>
      <c r="E62" s="367"/>
      <c r="F62" s="367"/>
      <c r="G62" s="367"/>
      <c r="H62" s="367"/>
      <c r="I62" s="367"/>
      <c r="J62" s="367"/>
      <c r="K62" s="367"/>
      <c r="L62" s="367"/>
      <c r="M62" s="367"/>
      <c r="N62" s="367"/>
      <c r="O62" s="367"/>
      <c r="P62" s="367"/>
      <c r="Q62" s="367"/>
      <c r="R62" s="367"/>
      <c r="S62" s="367"/>
      <c r="T62" s="367"/>
      <c r="U62" s="367"/>
      <c r="V62" s="367"/>
      <c r="W62" s="367"/>
      <c r="X62" s="367"/>
      <c r="Y62" s="367"/>
      <c r="Z62" s="367"/>
      <c r="AA62" s="367"/>
      <c r="AB62" s="367"/>
      <c r="AC62" s="367"/>
      <c r="AD62" s="367"/>
    </row>
    <row r="63" ht="23.25" customHeight="1">
      <c r="A63" s="367"/>
      <c r="B63" s="367"/>
      <c r="C63" s="367"/>
      <c r="D63" s="367"/>
      <c r="E63" s="367"/>
      <c r="F63" s="367"/>
      <c r="G63" s="367"/>
      <c r="H63" s="367"/>
      <c r="I63" s="367"/>
      <c r="J63" s="367"/>
      <c r="K63" s="367"/>
      <c r="L63" s="367"/>
      <c r="M63" s="367"/>
      <c r="N63" s="367"/>
      <c r="O63" s="367"/>
      <c r="P63" s="367"/>
      <c r="Q63" s="367"/>
      <c r="R63" s="367"/>
      <c r="S63" s="367"/>
      <c r="T63" s="367"/>
      <c r="U63" s="367"/>
      <c r="V63" s="367"/>
      <c r="W63" s="367"/>
      <c r="X63" s="367"/>
      <c r="Y63" s="367"/>
      <c r="Z63" s="367"/>
      <c r="AA63" s="367"/>
      <c r="AB63" s="367"/>
      <c r="AC63" s="367"/>
      <c r="AD63" s="367"/>
    </row>
    <row r="64" ht="23.25" customHeight="1">
      <c r="A64" s="367"/>
      <c r="B64" s="367"/>
      <c r="C64" s="367"/>
      <c r="D64" s="367"/>
      <c r="E64" s="367"/>
      <c r="F64" s="367"/>
      <c r="G64" s="367"/>
      <c r="H64" s="367"/>
      <c r="I64" s="367"/>
      <c r="J64" s="367"/>
      <c r="K64" s="367"/>
      <c r="L64" s="367"/>
      <c r="M64" s="367"/>
      <c r="N64" s="367"/>
      <c r="O64" s="367"/>
      <c r="P64" s="367"/>
      <c r="Q64" s="367"/>
      <c r="R64" s="367"/>
      <c r="S64" s="367"/>
      <c r="T64" s="367"/>
      <c r="U64" s="367"/>
      <c r="V64" s="367"/>
      <c r="W64" s="367"/>
      <c r="X64" s="367"/>
      <c r="Y64" s="367"/>
      <c r="Z64" s="367"/>
      <c r="AA64" s="367"/>
      <c r="AB64" s="367"/>
      <c r="AC64" s="367"/>
      <c r="AD64" s="367"/>
    </row>
    <row r="65" ht="23.25" customHeight="1">
      <c r="A65" s="367"/>
      <c r="B65" s="367"/>
      <c r="C65" s="367"/>
      <c r="D65" s="367"/>
      <c r="E65" s="367"/>
      <c r="F65" s="367"/>
      <c r="G65" s="367"/>
      <c r="H65" s="367"/>
      <c r="I65" s="367"/>
      <c r="J65" s="367"/>
      <c r="K65" s="367"/>
      <c r="L65" s="367"/>
      <c r="M65" s="367"/>
      <c r="N65" s="367"/>
      <c r="O65" s="367"/>
      <c r="P65" s="367"/>
      <c r="Q65" s="367"/>
      <c r="R65" s="367"/>
      <c r="S65" s="367"/>
      <c r="T65" s="367"/>
      <c r="U65" s="367"/>
      <c r="V65" s="367"/>
      <c r="W65" s="367"/>
      <c r="X65" s="367"/>
      <c r="Y65" s="367"/>
      <c r="Z65" s="367"/>
      <c r="AA65" s="367"/>
      <c r="AB65" s="367"/>
      <c r="AC65" s="367"/>
      <c r="AD65" s="367"/>
    </row>
    <row r="66" ht="23.25" customHeight="1">
      <c r="A66" s="367"/>
      <c r="B66" s="367"/>
      <c r="C66" s="367"/>
      <c r="D66" s="367"/>
      <c r="E66" s="367"/>
      <c r="F66" s="367"/>
      <c r="G66" s="367"/>
      <c r="H66" s="367"/>
      <c r="I66" s="367"/>
      <c r="J66" s="367"/>
      <c r="K66" s="367"/>
      <c r="L66" s="367"/>
      <c r="M66" s="367"/>
      <c r="N66" s="367"/>
      <c r="O66" s="367"/>
      <c r="P66" s="367"/>
      <c r="Q66" s="367"/>
      <c r="R66" s="367"/>
      <c r="S66" s="367"/>
      <c r="T66" s="367"/>
      <c r="U66" s="367"/>
      <c r="V66" s="367"/>
      <c r="W66" s="367"/>
      <c r="X66" s="367"/>
      <c r="Y66" s="367"/>
      <c r="Z66" s="367"/>
      <c r="AA66" s="367"/>
      <c r="AB66" s="367"/>
      <c r="AC66" s="367"/>
      <c r="AD66" s="367"/>
    </row>
    <row r="67" ht="23.25" customHeight="1">
      <c r="A67" s="367"/>
      <c r="B67" s="367"/>
      <c r="C67" s="367"/>
      <c r="D67" s="367"/>
      <c r="E67" s="367"/>
      <c r="F67" s="367"/>
      <c r="G67" s="367"/>
      <c r="H67" s="367"/>
      <c r="I67" s="367"/>
      <c r="J67" s="367"/>
      <c r="K67" s="367"/>
      <c r="L67" s="367"/>
      <c r="M67" s="367"/>
      <c r="N67" s="367"/>
      <c r="O67" s="367"/>
      <c r="P67" s="367"/>
      <c r="Q67" s="367"/>
      <c r="R67" s="367"/>
      <c r="S67" s="367"/>
      <c r="T67" s="367"/>
      <c r="U67" s="367"/>
      <c r="V67" s="367"/>
      <c r="W67" s="367"/>
      <c r="X67" s="367"/>
      <c r="Y67" s="367"/>
      <c r="Z67" s="367"/>
      <c r="AA67" s="367"/>
      <c r="AB67" s="367"/>
      <c r="AC67" s="367"/>
      <c r="AD67" s="367"/>
    </row>
    <row r="68" ht="23.25" customHeight="1">
      <c r="A68" s="367"/>
      <c r="B68" s="367"/>
      <c r="C68" s="367"/>
      <c r="D68" s="367"/>
      <c r="E68" s="367"/>
      <c r="F68" s="367"/>
      <c r="G68" s="367"/>
      <c r="H68" s="367"/>
      <c r="I68" s="367"/>
      <c r="J68" s="367"/>
      <c r="K68" s="367"/>
      <c r="L68" s="367"/>
      <c r="M68" s="367"/>
      <c r="N68" s="367"/>
      <c r="O68" s="367"/>
      <c r="P68" s="367"/>
      <c r="Q68" s="367"/>
      <c r="R68" s="367"/>
      <c r="S68" s="367"/>
      <c r="T68" s="367"/>
      <c r="U68" s="367"/>
      <c r="V68" s="367"/>
      <c r="W68" s="367"/>
      <c r="X68" s="367"/>
      <c r="Y68" s="367"/>
      <c r="Z68" s="367"/>
      <c r="AA68" s="367"/>
      <c r="AB68" s="367"/>
      <c r="AC68" s="367"/>
      <c r="AD68" s="367"/>
    </row>
    <row r="69" ht="23.25" customHeight="1">
      <c r="A69" s="367"/>
      <c r="B69" s="367"/>
      <c r="C69" s="367"/>
      <c r="D69" s="367"/>
      <c r="E69" s="367"/>
      <c r="F69" s="367"/>
      <c r="G69" s="367"/>
      <c r="H69" s="367"/>
      <c r="I69" s="367"/>
      <c r="J69" s="367"/>
      <c r="K69" s="367"/>
      <c r="L69" s="367"/>
      <c r="M69" s="367"/>
      <c r="N69" s="367"/>
      <c r="O69" s="367"/>
      <c r="P69" s="367"/>
      <c r="Q69" s="367"/>
      <c r="R69" s="367"/>
      <c r="S69" s="367"/>
      <c r="T69" s="367"/>
      <c r="U69" s="367"/>
      <c r="V69" s="367"/>
      <c r="W69" s="367"/>
      <c r="X69" s="367"/>
      <c r="Y69" s="367"/>
      <c r="Z69" s="367"/>
      <c r="AA69" s="367"/>
      <c r="AB69" s="367"/>
      <c r="AC69" s="367"/>
      <c r="AD69" s="367"/>
    </row>
    <row r="70" ht="23.25" customHeight="1">
      <c r="A70" s="367"/>
      <c r="B70" s="367"/>
      <c r="C70" s="367"/>
      <c r="D70" s="367"/>
      <c r="E70" s="367"/>
      <c r="F70" s="367"/>
      <c r="G70" s="367"/>
      <c r="H70" s="367"/>
      <c r="I70" s="367"/>
      <c r="J70" s="367"/>
      <c r="K70" s="367"/>
      <c r="L70" s="367"/>
      <c r="M70" s="367"/>
      <c r="N70" s="367"/>
      <c r="O70" s="367"/>
      <c r="P70" s="367"/>
      <c r="Q70" s="367"/>
      <c r="R70" s="367"/>
      <c r="S70" s="367"/>
      <c r="T70" s="367"/>
      <c r="U70" s="367"/>
      <c r="V70" s="367"/>
      <c r="W70" s="367"/>
      <c r="X70" s="367"/>
      <c r="Y70" s="367"/>
      <c r="Z70" s="367"/>
      <c r="AA70" s="367"/>
      <c r="AB70" s="367"/>
      <c r="AC70" s="367"/>
      <c r="AD70" s="367"/>
    </row>
    <row r="71" ht="23.25" customHeight="1">
      <c r="A71" s="367"/>
      <c r="B71" s="367"/>
      <c r="C71" s="367"/>
      <c r="D71" s="367"/>
      <c r="E71" s="367"/>
      <c r="F71" s="367"/>
      <c r="G71" s="367"/>
      <c r="H71" s="367"/>
      <c r="I71" s="367"/>
      <c r="J71" s="367"/>
      <c r="K71" s="367"/>
      <c r="L71" s="367"/>
      <c r="M71" s="367"/>
      <c r="N71" s="367"/>
      <c r="O71" s="367"/>
      <c r="P71" s="367"/>
      <c r="Q71" s="367"/>
      <c r="R71" s="367"/>
      <c r="S71" s="367"/>
      <c r="T71" s="367"/>
      <c r="U71" s="367"/>
      <c r="V71" s="367"/>
      <c r="W71" s="367"/>
      <c r="X71" s="367"/>
      <c r="Y71" s="367"/>
      <c r="Z71" s="367"/>
      <c r="AA71" s="367"/>
      <c r="AB71" s="367"/>
      <c r="AC71" s="367"/>
      <c r="AD71" s="367"/>
    </row>
    <row r="72" ht="23.25" customHeight="1">
      <c r="A72" s="367"/>
      <c r="B72" s="367"/>
      <c r="C72" s="367"/>
      <c r="D72" s="367"/>
      <c r="E72" s="367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67"/>
      <c r="T72" s="367"/>
      <c r="U72" s="367"/>
      <c r="V72" s="367"/>
      <c r="W72" s="367"/>
      <c r="X72" s="367"/>
      <c r="Y72" s="367"/>
      <c r="Z72" s="367"/>
      <c r="AA72" s="367"/>
      <c r="AB72" s="367"/>
      <c r="AC72" s="367"/>
      <c r="AD72" s="367"/>
    </row>
    <row r="73" ht="23.25" customHeight="1">
      <c r="A73" s="367"/>
      <c r="B73" s="367"/>
      <c r="C73" s="367"/>
      <c r="D73" s="367"/>
      <c r="E73" s="367"/>
      <c r="F73" s="367"/>
      <c r="G73" s="367"/>
      <c r="H73" s="367"/>
      <c r="I73" s="367"/>
      <c r="J73" s="367"/>
      <c r="K73" s="367"/>
      <c r="L73" s="367"/>
      <c r="M73" s="367"/>
      <c r="N73" s="367"/>
      <c r="O73" s="367"/>
      <c r="P73" s="367"/>
      <c r="Q73" s="367"/>
      <c r="R73" s="367"/>
      <c r="S73" s="367"/>
      <c r="T73" s="367"/>
      <c r="U73" s="367"/>
      <c r="V73" s="367"/>
      <c r="W73" s="367"/>
      <c r="X73" s="367"/>
      <c r="Y73" s="367"/>
      <c r="Z73" s="367"/>
      <c r="AA73" s="367"/>
      <c r="AB73" s="367"/>
      <c r="AC73" s="367"/>
      <c r="AD73" s="367"/>
    </row>
    <row r="74" ht="23.25" customHeight="1">
      <c r="A74" s="367"/>
      <c r="B74" s="367"/>
      <c r="C74" s="367"/>
      <c r="D74" s="367"/>
      <c r="E74" s="367"/>
      <c r="F74" s="367"/>
      <c r="G74" s="367"/>
      <c r="H74" s="367"/>
      <c r="I74" s="367"/>
      <c r="J74" s="367"/>
      <c r="K74" s="367"/>
      <c r="L74" s="367"/>
      <c r="M74" s="367"/>
      <c r="N74" s="367"/>
      <c r="O74" s="367"/>
      <c r="P74" s="367"/>
      <c r="Q74" s="367"/>
      <c r="R74" s="367"/>
      <c r="S74" s="367"/>
      <c r="T74" s="367"/>
      <c r="U74" s="367"/>
      <c r="V74" s="367"/>
      <c r="W74" s="367"/>
      <c r="X74" s="367"/>
      <c r="Y74" s="367"/>
      <c r="Z74" s="367"/>
      <c r="AA74" s="367"/>
      <c r="AB74" s="367"/>
      <c r="AC74" s="367"/>
      <c r="AD74" s="367"/>
    </row>
    <row r="75" ht="23.25" customHeight="1">
      <c r="A75" s="367"/>
      <c r="B75" s="367"/>
      <c r="C75" s="367"/>
      <c r="D75" s="367"/>
      <c r="E75" s="367"/>
      <c r="F75" s="367"/>
      <c r="G75" s="367"/>
      <c r="H75" s="367"/>
      <c r="I75" s="367"/>
      <c r="J75" s="367"/>
      <c r="K75" s="367"/>
      <c r="L75" s="367"/>
      <c r="M75" s="367"/>
      <c r="N75" s="367"/>
      <c r="O75" s="367"/>
      <c r="P75" s="367"/>
      <c r="Q75" s="367"/>
      <c r="R75" s="367"/>
      <c r="S75" s="367"/>
      <c r="T75" s="367"/>
      <c r="U75" s="367"/>
      <c r="V75" s="367"/>
      <c r="W75" s="367"/>
      <c r="X75" s="367"/>
      <c r="Y75" s="367"/>
      <c r="Z75" s="367"/>
      <c r="AA75" s="367"/>
      <c r="AB75" s="367"/>
      <c r="AC75" s="367"/>
      <c r="AD75" s="367"/>
    </row>
    <row r="76" ht="23.25" customHeight="1">
      <c r="A76" s="367"/>
      <c r="B76" s="367"/>
      <c r="C76" s="367"/>
      <c r="D76" s="367"/>
      <c r="E76" s="367"/>
      <c r="F76" s="367"/>
      <c r="G76" s="367"/>
      <c r="H76" s="367"/>
      <c r="I76" s="367"/>
      <c r="J76" s="367"/>
      <c r="K76" s="367"/>
      <c r="L76" s="367"/>
      <c r="M76" s="367"/>
      <c r="N76" s="367"/>
      <c r="O76" s="367"/>
      <c r="P76" s="367"/>
      <c r="Q76" s="367"/>
      <c r="R76" s="367"/>
      <c r="S76" s="367"/>
      <c r="T76" s="367"/>
      <c r="U76" s="367"/>
      <c r="V76" s="367"/>
      <c r="W76" s="367"/>
      <c r="X76" s="367"/>
      <c r="Y76" s="367"/>
      <c r="Z76" s="367"/>
      <c r="AA76" s="367"/>
      <c r="AB76" s="367"/>
      <c r="AC76" s="367"/>
      <c r="AD76" s="367"/>
    </row>
    <row r="77" ht="23.25" customHeight="1">
      <c r="A77" s="367"/>
      <c r="B77" s="367"/>
      <c r="C77" s="367"/>
      <c r="D77" s="367"/>
      <c r="E77" s="367"/>
      <c r="F77" s="367"/>
      <c r="G77" s="367"/>
      <c r="H77" s="367"/>
      <c r="I77" s="367"/>
      <c r="J77" s="367"/>
      <c r="K77" s="367"/>
      <c r="L77" s="367"/>
      <c r="M77" s="367"/>
      <c r="N77" s="367"/>
      <c r="O77" s="367"/>
      <c r="P77" s="367"/>
      <c r="Q77" s="367"/>
      <c r="R77" s="367"/>
      <c r="S77" s="367"/>
      <c r="T77" s="367"/>
      <c r="U77" s="367"/>
      <c r="V77" s="367"/>
      <c r="W77" s="367"/>
      <c r="X77" s="367"/>
      <c r="Y77" s="367"/>
      <c r="Z77" s="367"/>
      <c r="AA77" s="367"/>
      <c r="AB77" s="367"/>
      <c r="AC77" s="367"/>
      <c r="AD77" s="367"/>
    </row>
    <row r="78" ht="23.25" customHeight="1">
      <c r="A78" s="367"/>
      <c r="B78" s="367"/>
      <c r="C78" s="367"/>
      <c r="D78" s="367"/>
      <c r="E78" s="367"/>
      <c r="F78" s="367"/>
      <c r="G78" s="367"/>
      <c r="H78" s="367"/>
      <c r="I78" s="367"/>
      <c r="J78" s="367"/>
      <c r="K78" s="367"/>
      <c r="L78" s="367"/>
      <c r="M78" s="367"/>
      <c r="N78" s="367"/>
      <c r="O78" s="367"/>
      <c r="P78" s="367"/>
      <c r="Q78" s="367"/>
      <c r="R78" s="367"/>
      <c r="S78" s="367"/>
      <c r="T78" s="367"/>
      <c r="U78" s="367"/>
      <c r="V78" s="367"/>
      <c r="W78" s="367"/>
      <c r="X78" s="367"/>
      <c r="Y78" s="367"/>
      <c r="Z78" s="367"/>
      <c r="AA78" s="367"/>
      <c r="AB78" s="367"/>
      <c r="AC78" s="367"/>
      <c r="AD78" s="367"/>
    </row>
    <row r="79" ht="23.25" customHeight="1">
      <c r="A79" s="367"/>
      <c r="B79" s="367"/>
      <c r="C79" s="367"/>
      <c r="D79" s="367"/>
      <c r="E79" s="367"/>
      <c r="F79" s="367"/>
      <c r="G79" s="367"/>
      <c r="H79" s="367"/>
      <c r="I79" s="367"/>
      <c r="J79" s="367"/>
      <c r="K79" s="367"/>
      <c r="L79" s="367"/>
      <c r="M79" s="367"/>
      <c r="N79" s="367"/>
      <c r="O79" s="367"/>
      <c r="P79" s="367"/>
      <c r="Q79" s="367"/>
      <c r="R79" s="367"/>
      <c r="S79" s="367"/>
      <c r="T79" s="367"/>
      <c r="U79" s="367"/>
      <c r="V79" s="367"/>
      <c r="W79" s="367"/>
      <c r="X79" s="367"/>
      <c r="Y79" s="367"/>
      <c r="Z79" s="367"/>
      <c r="AA79" s="367"/>
      <c r="AB79" s="367"/>
      <c r="AC79" s="367"/>
      <c r="AD79" s="367"/>
    </row>
    <row r="80" ht="23.25" customHeight="1">
      <c r="A80" s="367"/>
      <c r="B80" s="367"/>
      <c r="C80" s="367"/>
      <c r="D80" s="367"/>
      <c r="E80" s="367"/>
      <c r="F80" s="367"/>
      <c r="G80" s="367"/>
      <c r="H80" s="367"/>
      <c r="I80" s="367"/>
      <c r="J80" s="367"/>
      <c r="K80" s="367"/>
      <c r="L80" s="367"/>
      <c r="M80" s="367"/>
      <c r="N80" s="367"/>
      <c r="O80" s="367"/>
      <c r="P80" s="367"/>
      <c r="Q80" s="367"/>
      <c r="R80" s="367"/>
      <c r="S80" s="367"/>
      <c r="T80" s="367"/>
      <c r="U80" s="367"/>
      <c r="V80" s="367"/>
      <c r="W80" s="367"/>
      <c r="X80" s="367"/>
      <c r="Y80" s="367"/>
      <c r="Z80" s="367"/>
      <c r="AA80" s="367"/>
      <c r="AB80" s="367"/>
      <c r="AC80" s="367"/>
      <c r="AD80" s="367"/>
    </row>
    <row r="81" ht="23.25" customHeight="1">
      <c r="A81" s="367"/>
      <c r="B81" s="367"/>
      <c r="C81" s="367"/>
      <c r="D81" s="367"/>
      <c r="E81" s="367"/>
      <c r="F81" s="367"/>
      <c r="G81" s="367"/>
      <c r="H81" s="367"/>
      <c r="I81" s="367"/>
      <c r="J81" s="367"/>
      <c r="K81" s="367"/>
      <c r="L81" s="367"/>
      <c r="M81" s="367"/>
      <c r="N81" s="367"/>
      <c r="O81" s="367"/>
      <c r="P81" s="367"/>
      <c r="Q81" s="367"/>
      <c r="R81" s="367"/>
      <c r="S81" s="367"/>
      <c r="T81" s="367"/>
      <c r="U81" s="367"/>
      <c r="V81" s="367"/>
      <c r="W81" s="367"/>
      <c r="X81" s="367"/>
      <c r="Y81" s="367"/>
      <c r="Z81" s="367"/>
      <c r="AA81" s="367"/>
      <c r="AB81" s="367"/>
      <c r="AC81" s="367"/>
      <c r="AD81" s="367"/>
    </row>
    <row r="82" ht="23.25" customHeight="1">
      <c r="A82" s="367"/>
      <c r="B82" s="367"/>
      <c r="C82" s="367"/>
      <c r="D82" s="367"/>
      <c r="E82" s="367"/>
      <c r="F82" s="367"/>
      <c r="G82" s="367"/>
      <c r="H82" s="367"/>
      <c r="I82" s="367"/>
      <c r="J82" s="367"/>
      <c r="K82" s="367"/>
      <c r="L82" s="367"/>
      <c r="M82" s="367"/>
      <c r="N82" s="367"/>
      <c r="O82" s="367"/>
      <c r="P82" s="367"/>
      <c r="Q82" s="367"/>
      <c r="R82" s="367"/>
      <c r="S82" s="367"/>
      <c r="T82" s="367"/>
      <c r="U82" s="367"/>
      <c r="V82" s="367"/>
      <c r="W82" s="367"/>
      <c r="X82" s="367"/>
      <c r="Y82" s="367"/>
      <c r="Z82" s="367"/>
      <c r="AA82" s="367"/>
      <c r="AB82" s="367"/>
      <c r="AC82" s="367"/>
      <c r="AD82" s="367"/>
    </row>
    <row r="83" ht="23.25" customHeight="1">
      <c r="A83" s="367"/>
      <c r="B83" s="367"/>
      <c r="C83" s="367"/>
      <c r="D83" s="367"/>
      <c r="E83" s="367"/>
      <c r="F83" s="367"/>
      <c r="G83" s="367"/>
      <c r="H83" s="367"/>
      <c r="I83" s="367"/>
      <c r="J83" s="367"/>
      <c r="K83" s="367"/>
      <c r="L83" s="367"/>
      <c r="M83" s="367"/>
      <c r="N83" s="367"/>
      <c r="O83" s="367"/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</row>
    <row r="84" ht="23.25" customHeight="1">
      <c r="A84" s="367"/>
      <c r="B84" s="367"/>
      <c r="C84" s="367"/>
      <c r="D84" s="367"/>
      <c r="E84" s="367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367"/>
      <c r="Q84" s="367"/>
      <c r="R84" s="367"/>
      <c r="S84" s="367"/>
      <c r="T84" s="367"/>
      <c r="U84" s="367"/>
      <c r="V84" s="367"/>
      <c r="W84" s="367"/>
      <c r="X84" s="367"/>
      <c r="Y84" s="367"/>
      <c r="Z84" s="367"/>
      <c r="AA84" s="367"/>
      <c r="AB84" s="367"/>
      <c r="AC84" s="367"/>
      <c r="AD84" s="367"/>
    </row>
    <row r="85" ht="23.25" customHeight="1">
      <c r="A85" s="367"/>
      <c r="B85" s="367"/>
      <c r="C85" s="367"/>
      <c r="D85" s="367"/>
      <c r="E85" s="367"/>
      <c r="F85" s="367"/>
      <c r="G85" s="367"/>
      <c r="H85" s="367"/>
      <c r="I85" s="367"/>
      <c r="J85" s="367"/>
      <c r="K85" s="367"/>
      <c r="L85" s="367"/>
      <c r="M85" s="367"/>
      <c r="N85" s="367"/>
      <c r="O85" s="367"/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</row>
    <row r="86" ht="23.25" customHeight="1">
      <c r="A86" s="367"/>
      <c r="B86" s="367"/>
      <c r="C86" s="367"/>
      <c r="D86" s="367"/>
      <c r="E86" s="367"/>
      <c r="F86" s="367"/>
      <c r="G86" s="367"/>
      <c r="H86" s="367"/>
      <c r="I86" s="367"/>
      <c r="J86" s="367"/>
      <c r="K86" s="367"/>
      <c r="L86" s="367"/>
      <c r="M86" s="367"/>
      <c r="N86" s="367"/>
      <c r="O86" s="367"/>
      <c r="P86" s="367"/>
      <c r="Q86" s="367"/>
      <c r="R86" s="367"/>
      <c r="S86" s="367"/>
      <c r="T86" s="367"/>
      <c r="U86" s="367"/>
      <c r="V86" s="367"/>
      <c r="W86" s="367"/>
      <c r="X86" s="367"/>
      <c r="Y86" s="367"/>
      <c r="Z86" s="367"/>
      <c r="AA86" s="367"/>
      <c r="AB86" s="367"/>
      <c r="AC86" s="367"/>
      <c r="AD86" s="367"/>
    </row>
    <row r="87" ht="23.25" customHeight="1">
      <c r="A87" s="367"/>
      <c r="B87" s="367"/>
      <c r="C87" s="367"/>
      <c r="D87" s="367"/>
      <c r="E87" s="367"/>
      <c r="F87" s="367"/>
      <c r="G87" s="367"/>
      <c r="H87" s="367"/>
      <c r="I87" s="367"/>
      <c r="J87" s="367"/>
      <c r="K87" s="367"/>
      <c r="L87" s="367"/>
      <c r="M87" s="367"/>
      <c r="N87" s="367"/>
      <c r="O87" s="367"/>
      <c r="P87" s="367"/>
      <c r="Q87" s="367"/>
      <c r="R87" s="367"/>
      <c r="S87" s="367"/>
      <c r="T87" s="367"/>
      <c r="U87" s="367"/>
      <c r="V87" s="367"/>
      <c r="W87" s="367"/>
      <c r="X87" s="367"/>
      <c r="Y87" s="367"/>
      <c r="Z87" s="367"/>
      <c r="AA87" s="367"/>
      <c r="AB87" s="367"/>
      <c r="AC87" s="367"/>
      <c r="AD87" s="367"/>
    </row>
    <row r="88" ht="23.25" customHeight="1">
      <c r="A88" s="367"/>
      <c r="B88" s="367"/>
      <c r="C88" s="367"/>
      <c r="D88" s="367"/>
      <c r="E88" s="367"/>
      <c r="F88" s="367"/>
      <c r="G88" s="367"/>
      <c r="H88" s="367"/>
      <c r="I88" s="367"/>
      <c r="J88" s="367"/>
      <c r="K88" s="367"/>
      <c r="L88" s="367"/>
      <c r="M88" s="367"/>
      <c r="N88" s="367"/>
      <c r="O88" s="367"/>
      <c r="P88" s="367"/>
      <c r="Q88" s="367"/>
      <c r="R88" s="367"/>
      <c r="S88" s="367"/>
      <c r="T88" s="367"/>
      <c r="U88" s="367"/>
      <c r="V88" s="367"/>
      <c r="W88" s="367"/>
      <c r="X88" s="367"/>
      <c r="Y88" s="367"/>
      <c r="Z88" s="367"/>
      <c r="AA88" s="367"/>
      <c r="AB88" s="367"/>
      <c r="AC88" s="367"/>
      <c r="AD88" s="367"/>
    </row>
    <row r="89" ht="23.25" customHeight="1">
      <c r="A89" s="367"/>
      <c r="B89" s="367"/>
      <c r="C89" s="367"/>
      <c r="D89" s="367"/>
      <c r="E89" s="367"/>
      <c r="F89" s="367"/>
      <c r="G89" s="367"/>
      <c r="H89" s="367"/>
      <c r="I89" s="367"/>
      <c r="J89" s="367"/>
      <c r="K89" s="367"/>
      <c r="L89" s="367"/>
      <c r="M89" s="367"/>
      <c r="N89" s="367"/>
      <c r="O89" s="367"/>
      <c r="P89" s="367"/>
      <c r="Q89" s="367"/>
      <c r="R89" s="367"/>
      <c r="S89" s="367"/>
      <c r="T89" s="367"/>
      <c r="U89" s="367"/>
      <c r="V89" s="367"/>
      <c r="W89" s="367"/>
      <c r="X89" s="367"/>
      <c r="Y89" s="367"/>
      <c r="Z89" s="367"/>
      <c r="AA89" s="367"/>
      <c r="AB89" s="367"/>
      <c r="AC89" s="367"/>
      <c r="AD89" s="367"/>
    </row>
    <row r="90" ht="23.25" customHeight="1">
      <c r="A90" s="367"/>
      <c r="B90" s="367"/>
      <c r="C90" s="367"/>
      <c r="D90" s="367"/>
      <c r="E90" s="367"/>
      <c r="F90" s="367"/>
      <c r="G90" s="367"/>
      <c r="H90" s="367"/>
      <c r="I90" s="367"/>
      <c r="J90" s="367"/>
      <c r="K90" s="367"/>
      <c r="L90" s="367"/>
      <c r="M90" s="367"/>
      <c r="N90" s="367"/>
      <c r="O90" s="367"/>
      <c r="P90" s="367"/>
      <c r="Q90" s="367"/>
      <c r="R90" s="367"/>
      <c r="S90" s="367"/>
      <c r="T90" s="367"/>
      <c r="U90" s="367"/>
      <c r="V90" s="367"/>
      <c r="W90" s="367"/>
      <c r="X90" s="367"/>
      <c r="Y90" s="367"/>
      <c r="Z90" s="367"/>
      <c r="AA90" s="367"/>
      <c r="AB90" s="367"/>
      <c r="AC90" s="367"/>
      <c r="AD90" s="367"/>
    </row>
    <row r="91" ht="23.25" customHeight="1">
      <c r="A91" s="367"/>
      <c r="B91" s="367"/>
      <c r="C91" s="367"/>
      <c r="D91" s="367"/>
      <c r="E91" s="367"/>
      <c r="F91" s="367"/>
      <c r="G91" s="367"/>
      <c r="H91" s="367"/>
      <c r="I91" s="367"/>
      <c r="J91" s="367"/>
      <c r="K91" s="367"/>
      <c r="L91" s="367"/>
      <c r="M91" s="367"/>
      <c r="N91" s="367"/>
      <c r="O91" s="367"/>
      <c r="P91" s="367"/>
      <c r="Q91" s="367"/>
      <c r="R91" s="367"/>
      <c r="S91" s="367"/>
      <c r="T91" s="367"/>
      <c r="U91" s="367"/>
      <c r="V91" s="367"/>
      <c r="W91" s="367"/>
      <c r="X91" s="367"/>
      <c r="Y91" s="367"/>
      <c r="Z91" s="367"/>
      <c r="AA91" s="367"/>
      <c r="AB91" s="367"/>
      <c r="AC91" s="367"/>
      <c r="AD91" s="367"/>
    </row>
    <row r="92" ht="23.25" customHeight="1">
      <c r="A92" s="367"/>
      <c r="B92" s="367"/>
      <c r="C92" s="367"/>
      <c r="D92" s="367"/>
      <c r="E92" s="367"/>
      <c r="F92" s="367"/>
      <c r="G92" s="367"/>
      <c r="H92" s="367"/>
      <c r="I92" s="367"/>
      <c r="J92" s="367"/>
      <c r="K92" s="367"/>
      <c r="L92" s="367"/>
      <c r="M92" s="367"/>
      <c r="N92" s="367"/>
      <c r="O92" s="367"/>
      <c r="P92" s="367"/>
      <c r="Q92" s="367"/>
      <c r="R92" s="367"/>
      <c r="S92" s="367"/>
      <c r="T92" s="367"/>
      <c r="U92" s="367"/>
      <c r="V92" s="367"/>
      <c r="W92" s="367"/>
      <c r="X92" s="367"/>
      <c r="Y92" s="367"/>
      <c r="Z92" s="367"/>
      <c r="AA92" s="367"/>
      <c r="AB92" s="367"/>
      <c r="AC92" s="367"/>
      <c r="AD92" s="367"/>
    </row>
    <row r="93" ht="23.25" customHeight="1">
      <c r="A93" s="367"/>
      <c r="B93" s="367"/>
      <c r="C93" s="367"/>
      <c r="D93" s="367"/>
      <c r="E93" s="367"/>
      <c r="F93" s="367"/>
      <c r="G93" s="367"/>
      <c r="H93" s="367"/>
      <c r="I93" s="367"/>
      <c r="J93" s="367"/>
      <c r="K93" s="367"/>
      <c r="L93" s="367"/>
      <c r="M93" s="367"/>
      <c r="N93" s="367"/>
      <c r="O93" s="367"/>
      <c r="P93" s="367"/>
      <c r="Q93" s="367"/>
      <c r="R93" s="367"/>
      <c r="S93" s="367"/>
      <c r="T93" s="367"/>
      <c r="U93" s="367"/>
      <c r="V93" s="367"/>
      <c r="W93" s="367"/>
      <c r="X93" s="367"/>
      <c r="Y93" s="367"/>
      <c r="Z93" s="367"/>
      <c r="AA93" s="367"/>
      <c r="AB93" s="367"/>
      <c r="AC93" s="367"/>
      <c r="AD93" s="367"/>
    </row>
    <row r="94" ht="23.25" customHeight="1">
      <c r="A94" s="367"/>
      <c r="B94" s="367"/>
      <c r="C94" s="367"/>
      <c r="D94" s="367"/>
      <c r="E94" s="367"/>
      <c r="F94" s="367"/>
      <c r="G94" s="367"/>
      <c r="H94" s="367"/>
      <c r="I94" s="367"/>
      <c r="J94" s="367"/>
      <c r="K94" s="367"/>
      <c r="L94" s="367"/>
      <c r="M94" s="367"/>
      <c r="N94" s="367"/>
      <c r="O94" s="367"/>
      <c r="P94" s="367"/>
      <c r="Q94" s="367"/>
      <c r="R94" s="367"/>
      <c r="S94" s="367"/>
      <c r="T94" s="367"/>
      <c r="U94" s="367"/>
      <c r="V94" s="367"/>
      <c r="W94" s="367"/>
      <c r="X94" s="367"/>
      <c r="Y94" s="367"/>
      <c r="Z94" s="367"/>
      <c r="AA94" s="367"/>
      <c r="AB94" s="367"/>
      <c r="AC94" s="367"/>
      <c r="AD94" s="367"/>
    </row>
    <row r="95" ht="23.25" customHeight="1">
      <c r="A95" s="367"/>
      <c r="B95" s="367"/>
      <c r="C95" s="367"/>
      <c r="D95" s="367"/>
      <c r="E95" s="367"/>
      <c r="F95" s="367"/>
      <c r="G95" s="367"/>
      <c r="H95" s="367"/>
      <c r="I95" s="367"/>
      <c r="J95" s="367"/>
      <c r="K95" s="367"/>
      <c r="L95" s="367"/>
      <c r="M95" s="367"/>
      <c r="N95" s="367"/>
      <c r="O95" s="367"/>
      <c r="P95" s="367"/>
      <c r="Q95" s="367"/>
      <c r="R95" s="367"/>
      <c r="S95" s="367"/>
      <c r="T95" s="367"/>
      <c r="U95" s="367"/>
      <c r="V95" s="367"/>
      <c r="W95" s="367"/>
      <c r="X95" s="367"/>
      <c r="Y95" s="367"/>
      <c r="Z95" s="367"/>
      <c r="AA95" s="367"/>
      <c r="AB95" s="367"/>
      <c r="AC95" s="367"/>
      <c r="AD95" s="367"/>
    </row>
    <row r="96" ht="23.25" customHeight="1">
      <c r="A96" s="367"/>
      <c r="B96" s="367"/>
      <c r="C96" s="367"/>
      <c r="D96" s="367"/>
      <c r="E96" s="367"/>
      <c r="F96" s="367"/>
      <c r="G96" s="367"/>
      <c r="H96" s="367"/>
      <c r="I96" s="367"/>
      <c r="J96" s="367"/>
      <c r="K96" s="367"/>
      <c r="L96" s="367"/>
      <c r="M96" s="367"/>
      <c r="N96" s="367"/>
      <c r="O96" s="367"/>
      <c r="P96" s="367"/>
      <c r="Q96" s="367"/>
      <c r="R96" s="367"/>
      <c r="S96" s="367"/>
      <c r="T96" s="367"/>
      <c r="U96" s="367"/>
      <c r="V96" s="367"/>
      <c r="W96" s="367"/>
      <c r="X96" s="367"/>
      <c r="Y96" s="367"/>
      <c r="Z96" s="367"/>
      <c r="AA96" s="367"/>
      <c r="AB96" s="367"/>
      <c r="AC96" s="367"/>
      <c r="AD96" s="367"/>
    </row>
    <row r="97" ht="23.25" customHeight="1">
      <c r="A97" s="367"/>
      <c r="B97" s="367"/>
      <c r="C97" s="367"/>
      <c r="D97" s="367"/>
      <c r="E97" s="367"/>
      <c r="F97" s="367"/>
      <c r="G97" s="367"/>
      <c r="H97" s="367"/>
      <c r="I97" s="367"/>
      <c r="J97" s="367"/>
      <c r="K97" s="367"/>
      <c r="L97" s="367"/>
      <c r="M97" s="367"/>
      <c r="N97" s="367"/>
      <c r="O97" s="367"/>
      <c r="P97" s="367"/>
      <c r="Q97" s="367"/>
      <c r="R97" s="367"/>
      <c r="S97" s="367"/>
      <c r="T97" s="367"/>
      <c r="U97" s="367"/>
      <c r="V97" s="367"/>
      <c r="W97" s="367"/>
      <c r="X97" s="367"/>
      <c r="Y97" s="367"/>
      <c r="Z97" s="367"/>
      <c r="AA97" s="367"/>
      <c r="AB97" s="367"/>
      <c r="AC97" s="367"/>
      <c r="AD97" s="367"/>
    </row>
    <row r="98" ht="23.25" customHeight="1">
      <c r="A98" s="367"/>
      <c r="B98" s="367"/>
      <c r="C98" s="367"/>
      <c r="D98" s="367"/>
      <c r="E98" s="367"/>
      <c r="F98" s="367"/>
      <c r="G98" s="367"/>
      <c r="H98" s="367"/>
      <c r="I98" s="367"/>
      <c r="J98" s="367"/>
      <c r="K98" s="367"/>
      <c r="L98" s="367"/>
      <c r="M98" s="367"/>
      <c r="N98" s="367"/>
      <c r="O98" s="367"/>
      <c r="P98" s="367"/>
      <c r="Q98" s="367"/>
      <c r="R98" s="367"/>
      <c r="S98" s="367"/>
      <c r="T98" s="367"/>
      <c r="U98" s="367"/>
      <c r="V98" s="367"/>
      <c r="W98" s="367"/>
      <c r="X98" s="367"/>
      <c r="Y98" s="367"/>
      <c r="Z98" s="367"/>
      <c r="AA98" s="367"/>
      <c r="AB98" s="367"/>
      <c r="AC98" s="367"/>
      <c r="AD98" s="367"/>
    </row>
    <row r="99" ht="23.25" customHeight="1">
      <c r="A99" s="367"/>
      <c r="B99" s="367"/>
      <c r="C99" s="367"/>
      <c r="D99" s="367"/>
      <c r="E99" s="367"/>
      <c r="F99" s="367"/>
      <c r="G99" s="367"/>
      <c r="H99" s="367"/>
      <c r="I99" s="367"/>
      <c r="J99" s="367"/>
      <c r="K99" s="367"/>
      <c r="L99" s="367"/>
      <c r="M99" s="367"/>
      <c r="N99" s="367"/>
      <c r="O99" s="367"/>
      <c r="P99" s="367"/>
      <c r="Q99" s="367"/>
      <c r="R99" s="367"/>
      <c r="S99" s="367"/>
      <c r="T99" s="367"/>
      <c r="U99" s="367"/>
      <c r="V99" s="367"/>
      <c r="W99" s="367"/>
      <c r="X99" s="367"/>
      <c r="Y99" s="367"/>
      <c r="Z99" s="367"/>
      <c r="AA99" s="367"/>
      <c r="AB99" s="367"/>
      <c r="AC99" s="367"/>
      <c r="AD99" s="367"/>
    </row>
    <row r="100" ht="23.25" customHeight="1">
      <c r="A100" s="367"/>
      <c r="B100" s="367"/>
      <c r="C100" s="367"/>
      <c r="D100" s="367"/>
      <c r="E100" s="367"/>
      <c r="F100" s="367"/>
      <c r="G100" s="367"/>
      <c r="H100" s="367"/>
      <c r="I100" s="367"/>
      <c r="J100" s="367"/>
      <c r="K100" s="367"/>
      <c r="L100" s="367"/>
      <c r="M100" s="367"/>
      <c r="N100" s="367"/>
      <c r="O100" s="367"/>
      <c r="P100" s="367"/>
      <c r="Q100" s="367"/>
      <c r="R100" s="367"/>
      <c r="S100" s="367"/>
      <c r="T100" s="367"/>
      <c r="U100" s="367"/>
      <c r="V100" s="367"/>
      <c r="W100" s="367"/>
      <c r="X100" s="367"/>
      <c r="Y100" s="367"/>
      <c r="Z100" s="367"/>
      <c r="AA100" s="367"/>
      <c r="AB100" s="367"/>
      <c r="AC100" s="367"/>
      <c r="AD100" s="367"/>
    </row>
    <row r="101" ht="23.25" customHeight="1">
      <c r="A101" s="367"/>
      <c r="B101" s="367"/>
      <c r="C101" s="367"/>
      <c r="D101" s="367"/>
      <c r="E101" s="367"/>
      <c r="F101" s="367"/>
      <c r="G101" s="367"/>
      <c r="H101" s="367"/>
      <c r="I101" s="367"/>
      <c r="J101" s="367"/>
      <c r="K101" s="367"/>
      <c r="L101" s="367"/>
      <c r="M101" s="367"/>
      <c r="N101" s="367"/>
      <c r="O101" s="367"/>
      <c r="P101" s="367"/>
      <c r="Q101" s="367"/>
      <c r="R101" s="367"/>
      <c r="S101" s="367"/>
      <c r="T101" s="367"/>
      <c r="U101" s="367"/>
      <c r="V101" s="367"/>
      <c r="W101" s="367"/>
      <c r="X101" s="367"/>
      <c r="Y101" s="367"/>
      <c r="Z101" s="367"/>
      <c r="AA101" s="367"/>
      <c r="AB101" s="367"/>
      <c r="AC101" s="367"/>
      <c r="AD101" s="367"/>
    </row>
    <row r="102" ht="23.25" customHeight="1">
      <c r="A102" s="367"/>
      <c r="B102" s="367"/>
      <c r="C102" s="367"/>
      <c r="D102" s="367"/>
      <c r="E102" s="367"/>
      <c r="F102" s="367"/>
      <c r="G102" s="367"/>
      <c r="H102" s="367"/>
      <c r="I102" s="367"/>
      <c r="J102" s="367"/>
      <c r="K102" s="367"/>
      <c r="L102" s="367"/>
      <c r="M102" s="367"/>
      <c r="N102" s="367"/>
      <c r="O102" s="367"/>
      <c r="P102" s="367"/>
      <c r="Q102" s="367"/>
      <c r="R102" s="367"/>
      <c r="S102" s="367"/>
      <c r="T102" s="367"/>
      <c r="U102" s="367"/>
      <c r="V102" s="367"/>
      <c r="W102" s="367"/>
      <c r="X102" s="367"/>
      <c r="Y102" s="367"/>
      <c r="Z102" s="367"/>
      <c r="AA102" s="367"/>
      <c r="AB102" s="367"/>
      <c r="AC102" s="367"/>
      <c r="AD102" s="367"/>
    </row>
    <row r="103" ht="23.25" customHeight="1">
      <c r="A103" s="367"/>
      <c r="B103" s="367"/>
      <c r="C103" s="367"/>
      <c r="D103" s="367"/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7"/>
      <c r="P103" s="367"/>
      <c r="Q103" s="367"/>
      <c r="R103" s="367"/>
      <c r="S103" s="367"/>
      <c r="T103" s="367"/>
      <c r="U103" s="367"/>
      <c r="V103" s="367"/>
      <c r="W103" s="367"/>
      <c r="X103" s="367"/>
      <c r="Y103" s="367"/>
      <c r="Z103" s="367"/>
      <c r="AA103" s="367"/>
      <c r="AB103" s="367"/>
      <c r="AC103" s="367"/>
      <c r="AD103" s="367"/>
    </row>
    <row r="104" ht="23.25" customHeight="1">
      <c r="A104" s="367"/>
      <c r="B104" s="367"/>
      <c r="C104" s="367"/>
      <c r="D104" s="367"/>
      <c r="E104" s="367"/>
      <c r="F104" s="367"/>
      <c r="G104" s="367"/>
      <c r="H104" s="367"/>
      <c r="I104" s="367"/>
      <c r="J104" s="367"/>
      <c r="K104" s="367"/>
      <c r="L104" s="367"/>
      <c r="M104" s="367"/>
      <c r="N104" s="367"/>
      <c r="O104" s="367"/>
      <c r="P104" s="367"/>
      <c r="Q104" s="367"/>
      <c r="R104" s="367"/>
      <c r="S104" s="367"/>
      <c r="T104" s="367"/>
      <c r="U104" s="367"/>
      <c r="V104" s="367"/>
      <c r="W104" s="367"/>
      <c r="X104" s="367"/>
      <c r="Y104" s="367"/>
      <c r="Z104" s="367"/>
      <c r="AA104" s="367"/>
      <c r="AB104" s="367"/>
      <c r="AC104" s="367"/>
      <c r="AD104" s="367"/>
    </row>
    <row r="105" ht="23.25" customHeight="1">
      <c r="A105" s="367"/>
      <c r="B105" s="367"/>
      <c r="C105" s="367"/>
      <c r="D105" s="367"/>
      <c r="E105" s="367"/>
      <c r="F105" s="367"/>
      <c r="G105" s="367"/>
      <c r="H105" s="367"/>
      <c r="I105" s="367"/>
      <c r="J105" s="367"/>
      <c r="K105" s="367"/>
      <c r="L105" s="367"/>
      <c r="M105" s="367"/>
      <c r="N105" s="367"/>
      <c r="O105" s="367"/>
      <c r="P105" s="367"/>
      <c r="Q105" s="367"/>
      <c r="R105" s="367"/>
      <c r="S105" s="367"/>
      <c r="T105" s="367"/>
      <c r="U105" s="367"/>
      <c r="V105" s="367"/>
      <c r="W105" s="367"/>
      <c r="X105" s="367"/>
      <c r="Y105" s="367"/>
      <c r="Z105" s="367"/>
      <c r="AA105" s="367"/>
      <c r="AB105" s="367"/>
      <c r="AC105" s="367"/>
      <c r="AD105" s="367"/>
    </row>
    <row r="106" ht="23.25" customHeight="1">
      <c r="A106" s="367"/>
      <c r="B106" s="367"/>
      <c r="C106" s="367"/>
      <c r="D106" s="367"/>
      <c r="E106" s="367"/>
      <c r="F106" s="367"/>
      <c r="G106" s="367"/>
      <c r="H106" s="367"/>
      <c r="I106" s="367"/>
      <c r="J106" s="367"/>
      <c r="K106" s="367"/>
      <c r="L106" s="367"/>
      <c r="M106" s="367"/>
      <c r="N106" s="367"/>
      <c r="O106" s="367"/>
      <c r="P106" s="367"/>
      <c r="Q106" s="367"/>
      <c r="R106" s="367"/>
      <c r="S106" s="367"/>
      <c r="T106" s="367"/>
      <c r="U106" s="367"/>
      <c r="V106" s="367"/>
      <c r="W106" s="367"/>
      <c r="X106" s="367"/>
      <c r="Y106" s="367"/>
      <c r="Z106" s="367"/>
      <c r="AA106" s="367"/>
      <c r="AB106" s="367"/>
      <c r="AC106" s="367"/>
      <c r="AD106" s="367"/>
    </row>
    <row r="107" ht="23.25" customHeight="1">
      <c r="A107" s="367"/>
      <c r="B107" s="367"/>
      <c r="C107" s="367"/>
      <c r="D107" s="367"/>
      <c r="E107" s="367"/>
      <c r="F107" s="367"/>
      <c r="G107" s="367"/>
      <c r="H107" s="367"/>
      <c r="I107" s="367"/>
      <c r="J107" s="367"/>
      <c r="K107" s="367"/>
      <c r="L107" s="367"/>
      <c r="M107" s="367"/>
      <c r="N107" s="367"/>
      <c r="O107" s="367"/>
      <c r="P107" s="367"/>
      <c r="Q107" s="367"/>
      <c r="R107" s="367"/>
      <c r="S107" s="367"/>
      <c r="T107" s="367"/>
      <c r="U107" s="367"/>
      <c r="V107" s="367"/>
      <c r="W107" s="367"/>
      <c r="X107" s="367"/>
      <c r="Y107" s="367"/>
      <c r="Z107" s="367"/>
      <c r="AA107" s="367"/>
      <c r="AB107" s="367"/>
      <c r="AC107" s="367"/>
      <c r="AD107" s="367"/>
    </row>
    <row r="108" ht="23.25" customHeight="1">
      <c r="A108" s="367"/>
      <c r="B108" s="367"/>
      <c r="C108" s="367"/>
      <c r="D108" s="367"/>
      <c r="E108" s="367"/>
      <c r="F108" s="367"/>
      <c r="G108" s="367"/>
      <c r="H108" s="367"/>
      <c r="I108" s="367"/>
      <c r="J108" s="367"/>
      <c r="K108" s="367"/>
      <c r="L108" s="367"/>
      <c r="M108" s="367"/>
      <c r="N108" s="367"/>
      <c r="O108" s="367"/>
      <c r="P108" s="367"/>
      <c r="Q108" s="367"/>
      <c r="R108" s="367"/>
      <c r="S108" s="367"/>
      <c r="T108" s="367"/>
      <c r="U108" s="367"/>
      <c r="V108" s="367"/>
      <c r="W108" s="367"/>
      <c r="X108" s="367"/>
      <c r="Y108" s="367"/>
      <c r="Z108" s="367"/>
      <c r="AA108" s="367"/>
      <c r="AB108" s="367"/>
      <c r="AC108" s="367"/>
      <c r="AD108" s="367"/>
    </row>
    <row r="109" ht="23.25" customHeight="1">
      <c r="A109" s="367"/>
      <c r="B109" s="367"/>
      <c r="C109" s="367"/>
      <c r="D109" s="367"/>
      <c r="E109" s="367"/>
      <c r="F109" s="367"/>
      <c r="G109" s="367"/>
      <c r="H109" s="367"/>
      <c r="I109" s="367"/>
      <c r="J109" s="367"/>
      <c r="K109" s="367"/>
      <c r="L109" s="367"/>
      <c r="M109" s="367"/>
      <c r="N109" s="367"/>
      <c r="O109" s="367"/>
      <c r="P109" s="367"/>
      <c r="Q109" s="367"/>
      <c r="R109" s="367"/>
      <c r="S109" s="367"/>
      <c r="T109" s="367"/>
      <c r="U109" s="367"/>
      <c r="V109" s="367"/>
      <c r="W109" s="367"/>
      <c r="X109" s="367"/>
      <c r="Y109" s="367"/>
      <c r="Z109" s="367"/>
      <c r="AA109" s="367"/>
      <c r="AB109" s="367"/>
      <c r="AC109" s="367"/>
      <c r="AD109" s="367"/>
    </row>
    <row r="110" ht="23.25" customHeight="1">
      <c r="A110" s="367"/>
      <c r="B110" s="367"/>
      <c r="C110" s="367"/>
      <c r="D110" s="367"/>
      <c r="E110" s="367"/>
      <c r="F110" s="367"/>
      <c r="G110" s="367"/>
      <c r="H110" s="367"/>
      <c r="I110" s="367"/>
      <c r="J110" s="367"/>
      <c r="K110" s="367"/>
      <c r="L110" s="367"/>
      <c r="M110" s="367"/>
      <c r="N110" s="367"/>
      <c r="O110" s="367"/>
      <c r="P110" s="367"/>
      <c r="Q110" s="367"/>
      <c r="R110" s="367"/>
      <c r="S110" s="367"/>
      <c r="T110" s="367"/>
      <c r="U110" s="367"/>
      <c r="V110" s="367"/>
      <c r="W110" s="367"/>
      <c r="X110" s="367"/>
      <c r="Y110" s="367"/>
      <c r="Z110" s="367"/>
      <c r="AA110" s="367"/>
      <c r="AB110" s="367"/>
      <c r="AC110" s="367"/>
      <c r="AD110" s="367"/>
    </row>
    <row r="111" ht="23.25" customHeight="1">
      <c r="A111" s="367"/>
      <c r="B111" s="367"/>
      <c r="C111" s="367"/>
      <c r="D111" s="367"/>
      <c r="E111" s="367"/>
      <c r="F111" s="367"/>
      <c r="G111" s="367"/>
      <c r="H111" s="367"/>
      <c r="I111" s="367"/>
      <c r="J111" s="367"/>
      <c r="K111" s="367"/>
      <c r="L111" s="367"/>
      <c r="M111" s="367"/>
      <c r="N111" s="367"/>
      <c r="O111" s="367"/>
      <c r="P111" s="367"/>
      <c r="Q111" s="367"/>
      <c r="R111" s="367"/>
      <c r="S111" s="367"/>
      <c r="T111" s="367"/>
      <c r="U111" s="367"/>
      <c r="V111" s="367"/>
      <c r="W111" s="367"/>
      <c r="X111" s="367"/>
      <c r="Y111" s="367"/>
      <c r="Z111" s="367"/>
      <c r="AA111" s="367"/>
      <c r="AB111" s="367"/>
      <c r="AC111" s="367"/>
      <c r="AD111" s="367"/>
    </row>
    <row r="112" ht="23.25" customHeight="1">
      <c r="A112" s="367"/>
      <c r="B112" s="367"/>
      <c r="C112" s="367"/>
      <c r="D112" s="367"/>
      <c r="E112" s="367"/>
      <c r="F112" s="367"/>
      <c r="G112" s="367"/>
      <c r="H112" s="367"/>
      <c r="I112" s="367"/>
      <c r="J112" s="367"/>
      <c r="K112" s="367"/>
      <c r="L112" s="367"/>
      <c r="M112" s="367"/>
      <c r="N112" s="367"/>
      <c r="O112" s="367"/>
      <c r="P112" s="367"/>
      <c r="Q112" s="367"/>
      <c r="R112" s="367"/>
      <c r="S112" s="367"/>
      <c r="T112" s="367"/>
      <c r="U112" s="367"/>
      <c r="V112" s="367"/>
      <c r="W112" s="367"/>
      <c r="X112" s="367"/>
      <c r="Y112" s="367"/>
      <c r="Z112" s="367"/>
      <c r="AA112" s="367"/>
      <c r="AB112" s="367"/>
      <c r="AC112" s="367"/>
      <c r="AD112" s="367"/>
    </row>
    <row r="113" ht="23.25" customHeight="1">
      <c r="A113" s="367"/>
      <c r="B113" s="367"/>
      <c r="C113" s="367"/>
      <c r="D113" s="367"/>
      <c r="E113" s="367"/>
      <c r="F113" s="367"/>
      <c r="G113" s="367"/>
      <c r="H113" s="367"/>
      <c r="I113" s="367"/>
      <c r="J113" s="367"/>
      <c r="K113" s="367"/>
      <c r="L113" s="367"/>
      <c r="M113" s="367"/>
      <c r="N113" s="367"/>
      <c r="O113" s="367"/>
      <c r="P113" s="367"/>
      <c r="Q113" s="367"/>
      <c r="R113" s="367"/>
      <c r="S113" s="367"/>
      <c r="T113" s="367"/>
      <c r="U113" s="367"/>
      <c r="V113" s="367"/>
      <c r="W113" s="367"/>
      <c r="X113" s="367"/>
      <c r="Y113" s="367"/>
      <c r="Z113" s="367"/>
      <c r="AA113" s="367"/>
      <c r="AB113" s="367"/>
      <c r="AC113" s="367"/>
      <c r="AD113" s="367"/>
    </row>
    <row r="114" ht="23.25" customHeight="1">
      <c r="A114" s="367"/>
      <c r="B114" s="367"/>
      <c r="C114" s="367"/>
      <c r="D114" s="367"/>
      <c r="E114" s="367"/>
      <c r="F114" s="367"/>
      <c r="G114" s="367"/>
      <c r="H114" s="367"/>
      <c r="I114" s="367"/>
      <c r="J114" s="367"/>
      <c r="K114" s="367"/>
      <c r="L114" s="367"/>
      <c r="M114" s="367"/>
      <c r="N114" s="367"/>
      <c r="O114" s="367"/>
      <c r="P114" s="367"/>
      <c r="Q114" s="367"/>
      <c r="R114" s="367"/>
      <c r="S114" s="367"/>
      <c r="T114" s="367"/>
      <c r="U114" s="367"/>
      <c r="V114" s="367"/>
      <c r="W114" s="367"/>
      <c r="X114" s="367"/>
      <c r="Y114" s="367"/>
      <c r="Z114" s="367"/>
      <c r="AA114" s="367"/>
      <c r="AB114" s="367"/>
      <c r="AC114" s="367"/>
      <c r="AD114" s="367"/>
    </row>
    <row r="115" ht="23.25" customHeight="1">
      <c r="A115" s="367"/>
      <c r="B115" s="367"/>
      <c r="C115" s="367"/>
      <c r="D115" s="367"/>
      <c r="E115" s="367"/>
      <c r="F115" s="367"/>
      <c r="G115" s="367"/>
      <c r="H115" s="367"/>
      <c r="I115" s="367"/>
      <c r="J115" s="367"/>
      <c r="K115" s="367"/>
      <c r="L115" s="367"/>
      <c r="M115" s="367"/>
      <c r="N115" s="367"/>
      <c r="O115" s="367"/>
      <c r="P115" s="367"/>
      <c r="Q115" s="367"/>
      <c r="R115" s="367"/>
      <c r="S115" s="367"/>
      <c r="T115" s="367"/>
      <c r="U115" s="367"/>
      <c r="V115" s="367"/>
      <c r="W115" s="367"/>
      <c r="X115" s="367"/>
      <c r="Y115" s="367"/>
      <c r="Z115" s="367"/>
      <c r="AA115" s="367"/>
      <c r="AB115" s="367"/>
      <c r="AC115" s="367"/>
      <c r="AD115" s="367"/>
    </row>
    <row r="116" ht="23.25" customHeight="1">
      <c r="A116" s="367"/>
      <c r="B116" s="367"/>
      <c r="C116" s="367"/>
      <c r="D116" s="367"/>
      <c r="E116" s="367"/>
      <c r="F116" s="367"/>
      <c r="G116" s="367"/>
      <c r="H116" s="367"/>
      <c r="I116" s="367"/>
      <c r="J116" s="367"/>
      <c r="K116" s="367"/>
      <c r="L116" s="367"/>
      <c r="M116" s="367"/>
      <c r="N116" s="367"/>
      <c r="O116" s="367"/>
      <c r="P116" s="367"/>
      <c r="Q116" s="367"/>
      <c r="R116" s="367"/>
      <c r="S116" s="367"/>
      <c r="T116" s="367"/>
      <c r="U116" s="367"/>
      <c r="V116" s="367"/>
      <c r="W116" s="367"/>
      <c r="X116" s="367"/>
      <c r="Y116" s="367"/>
      <c r="Z116" s="367"/>
      <c r="AA116" s="367"/>
      <c r="AB116" s="367"/>
      <c r="AC116" s="367"/>
      <c r="AD116" s="367"/>
    </row>
    <row r="117" ht="23.25" customHeight="1">
      <c r="A117" s="367"/>
      <c r="B117" s="367"/>
      <c r="C117" s="367"/>
      <c r="D117" s="367"/>
      <c r="E117" s="367"/>
      <c r="F117" s="367"/>
      <c r="G117" s="367"/>
      <c r="H117" s="367"/>
      <c r="I117" s="367"/>
      <c r="J117" s="367"/>
      <c r="K117" s="367"/>
      <c r="L117" s="367"/>
      <c r="M117" s="367"/>
      <c r="N117" s="367"/>
      <c r="O117" s="367"/>
      <c r="P117" s="367"/>
      <c r="Q117" s="367"/>
      <c r="R117" s="367"/>
      <c r="S117" s="367"/>
      <c r="T117" s="367"/>
      <c r="U117" s="367"/>
      <c r="V117" s="367"/>
      <c r="W117" s="367"/>
      <c r="X117" s="367"/>
      <c r="Y117" s="367"/>
      <c r="Z117" s="367"/>
      <c r="AA117" s="367"/>
      <c r="AB117" s="367"/>
      <c r="AC117" s="367"/>
      <c r="AD117" s="367"/>
    </row>
    <row r="118" ht="23.25" customHeight="1">
      <c r="A118" s="367"/>
      <c r="B118" s="367"/>
      <c r="C118" s="367"/>
      <c r="D118" s="367"/>
      <c r="E118" s="367"/>
      <c r="F118" s="367"/>
      <c r="G118" s="367"/>
      <c r="H118" s="367"/>
      <c r="I118" s="367"/>
      <c r="J118" s="367"/>
      <c r="K118" s="367"/>
      <c r="L118" s="367"/>
      <c r="M118" s="367"/>
      <c r="N118" s="367"/>
      <c r="O118" s="367"/>
      <c r="P118" s="367"/>
      <c r="Q118" s="367"/>
      <c r="R118" s="367"/>
      <c r="S118" s="367"/>
      <c r="T118" s="367"/>
      <c r="U118" s="367"/>
      <c r="V118" s="367"/>
      <c r="W118" s="367"/>
      <c r="X118" s="367"/>
      <c r="Y118" s="367"/>
      <c r="Z118" s="367"/>
      <c r="AA118" s="367"/>
      <c r="AB118" s="367"/>
      <c r="AC118" s="367"/>
      <c r="AD118" s="367"/>
    </row>
    <row r="119" ht="23.25" customHeight="1">
      <c r="A119" s="367"/>
      <c r="B119" s="367"/>
      <c r="C119" s="367"/>
      <c r="D119" s="367"/>
      <c r="E119" s="367"/>
      <c r="F119" s="367"/>
      <c r="G119" s="367"/>
      <c r="H119" s="367"/>
      <c r="I119" s="367"/>
      <c r="J119" s="367"/>
      <c r="K119" s="367"/>
      <c r="L119" s="367"/>
      <c r="M119" s="367"/>
      <c r="N119" s="367"/>
      <c r="O119" s="367"/>
      <c r="P119" s="367"/>
      <c r="Q119" s="367"/>
      <c r="R119" s="367"/>
      <c r="S119" s="367"/>
      <c r="T119" s="367"/>
      <c r="U119" s="367"/>
      <c r="V119" s="367"/>
      <c r="W119" s="367"/>
      <c r="X119" s="367"/>
      <c r="Y119" s="367"/>
      <c r="Z119" s="367"/>
      <c r="AA119" s="367"/>
      <c r="AB119" s="367"/>
      <c r="AC119" s="367"/>
      <c r="AD119" s="367"/>
    </row>
    <row r="120" ht="23.25" customHeight="1">
      <c r="A120" s="367"/>
      <c r="B120" s="367"/>
      <c r="C120" s="367"/>
      <c r="D120" s="367"/>
      <c r="E120" s="367"/>
      <c r="F120" s="367"/>
      <c r="G120" s="367"/>
      <c r="H120" s="367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67"/>
      <c r="T120" s="367"/>
      <c r="U120" s="367"/>
      <c r="V120" s="367"/>
      <c r="W120" s="367"/>
      <c r="X120" s="367"/>
      <c r="Y120" s="367"/>
      <c r="Z120" s="367"/>
      <c r="AA120" s="367"/>
      <c r="AB120" s="367"/>
      <c r="AC120" s="367"/>
      <c r="AD120" s="367"/>
    </row>
    <row r="121" ht="23.25" customHeight="1">
      <c r="A121" s="367"/>
      <c r="B121" s="367"/>
      <c r="C121" s="367"/>
      <c r="D121" s="367"/>
      <c r="E121" s="367"/>
      <c r="F121" s="367"/>
      <c r="G121" s="367"/>
      <c r="H121" s="367"/>
      <c r="I121" s="367"/>
      <c r="J121" s="367"/>
      <c r="K121" s="367"/>
      <c r="L121" s="367"/>
      <c r="M121" s="367"/>
      <c r="N121" s="367"/>
      <c r="O121" s="367"/>
      <c r="P121" s="367"/>
      <c r="Q121" s="367"/>
      <c r="R121" s="367"/>
      <c r="S121" s="367"/>
      <c r="T121" s="367"/>
      <c r="U121" s="367"/>
      <c r="V121" s="367"/>
      <c r="W121" s="367"/>
      <c r="X121" s="367"/>
      <c r="Y121" s="367"/>
      <c r="Z121" s="367"/>
      <c r="AA121" s="367"/>
      <c r="AB121" s="367"/>
      <c r="AC121" s="367"/>
      <c r="AD121" s="367"/>
    </row>
    <row r="122" ht="23.25" customHeight="1">
      <c r="A122" s="367"/>
      <c r="B122" s="367"/>
      <c r="C122" s="367"/>
      <c r="D122" s="367"/>
      <c r="E122" s="367"/>
      <c r="F122" s="367"/>
      <c r="G122" s="367"/>
      <c r="H122" s="367"/>
      <c r="I122" s="367"/>
      <c r="J122" s="367"/>
      <c r="K122" s="367"/>
      <c r="L122" s="367"/>
      <c r="M122" s="367"/>
      <c r="N122" s="367"/>
      <c r="O122" s="367"/>
      <c r="P122" s="367"/>
      <c r="Q122" s="367"/>
      <c r="R122" s="367"/>
      <c r="S122" s="367"/>
      <c r="T122" s="367"/>
      <c r="U122" s="367"/>
      <c r="V122" s="367"/>
      <c r="W122" s="367"/>
      <c r="X122" s="367"/>
      <c r="Y122" s="367"/>
      <c r="Z122" s="367"/>
      <c r="AA122" s="367"/>
      <c r="AB122" s="367"/>
      <c r="AC122" s="367"/>
      <c r="AD122" s="367"/>
    </row>
    <row r="123" ht="23.25" customHeight="1">
      <c r="A123" s="367"/>
      <c r="B123" s="367"/>
      <c r="C123" s="367"/>
      <c r="D123" s="367"/>
      <c r="E123" s="367"/>
      <c r="F123" s="367"/>
      <c r="G123" s="367"/>
      <c r="H123" s="367"/>
      <c r="I123" s="367"/>
      <c r="J123" s="367"/>
      <c r="K123" s="367"/>
      <c r="L123" s="367"/>
      <c r="M123" s="367"/>
      <c r="N123" s="367"/>
      <c r="O123" s="367"/>
      <c r="P123" s="367"/>
      <c r="Q123" s="367"/>
      <c r="R123" s="367"/>
      <c r="S123" s="367"/>
      <c r="T123" s="367"/>
      <c r="U123" s="367"/>
      <c r="V123" s="367"/>
      <c r="W123" s="367"/>
      <c r="X123" s="367"/>
      <c r="Y123" s="367"/>
      <c r="Z123" s="367"/>
      <c r="AA123" s="367"/>
      <c r="AB123" s="367"/>
      <c r="AC123" s="367"/>
      <c r="AD123" s="367"/>
    </row>
    <row r="124" ht="23.25" customHeight="1">
      <c r="A124" s="367"/>
      <c r="B124" s="367"/>
      <c r="C124" s="367"/>
      <c r="D124" s="367"/>
      <c r="E124" s="367"/>
      <c r="F124" s="367"/>
      <c r="G124" s="367"/>
      <c r="H124" s="367"/>
      <c r="I124" s="367"/>
      <c r="J124" s="367"/>
      <c r="K124" s="367"/>
      <c r="L124" s="367"/>
      <c r="M124" s="367"/>
      <c r="N124" s="367"/>
      <c r="O124" s="367"/>
      <c r="P124" s="367"/>
      <c r="Q124" s="367"/>
      <c r="R124" s="367"/>
      <c r="S124" s="367"/>
      <c r="T124" s="367"/>
      <c r="U124" s="367"/>
      <c r="V124" s="367"/>
      <c r="W124" s="367"/>
      <c r="X124" s="367"/>
      <c r="Y124" s="367"/>
      <c r="Z124" s="367"/>
      <c r="AA124" s="367"/>
      <c r="AB124" s="367"/>
      <c r="AC124" s="367"/>
      <c r="AD124" s="367"/>
    </row>
    <row r="125" ht="23.25" customHeight="1">
      <c r="A125" s="367"/>
      <c r="B125" s="367"/>
      <c r="C125" s="367"/>
      <c r="D125" s="367"/>
      <c r="E125" s="367"/>
      <c r="F125" s="367"/>
      <c r="G125" s="367"/>
      <c r="H125" s="367"/>
      <c r="I125" s="367"/>
      <c r="J125" s="367"/>
      <c r="K125" s="367"/>
      <c r="L125" s="367"/>
      <c r="M125" s="367"/>
      <c r="N125" s="367"/>
      <c r="O125" s="367"/>
      <c r="P125" s="367"/>
      <c r="Q125" s="367"/>
      <c r="R125" s="367"/>
      <c r="S125" s="367"/>
      <c r="T125" s="367"/>
      <c r="U125" s="367"/>
      <c r="V125" s="367"/>
      <c r="W125" s="367"/>
      <c r="X125" s="367"/>
      <c r="Y125" s="367"/>
      <c r="Z125" s="367"/>
      <c r="AA125" s="367"/>
      <c r="AB125" s="367"/>
      <c r="AC125" s="367"/>
      <c r="AD125" s="367"/>
    </row>
    <row r="126" ht="23.25" customHeight="1">
      <c r="A126" s="367"/>
      <c r="B126" s="367"/>
      <c r="C126" s="367"/>
      <c r="D126" s="367"/>
      <c r="E126" s="367"/>
      <c r="F126" s="367"/>
      <c r="G126" s="367"/>
      <c r="H126" s="367"/>
      <c r="I126" s="367"/>
      <c r="J126" s="367"/>
      <c r="K126" s="367"/>
      <c r="L126" s="367"/>
      <c r="M126" s="367"/>
      <c r="N126" s="367"/>
      <c r="O126" s="367"/>
      <c r="P126" s="367"/>
      <c r="Q126" s="367"/>
      <c r="R126" s="367"/>
      <c r="S126" s="367"/>
      <c r="T126" s="367"/>
      <c r="U126" s="367"/>
      <c r="V126" s="367"/>
      <c r="W126" s="367"/>
      <c r="X126" s="367"/>
      <c r="Y126" s="367"/>
      <c r="Z126" s="367"/>
      <c r="AA126" s="367"/>
      <c r="AB126" s="367"/>
      <c r="AC126" s="367"/>
      <c r="AD126" s="367"/>
    </row>
    <row r="127" ht="23.25" customHeight="1">
      <c r="A127" s="367"/>
      <c r="B127" s="367"/>
      <c r="C127" s="367"/>
      <c r="D127" s="367"/>
      <c r="E127" s="367"/>
      <c r="F127" s="367"/>
      <c r="G127" s="367"/>
      <c r="H127" s="367"/>
      <c r="I127" s="367"/>
      <c r="J127" s="367"/>
      <c r="K127" s="367"/>
      <c r="L127" s="367"/>
      <c r="M127" s="367"/>
      <c r="N127" s="367"/>
      <c r="O127" s="367"/>
      <c r="P127" s="367"/>
      <c r="Q127" s="367"/>
      <c r="R127" s="367"/>
      <c r="S127" s="367"/>
      <c r="T127" s="367"/>
      <c r="U127" s="367"/>
      <c r="V127" s="367"/>
      <c r="W127" s="367"/>
      <c r="X127" s="367"/>
      <c r="Y127" s="367"/>
      <c r="Z127" s="367"/>
      <c r="AA127" s="367"/>
      <c r="AB127" s="367"/>
      <c r="AC127" s="367"/>
      <c r="AD127" s="367"/>
    </row>
    <row r="128" ht="23.25" customHeight="1">
      <c r="A128" s="367"/>
      <c r="B128" s="367"/>
      <c r="C128" s="367"/>
      <c r="D128" s="367"/>
      <c r="E128" s="367"/>
      <c r="F128" s="367"/>
      <c r="G128" s="367"/>
      <c r="H128" s="367"/>
      <c r="I128" s="367"/>
      <c r="J128" s="367"/>
      <c r="K128" s="367"/>
      <c r="L128" s="367"/>
      <c r="M128" s="367"/>
      <c r="N128" s="367"/>
      <c r="O128" s="367"/>
      <c r="P128" s="367"/>
      <c r="Q128" s="367"/>
      <c r="R128" s="367"/>
      <c r="S128" s="367"/>
      <c r="T128" s="367"/>
      <c r="U128" s="367"/>
      <c r="V128" s="367"/>
      <c r="W128" s="367"/>
      <c r="X128" s="367"/>
      <c r="Y128" s="367"/>
      <c r="Z128" s="367"/>
      <c r="AA128" s="367"/>
      <c r="AB128" s="367"/>
      <c r="AC128" s="367"/>
      <c r="AD128" s="367"/>
    </row>
    <row r="129" ht="23.25" customHeight="1">
      <c r="A129" s="367"/>
      <c r="B129" s="367"/>
      <c r="C129" s="367"/>
      <c r="D129" s="367"/>
      <c r="E129" s="367"/>
      <c r="F129" s="367"/>
      <c r="G129" s="367"/>
      <c r="H129" s="367"/>
      <c r="I129" s="367"/>
      <c r="J129" s="367"/>
      <c r="K129" s="367"/>
      <c r="L129" s="367"/>
      <c r="M129" s="367"/>
      <c r="N129" s="367"/>
      <c r="O129" s="367"/>
      <c r="P129" s="367"/>
      <c r="Q129" s="367"/>
      <c r="R129" s="367"/>
      <c r="S129" s="367"/>
      <c r="T129" s="367"/>
      <c r="U129" s="367"/>
      <c r="V129" s="367"/>
      <c r="W129" s="367"/>
      <c r="X129" s="367"/>
      <c r="Y129" s="367"/>
      <c r="Z129" s="367"/>
      <c r="AA129" s="367"/>
      <c r="AB129" s="367"/>
      <c r="AC129" s="367"/>
      <c r="AD129" s="367"/>
    </row>
    <row r="130" ht="23.25" customHeight="1">
      <c r="A130" s="367"/>
      <c r="B130" s="367"/>
      <c r="C130" s="367"/>
      <c r="D130" s="367"/>
      <c r="E130" s="367"/>
      <c r="F130" s="367"/>
      <c r="G130" s="367"/>
      <c r="H130" s="367"/>
      <c r="I130" s="367"/>
      <c r="J130" s="367"/>
      <c r="K130" s="367"/>
      <c r="L130" s="367"/>
      <c r="M130" s="367"/>
      <c r="N130" s="367"/>
      <c r="O130" s="367"/>
      <c r="P130" s="367"/>
      <c r="Q130" s="367"/>
      <c r="R130" s="367"/>
      <c r="S130" s="367"/>
      <c r="T130" s="367"/>
      <c r="U130" s="367"/>
      <c r="V130" s="367"/>
      <c r="W130" s="367"/>
      <c r="X130" s="367"/>
      <c r="Y130" s="367"/>
      <c r="Z130" s="367"/>
      <c r="AA130" s="367"/>
      <c r="AB130" s="367"/>
      <c r="AC130" s="367"/>
      <c r="AD130" s="367"/>
    </row>
    <row r="131" ht="23.25" customHeight="1">
      <c r="A131" s="367"/>
      <c r="B131" s="367"/>
      <c r="C131" s="367"/>
      <c r="D131" s="367"/>
      <c r="E131" s="367"/>
      <c r="F131" s="367"/>
      <c r="G131" s="367"/>
      <c r="H131" s="367"/>
      <c r="I131" s="367"/>
      <c r="J131" s="367"/>
      <c r="K131" s="367"/>
      <c r="L131" s="367"/>
      <c r="M131" s="367"/>
      <c r="N131" s="367"/>
      <c r="O131" s="367"/>
      <c r="P131" s="367"/>
      <c r="Q131" s="367"/>
      <c r="R131" s="367"/>
      <c r="S131" s="367"/>
      <c r="T131" s="367"/>
      <c r="U131" s="367"/>
      <c r="V131" s="367"/>
      <c r="W131" s="367"/>
      <c r="X131" s="367"/>
      <c r="Y131" s="367"/>
      <c r="Z131" s="367"/>
      <c r="AA131" s="367"/>
      <c r="AB131" s="367"/>
      <c r="AC131" s="367"/>
      <c r="AD131" s="367"/>
    </row>
    <row r="132" ht="23.25" customHeight="1">
      <c r="A132" s="367"/>
      <c r="B132" s="367"/>
      <c r="C132" s="367"/>
      <c r="D132" s="367"/>
      <c r="E132" s="367"/>
      <c r="F132" s="367"/>
      <c r="G132" s="367"/>
      <c r="H132" s="367"/>
      <c r="I132" s="367"/>
      <c r="J132" s="367"/>
      <c r="K132" s="367"/>
      <c r="L132" s="367"/>
      <c r="M132" s="367"/>
      <c r="N132" s="367"/>
      <c r="O132" s="367"/>
      <c r="P132" s="367"/>
      <c r="Q132" s="367"/>
      <c r="R132" s="367"/>
      <c r="S132" s="367"/>
      <c r="T132" s="367"/>
      <c r="U132" s="367"/>
      <c r="V132" s="367"/>
      <c r="W132" s="367"/>
      <c r="X132" s="367"/>
      <c r="Y132" s="367"/>
      <c r="Z132" s="367"/>
      <c r="AA132" s="367"/>
      <c r="AB132" s="367"/>
      <c r="AC132" s="367"/>
      <c r="AD132" s="367"/>
    </row>
    <row r="133" ht="23.25" customHeight="1">
      <c r="A133" s="367"/>
      <c r="B133" s="367"/>
      <c r="C133" s="367"/>
      <c r="D133" s="367"/>
      <c r="E133" s="367"/>
      <c r="F133" s="367"/>
      <c r="G133" s="367"/>
      <c r="H133" s="367"/>
      <c r="I133" s="367"/>
      <c r="J133" s="367"/>
      <c r="K133" s="367"/>
      <c r="L133" s="367"/>
      <c r="M133" s="367"/>
      <c r="N133" s="367"/>
      <c r="O133" s="367"/>
      <c r="P133" s="367"/>
      <c r="Q133" s="367"/>
      <c r="R133" s="367"/>
      <c r="S133" s="367"/>
      <c r="T133" s="367"/>
      <c r="U133" s="367"/>
      <c r="V133" s="367"/>
      <c r="W133" s="367"/>
      <c r="X133" s="367"/>
      <c r="Y133" s="367"/>
      <c r="Z133" s="367"/>
      <c r="AA133" s="367"/>
      <c r="AB133" s="367"/>
      <c r="AC133" s="367"/>
      <c r="AD133" s="367"/>
    </row>
    <row r="134" ht="23.25" customHeight="1">
      <c r="A134" s="367"/>
      <c r="B134" s="367"/>
      <c r="C134" s="367"/>
      <c r="D134" s="367"/>
      <c r="E134" s="367"/>
      <c r="F134" s="367"/>
      <c r="G134" s="367"/>
      <c r="H134" s="367"/>
      <c r="I134" s="367"/>
      <c r="J134" s="367"/>
      <c r="K134" s="367"/>
      <c r="L134" s="367"/>
      <c r="M134" s="367"/>
      <c r="N134" s="367"/>
      <c r="O134" s="367"/>
      <c r="P134" s="367"/>
      <c r="Q134" s="367"/>
      <c r="R134" s="367"/>
      <c r="S134" s="367"/>
      <c r="T134" s="367"/>
      <c r="U134" s="367"/>
      <c r="V134" s="367"/>
      <c r="W134" s="367"/>
      <c r="X134" s="367"/>
      <c r="Y134" s="367"/>
      <c r="Z134" s="367"/>
      <c r="AA134" s="367"/>
      <c r="AB134" s="367"/>
      <c r="AC134" s="367"/>
      <c r="AD134" s="367"/>
    </row>
    <row r="135" ht="23.25" customHeight="1">
      <c r="A135" s="367"/>
      <c r="B135" s="367"/>
      <c r="C135" s="367"/>
      <c r="D135" s="367"/>
      <c r="E135" s="367"/>
      <c r="F135" s="367"/>
      <c r="G135" s="367"/>
      <c r="H135" s="367"/>
      <c r="I135" s="367"/>
      <c r="J135" s="367"/>
      <c r="K135" s="367"/>
      <c r="L135" s="367"/>
      <c r="M135" s="367"/>
      <c r="N135" s="367"/>
      <c r="O135" s="367"/>
      <c r="P135" s="367"/>
      <c r="Q135" s="367"/>
      <c r="R135" s="367"/>
      <c r="S135" s="367"/>
      <c r="T135" s="367"/>
      <c r="U135" s="367"/>
      <c r="V135" s="367"/>
      <c r="W135" s="367"/>
      <c r="X135" s="367"/>
      <c r="Y135" s="367"/>
      <c r="Z135" s="367"/>
      <c r="AA135" s="367"/>
      <c r="AB135" s="367"/>
      <c r="AC135" s="367"/>
      <c r="AD135" s="367"/>
    </row>
    <row r="136" ht="23.25" customHeight="1">
      <c r="A136" s="367"/>
      <c r="B136" s="367"/>
      <c r="C136" s="367"/>
      <c r="D136" s="367"/>
      <c r="E136" s="367"/>
      <c r="F136" s="367"/>
      <c r="G136" s="367"/>
      <c r="H136" s="367"/>
      <c r="I136" s="367"/>
      <c r="J136" s="367"/>
      <c r="K136" s="367"/>
      <c r="L136" s="367"/>
      <c r="M136" s="367"/>
      <c r="N136" s="367"/>
      <c r="O136" s="367"/>
      <c r="P136" s="367"/>
      <c r="Q136" s="367"/>
      <c r="R136" s="367"/>
      <c r="S136" s="367"/>
      <c r="T136" s="367"/>
      <c r="U136" s="367"/>
      <c r="V136" s="367"/>
      <c r="W136" s="367"/>
      <c r="X136" s="367"/>
      <c r="Y136" s="367"/>
      <c r="Z136" s="367"/>
      <c r="AA136" s="367"/>
      <c r="AB136" s="367"/>
      <c r="AC136" s="367"/>
      <c r="AD136" s="367"/>
    </row>
    <row r="137" ht="23.25" customHeight="1">
      <c r="A137" s="367"/>
      <c r="B137" s="367"/>
      <c r="C137" s="367"/>
      <c r="D137" s="367"/>
      <c r="E137" s="367"/>
      <c r="F137" s="367"/>
      <c r="G137" s="367"/>
      <c r="H137" s="367"/>
      <c r="I137" s="367"/>
      <c r="J137" s="367"/>
      <c r="K137" s="367"/>
      <c r="L137" s="367"/>
      <c r="M137" s="367"/>
      <c r="N137" s="367"/>
      <c r="O137" s="367"/>
      <c r="P137" s="367"/>
      <c r="Q137" s="367"/>
      <c r="R137" s="367"/>
      <c r="S137" s="367"/>
      <c r="T137" s="367"/>
      <c r="U137" s="367"/>
      <c r="V137" s="367"/>
      <c r="W137" s="367"/>
      <c r="X137" s="367"/>
      <c r="Y137" s="367"/>
      <c r="Z137" s="367"/>
      <c r="AA137" s="367"/>
      <c r="AB137" s="367"/>
      <c r="AC137" s="367"/>
      <c r="AD137" s="367"/>
    </row>
    <row r="138" ht="23.25" customHeight="1">
      <c r="A138" s="367"/>
      <c r="B138" s="367"/>
      <c r="C138" s="367"/>
      <c r="D138" s="367"/>
      <c r="E138" s="367"/>
      <c r="F138" s="367"/>
      <c r="G138" s="367"/>
      <c r="H138" s="367"/>
      <c r="I138" s="367"/>
      <c r="J138" s="367"/>
      <c r="K138" s="367"/>
      <c r="L138" s="367"/>
      <c r="M138" s="367"/>
      <c r="N138" s="367"/>
      <c r="O138" s="367"/>
      <c r="P138" s="367"/>
      <c r="Q138" s="367"/>
      <c r="R138" s="367"/>
      <c r="S138" s="367"/>
      <c r="T138" s="367"/>
      <c r="U138" s="367"/>
      <c r="V138" s="367"/>
      <c r="W138" s="367"/>
      <c r="X138" s="367"/>
      <c r="Y138" s="367"/>
      <c r="Z138" s="367"/>
      <c r="AA138" s="367"/>
      <c r="AB138" s="367"/>
      <c r="AC138" s="367"/>
      <c r="AD138" s="367"/>
    </row>
    <row r="139" ht="23.25" customHeight="1">
      <c r="A139" s="367"/>
      <c r="B139" s="367"/>
      <c r="C139" s="367"/>
      <c r="D139" s="367"/>
      <c r="E139" s="367"/>
      <c r="F139" s="367"/>
      <c r="G139" s="367"/>
      <c r="H139" s="367"/>
      <c r="I139" s="367"/>
      <c r="J139" s="367"/>
      <c r="K139" s="367"/>
      <c r="L139" s="367"/>
      <c r="M139" s="367"/>
      <c r="N139" s="367"/>
      <c r="O139" s="367"/>
      <c r="P139" s="367"/>
      <c r="Q139" s="367"/>
      <c r="R139" s="367"/>
      <c r="S139" s="367"/>
      <c r="T139" s="367"/>
      <c r="U139" s="367"/>
      <c r="V139" s="367"/>
      <c r="W139" s="367"/>
      <c r="X139" s="367"/>
      <c r="Y139" s="367"/>
      <c r="Z139" s="367"/>
      <c r="AA139" s="367"/>
      <c r="AB139" s="367"/>
      <c r="AC139" s="367"/>
      <c r="AD139" s="367"/>
    </row>
    <row r="140" ht="23.25" customHeight="1">
      <c r="A140" s="367"/>
      <c r="B140" s="367"/>
      <c r="C140" s="367"/>
      <c r="D140" s="367"/>
      <c r="E140" s="367"/>
      <c r="F140" s="367"/>
      <c r="G140" s="367"/>
      <c r="H140" s="367"/>
      <c r="I140" s="367"/>
      <c r="J140" s="367"/>
      <c r="K140" s="367"/>
      <c r="L140" s="367"/>
      <c r="M140" s="367"/>
      <c r="N140" s="367"/>
      <c r="O140" s="367"/>
      <c r="P140" s="367"/>
      <c r="Q140" s="367"/>
      <c r="R140" s="367"/>
      <c r="S140" s="367"/>
      <c r="T140" s="367"/>
      <c r="U140" s="367"/>
      <c r="V140" s="367"/>
      <c r="W140" s="367"/>
      <c r="X140" s="367"/>
      <c r="Y140" s="367"/>
      <c r="Z140" s="367"/>
      <c r="AA140" s="367"/>
      <c r="AB140" s="367"/>
      <c r="AC140" s="367"/>
      <c r="AD140" s="367"/>
    </row>
    <row r="141" ht="23.25" customHeight="1">
      <c r="A141" s="367"/>
      <c r="B141" s="367"/>
      <c r="C141" s="367"/>
      <c r="D141" s="367"/>
      <c r="E141" s="367"/>
      <c r="F141" s="367"/>
      <c r="G141" s="367"/>
      <c r="H141" s="367"/>
      <c r="I141" s="367"/>
      <c r="J141" s="367"/>
      <c r="K141" s="367"/>
      <c r="L141" s="367"/>
      <c r="M141" s="367"/>
      <c r="N141" s="367"/>
      <c r="O141" s="367"/>
      <c r="P141" s="367"/>
      <c r="Q141" s="367"/>
      <c r="R141" s="367"/>
      <c r="S141" s="367"/>
      <c r="T141" s="367"/>
      <c r="U141" s="367"/>
      <c r="V141" s="367"/>
      <c r="W141" s="367"/>
      <c r="X141" s="367"/>
      <c r="Y141" s="367"/>
      <c r="Z141" s="367"/>
      <c r="AA141" s="367"/>
      <c r="AB141" s="367"/>
      <c r="AC141" s="367"/>
      <c r="AD141" s="367"/>
    </row>
    <row r="142" ht="23.25" customHeight="1">
      <c r="A142" s="367"/>
      <c r="B142" s="367"/>
      <c r="C142" s="367"/>
      <c r="D142" s="367"/>
      <c r="E142" s="367"/>
      <c r="F142" s="367"/>
      <c r="G142" s="367"/>
      <c r="H142" s="367"/>
      <c r="I142" s="367"/>
      <c r="J142" s="367"/>
      <c r="K142" s="367"/>
      <c r="L142" s="367"/>
      <c r="M142" s="367"/>
      <c r="N142" s="367"/>
      <c r="O142" s="367"/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</row>
    <row r="143" ht="23.25" customHeight="1">
      <c r="A143" s="367"/>
      <c r="B143" s="367"/>
      <c r="C143" s="367"/>
      <c r="D143" s="367"/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367"/>
      <c r="Q143" s="367"/>
      <c r="R143" s="367"/>
      <c r="S143" s="367"/>
      <c r="T143" s="367"/>
      <c r="U143" s="367"/>
      <c r="V143" s="367"/>
      <c r="W143" s="367"/>
      <c r="X143" s="367"/>
      <c r="Y143" s="367"/>
      <c r="Z143" s="367"/>
      <c r="AA143" s="367"/>
      <c r="AB143" s="367"/>
      <c r="AC143" s="367"/>
      <c r="AD143" s="367"/>
    </row>
    <row r="144" ht="23.25" customHeight="1">
      <c r="A144" s="367"/>
      <c r="B144" s="367"/>
      <c r="C144" s="367"/>
      <c r="D144" s="367"/>
      <c r="E144" s="367"/>
      <c r="F144" s="367"/>
      <c r="G144" s="367"/>
      <c r="H144" s="367"/>
      <c r="I144" s="367"/>
      <c r="J144" s="367"/>
      <c r="K144" s="367"/>
      <c r="L144" s="367"/>
      <c r="M144" s="367"/>
      <c r="N144" s="367"/>
      <c r="O144" s="367"/>
      <c r="P144" s="367"/>
      <c r="Q144" s="367"/>
      <c r="R144" s="367"/>
      <c r="S144" s="367"/>
      <c r="T144" s="367"/>
      <c r="U144" s="367"/>
      <c r="V144" s="367"/>
      <c r="W144" s="367"/>
      <c r="X144" s="367"/>
      <c r="Y144" s="367"/>
      <c r="Z144" s="367"/>
      <c r="AA144" s="367"/>
      <c r="AB144" s="367"/>
      <c r="AC144" s="367"/>
      <c r="AD144" s="367"/>
    </row>
    <row r="145" ht="23.25" customHeight="1">
      <c r="A145" s="367"/>
      <c r="B145" s="367"/>
      <c r="C145" s="367"/>
      <c r="D145" s="367"/>
      <c r="E145" s="367"/>
      <c r="F145" s="367"/>
      <c r="G145" s="367"/>
      <c r="H145" s="367"/>
      <c r="I145" s="367"/>
      <c r="J145" s="367"/>
      <c r="K145" s="367"/>
      <c r="L145" s="367"/>
      <c r="M145" s="367"/>
      <c r="N145" s="367"/>
      <c r="O145" s="367"/>
      <c r="P145" s="367"/>
      <c r="Q145" s="367"/>
      <c r="R145" s="367"/>
      <c r="S145" s="367"/>
      <c r="T145" s="367"/>
      <c r="U145" s="367"/>
      <c r="V145" s="367"/>
      <c r="W145" s="367"/>
      <c r="X145" s="367"/>
      <c r="Y145" s="367"/>
      <c r="Z145" s="367"/>
      <c r="AA145" s="367"/>
      <c r="AB145" s="367"/>
      <c r="AC145" s="367"/>
      <c r="AD145" s="367"/>
    </row>
    <row r="146" ht="23.25" customHeight="1">
      <c r="A146" s="367"/>
      <c r="B146" s="367"/>
      <c r="C146" s="367"/>
      <c r="D146" s="367"/>
      <c r="E146" s="367"/>
      <c r="F146" s="367"/>
      <c r="G146" s="367"/>
      <c r="H146" s="367"/>
      <c r="I146" s="367"/>
      <c r="J146" s="367"/>
      <c r="K146" s="367"/>
      <c r="L146" s="367"/>
      <c r="M146" s="367"/>
      <c r="N146" s="367"/>
      <c r="O146" s="367"/>
      <c r="P146" s="367"/>
      <c r="Q146" s="367"/>
      <c r="R146" s="367"/>
      <c r="S146" s="367"/>
      <c r="T146" s="367"/>
      <c r="U146" s="367"/>
      <c r="V146" s="367"/>
      <c r="W146" s="367"/>
      <c r="X146" s="367"/>
      <c r="Y146" s="367"/>
      <c r="Z146" s="367"/>
      <c r="AA146" s="367"/>
      <c r="AB146" s="367"/>
      <c r="AC146" s="367"/>
      <c r="AD146" s="367"/>
    </row>
    <row r="147" ht="23.25" customHeight="1">
      <c r="A147" s="367"/>
      <c r="B147" s="367"/>
      <c r="C147" s="367"/>
      <c r="D147" s="367"/>
      <c r="E147" s="367"/>
      <c r="F147" s="367"/>
      <c r="G147" s="367"/>
      <c r="H147" s="367"/>
      <c r="I147" s="367"/>
      <c r="J147" s="367"/>
      <c r="K147" s="367"/>
      <c r="L147" s="367"/>
      <c r="M147" s="367"/>
      <c r="N147" s="367"/>
      <c r="O147" s="367"/>
      <c r="P147" s="367"/>
      <c r="Q147" s="367"/>
      <c r="R147" s="367"/>
      <c r="S147" s="367"/>
      <c r="T147" s="367"/>
      <c r="U147" s="367"/>
      <c r="V147" s="367"/>
      <c r="W147" s="367"/>
      <c r="X147" s="367"/>
      <c r="Y147" s="367"/>
      <c r="Z147" s="367"/>
      <c r="AA147" s="367"/>
      <c r="AB147" s="367"/>
      <c r="AC147" s="367"/>
      <c r="AD147" s="367"/>
    </row>
    <row r="148" ht="23.25" customHeight="1">
      <c r="A148" s="367"/>
      <c r="B148" s="367"/>
      <c r="C148" s="367"/>
      <c r="D148" s="367"/>
      <c r="E148" s="367"/>
      <c r="F148" s="367"/>
      <c r="G148" s="367"/>
      <c r="H148" s="367"/>
      <c r="I148" s="367"/>
      <c r="J148" s="367"/>
      <c r="K148" s="367"/>
      <c r="L148" s="367"/>
      <c r="M148" s="367"/>
      <c r="N148" s="367"/>
      <c r="O148" s="367"/>
      <c r="P148" s="367"/>
      <c r="Q148" s="367"/>
      <c r="R148" s="367"/>
      <c r="S148" s="367"/>
      <c r="T148" s="367"/>
      <c r="U148" s="367"/>
      <c r="V148" s="367"/>
      <c r="W148" s="367"/>
      <c r="X148" s="367"/>
      <c r="Y148" s="367"/>
      <c r="Z148" s="367"/>
      <c r="AA148" s="367"/>
      <c r="AB148" s="367"/>
      <c r="AC148" s="367"/>
      <c r="AD148" s="367"/>
    </row>
    <row r="149" ht="23.25" customHeight="1">
      <c r="A149" s="367"/>
      <c r="B149" s="367"/>
      <c r="C149" s="367"/>
      <c r="D149" s="367"/>
      <c r="E149" s="367"/>
      <c r="F149" s="367"/>
      <c r="G149" s="367"/>
      <c r="H149" s="367"/>
      <c r="I149" s="367"/>
      <c r="J149" s="367"/>
      <c r="K149" s="367"/>
      <c r="L149" s="367"/>
      <c r="M149" s="367"/>
      <c r="N149" s="367"/>
      <c r="O149" s="367"/>
      <c r="P149" s="367"/>
      <c r="Q149" s="367"/>
      <c r="R149" s="367"/>
      <c r="S149" s="367"/>
      <c r="T149" s="367"/>
      <c r="U149" s="367"/>
      <c r="V149" s="367"/>
      <c r="W149" s="367"/>
      <c r="X149" s="367"/>
      <c r="Y149" s="367"/>
      <c r="Z149" s="367"/>
      <c r="AA149" s="367"/>
      <c r="AB149" s="367"/>
      <c r="AC149" s="367"/>
      <c r="AD149" s="367"/>
    </row>
    <row r="150" ht="23.25" customHeight="1">
      <c r="A150" s="367"/>
      <c r="B150" s="367"/>
      <c r="C150" s="367"/>
      <c r="D150" s="367"/>
      <c r="E150" s="367"/>
      <c r="F150" s="367"/>
      <c r="G150" s="367"/>
      <c r="H150" s="367"/>
      <c r="I150" s="367"/>
      <c r="J150" s="367"/>
      <c r="K150" s="367"/>
      <c r="L150" s="367"/>
      <c r="M150" s="367"/>
      <c r="N150" s="367"/>
      <c r="O150" s="367"/>
      <c r="P150" s="367"/>
      <c r="Q150" s="367"/>
      <c r="R150" s="367"/>
      <c r="S150" s="367"/>
      <c r="T150" s="367"/>
      <c r="U150" s="367"/>
      <c r="V150" s="367"/>
      <c r="W150" s="367"/>
      <c r="X150" s="367"/>
      <c r="Y150" s="367"/>
      <c r="Z150" s="367"/>
      <c r="AA150" s="367"/>
      <c r="AB150" s="367"/>
      <c r="AC150" s="367"/>
      <c r="AD150" s="367"/>
    </row>
    <row r="151" ht="23.25" customHeight="1">
      <c r="A151" s="367"/>
      <c r="B151" s="367"/>
      <c r="C151" s="367"/>
      <c r="D151" s="367"/>
      <c r="E151" s="367"/>
      <c r="F151" s="367"/>
      <c r="G151" s="367"/>
      <c r="H151" s="367"/>
      <c r="I151" s="367"/>
      <c r="J151" s="367"/>
      <c r="K151" s="367"/>
      <c r="L151" s="367"/>
      <c r="M151" s="367"/>
      <c r="N151" s="367"/>
      <c r="O151" s="367"/>
      <c r="P151" s="367"/>
      <c r="Q151" s="367"/>
      <c r="R151" s="367"/>
      <c r="S151" s="367"/>
      <c r="T151" s="367"/>
      <c r="U151" s="367"/>
      <c r="V151" s="367"/>
      <c r="W151" s="367"/>
      <c r="X151" s="367"/>
      <c r="Y151" s="367"/>
      <c r="Z151" s="367"/>
      <c r="AA151" s="367"/>
      <c r="AB151" s="367"/>
      <c r="AC151" s="367"/>
      <c r="AD151" s="367"/>
    </row>
    <row r="152" ht="23.25" customHeight="1">
      <c r="A152" s="367"/>
      <c r="B152" s="367"/>
      <c r="C152" s="367"/>
      <c r="D152" s="367"/>
      <c r="E152" s="367"/>
      <c r="F152" s="367"/>
      <c r="G152" s="367"/>
      <c r="H152" s="367"/>
      <c r="I152" s="367"/>
      <c r="J152" s="367"/>
      <c r="K152" s="367"/>
      <c r="L152" s="367"/>
      <c r="M152" s="367"/>
      <c r="N152" s="367"/>
      <c r="O152" s="367"/>
      <c r="P152" s="367"/>
      <c r="Q152" s="367"/>
      <c r="R152" s="367"/>
      <c r="S152" s="367"/>
      <c r="T152" s="367"/>
      <c r="U152" s="367"/>
      <c r="V152" s="367"/>
      <c r="W152" s="367"/>
      <c r="X152" s="367"/>
      <c r="Y152" s="367"/>
      <c r="Z152" s="367"/>
      <c r="AA152" s="367"/>
      <c r="AB152" s="367"/>
      <c r="AC152" s="367"/>
      <c r="AD152" s="367"/>
    </row>
    <row r="153" ht="23.25" customHeight="1">
      <c r="A153" s="367"/>
      <c r="B153" s="367"/>
      <c r="C153" s="367"/>
      <c r="D153" s="367"/>
      <c r="E153" s="367"/>
      <c r="F153" s="367"/>
      <c r="G153" s="367"/>
      <c r="H153" s="367"/>
      <c r="I153" s="367"/>
      <c r="J153" s="367"/>
      <c r="K153" s="367"/>
      <c r="L153" s="367"/>
      <c r="M153" s="367"/>
      <c r="N153" s="367"/>
      <c r="O153" s="367"/>
      <c r="P153" s="367"/>
      <c r="Q153" s="367"/>
      <c r="R153" s="367"/>
      <c r="S153" s="367"/>
      <c r="T153" s="367"/>
      <c r="U153" s="367"/>
      <c r="V153" s="367"/>
      <c r="W153" s="367"/>
      <c r="X153" s="367"/>
      <c r="Y153" s="367"/>
      <c r="Z153" s="367"/>
      <c r="AA153" s="367"/>
      <c r="AB153" s="367"/>
      <c r="AC153" s="367"/>
      <c r="AD153" s="367"/>
    </row>
    <row r="154" ht="23.25" customHeight="1">
      <c r="A154" s="367"/>
      <c r="B154" s="367"/>
      <c r="C154" s="367"/>
      <c r="D154" s="367"/>
      <c r="E154" s="367"/>
      <c r="F154" s="367"/>
      <c r="G154" s="367"/>
      <c r="H154" s="367"/>
      <c r="I154" s="367"/>
      <c r="J154" s="367"/>
      <c r="K154" s="367"/>
      <c r="L154" s="367"/>
      <c r="M154" s="367"/>
      <c r="N154" s="367"/>
      <c r="O154" s="367"/>
      <c r="P154" s="367"/>
      <c r="Q154" s="367"/>
      <c r="R154" s="367"/>
      <c r="S154" s="367"/>
      <c r="T154" s="367"/>
      <c r="U154" s="367"/>
      <c r="V154" s="367"/>
      <c r="W154" s="367"/>
      <c r="X154" s="367"/>
      <c r="Y154" s="367"/>
      <c r="Z154" s="367"/>
      <c r="AA154" s="367"/>
      <c r="AB154" s="367"/>
      <c r="AC154" s="367"/>
      <c r="AD154" s="367"/>
    </row>
    <row r="155" ht="23.25" customHeight="1">
      <c r="A155" s="367"/>
      <c r="B155" s="367"/>
      <c r="C155" s="367"/>
      <c r="D155" s="367"/>
      <c r="E155" s="367"/>
      <c r="F155" s="367"/>
      <c r="G155" s="367"/>
      <c r="H155" s="367"/>
      <c r="I155" s="367"/>
      <c r="J155" s="367"/>
      <c r="K155" s="367"/>
      <c r="L155" s="367"/>
      <c r="M155" s="367"/>
      <c r="N155" s="367"/>
      <c r="O155" s="367"/>
      <c r="P155" s="367"/>
      <c r="Q155" s="367"/>
      <c r="R155" s="367"/>
      <c r="S155" s="367"/>
      <c r="T155" s="367"/>
      <c r="U155" s="367"/>
      <c r="V155" s="367"/>
      <c r="W155" s="367"/>
      <c r="X155" s="367"/>
      <c r="Y155" s="367"/>
      <c r="Z155" s="367"/>
      <c r="AA155" s="367"/>
      <c r="AB155" s="367"/>
      <c r="AC155" s="367"/>
      <c r="AD155" s="367"/>
    </row>
    <row r="156" ht="23.25" customHeight="1">
      <c r="A156" s="367"/>
      <c r="B156" s="367"/>
      <c r="C156" s="367"/>
      <c r="D156" s="367"/>
      <c r="E156" s="367"/>
      <c r="F156" s="367"/>
      <c r="G156" s="367"/>
      <c r="H156" s="367"/>
      <c r="I156" s="367"/>
      <c r="J156" s="367"/>
      <c r="K156" s="367"/>
      <c r="L156" s="367"/>
      <c r="M156" s="367"/>
      <c r="N156" s="367"/>
      <c r="O156" s="367"/>
      <c r="P156" s="367"/>
      <c r="Q156" s="367"/>
      <c r="R156" s="367"/>
      <c r="S156" s="367"/>
      <c r="T156" s="367"/>
      <c r="U156" s="367"/>
      <c r="V156" s="367"/>
      <c r="W156" s="367"/>
      <c r="X156" s="367"/>
      <c r="Y156" s="367"/>
      <c r="Z156" s="367"/>
      <c r="AA156" s="367"/>
      <c r="AB156" s="367"/>
      <c r="AC156" s="367"/>
      <c r="AD156" s="367"/>
    </row>
    <row r="157" ht="23.25" customHeight="1">
      <c r="A157" s="367"/>
      <c r="B157" s="367"/>
      <c r="C157" s="367"/>
      <c r="D157" s="367"/>
      <c r="E157" s="367"/>
      <c r="F157" s="367"/>
      <c r="G157" s="367"/>
      <c r="H157" s="367"/>
      <c r="I157" s="367"/>
      <c r="J157" s="367"/>
      <c r="K157" s="367"/>
      <c r="L157" s="367"/>
      <c r="M157" s="367"/>
      <c r="N157" s="367"/>
      <c r="O157" s="367"/>
      <c r="P157" s="367"/>
      <c r="Q157" s="367"/>
      <c r="R157" s="367"/>
      <c r="S157" s="367"/>
      <c r="T157" s="367"/>
      <c r="U157" s="367"/>
      <c r="V157" s="367"/>
      <c r="W157" s="367"/>
      <c r="X157" s="367"/>
      <c r="Y157" s="367"/>
      <c r="Z157" s="367"/>
      <c r="AA157" s="367"/>
      <c r="AB157" s="367"/>
      <c r="AC157" s="367"/>
      <c r="AD157" s="367"/>
    </row>
    <row r="158" ht="23.25" customHeight="1">
      <c r="A158" s="367"/>
      <c r="B158" s="367"/>
      <c r="C158" s="367"/>
      <c r="D158" s="367"/>
      <c r="E158" s="367"/>
      <c r="F158" s="367"/>
      <c r="G158" s="367"/>
      <c r="H158" s="367"/>
      <c r="I158" s="367"/>
      <c r="J158" s="367"/>
      <c r="K158" s="367"/>
      <c r="L158" s="367"/>
      <c r="M158" s="367"/>
      <c r="N158" s="367"/>
      <c r="O158" s="367"/>
      <c r="P158" s="367"/>
      <c r="Q158" s="367"/>
      <c r="R158" s="367"/>
      <c r="S158" s="367"/>
      <c r="T158" s="367"/>
      <c r="U158" s="367"/>
      <c r="V158" s="367"/>
      <c r="W158" s="367"/>
      <c r="X158" s="367"/>
      <c r="Y158" s="367"/>
      <c r="Z158" s="367"/>
      <c r="AA158" s="367"/>
      <c r="AB158" s="367"/>
      <c r="AC158" s="367"/>
      <c r="AD158" s="367"/>
    </row>
    <row r="159" ht="23.25" customHeight="1">
      <c r="A159" s="367"/>
      <c r="B159" s="367"/>
      <c r="C159" s="367"/>
      <c r="D159" s="367"/>
      <c r="E159" s="367"/>
      <c r="F159" s="367"/>
      <c r="G159" s="367"/>
      <c r="H159" s="367"/>
      <c r="I159" s="367"/>
      <c r="J159" s="367"/>
      <c r="K159" s="367"/>
      <c r="L159" s="367"/>
      <c r="M159" s="367"/>
      <c r="N159" s="367"/>
      <c r="O159" s="367"/>
      <c r="P159" s="367"/>
      <c r="Q159" s="367"/>
      <c r="R159" s="367"/>
      <c r="S159" s="367"/>
      <c r="T159" s="367"/>
      <c r="U159" s="367"/>
      <c r="V159" s="367"/>
      <c r="W159" s="367"/>
      <c r="X159" s="367"/>
      <c r="Y159" s="367"/>
      <c r="Z159" s="367"/>
      <c r="AA159" s="367"/>
      <c r="AB159" s="367"/>
      <c r="AC159" s="367"/>
      <c r="AD159" s="367"/>
    </row>
    <row r="160" ht="23.25" customHeight="1">
      <c r="A160" s="367"/>
      <c r="B160" s="367"/>
      <c r="C160" s="367"/>
      <c r="D160" s="367"/>
      <c r="E160" s="367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67"/>
      <c r="T160" s="367"/>
      <c r="U160" s="367"/>
      <c r="V160" s="367"/>
      <c r="W160" s="367"/>
      <c r="X160" s="367"/>
      <c r="Y160" s="367"/>
      <c r="Z160" s="367"/>
      <c r="AA160" s="367"/>
      <c r="AB160" s="367"/>
      <c r="AC160" s="367"/>
      <c r="AD160" s="367"/>
    </row>
    <row r="161" ht="23.25" customHeight="1">
      <c r="A161" s="367"/>
      <c r="B161" s="367"/>
      <c r="C161" s="367"/>
      <c r="D161" s="367"/>
      <c r="E161" s="367"/>
      <c r="F161" s="367"/>
      <c r="G161" s="367"/>
      <c r="H161" s="367"/>
      <c r="I161" s="367"/>
      <c r="J161" s="367"/>
      <c r="K161" s="367"/>
      <c r="L161" s="367"/>
      <c r="M161" s="367"/>
      <c r="N161" s="367"/>
      <c r="O161" s="367"/>
      <c r="P161" s="367"/>
      <c r="Q161" s="367"/>
      <c r="R161" s="367"/>
      <c r="S161" s="367"/>
      <c r="T161" s="367"/>
      <c r="U161" s="367"/>
      <c r="V161" s="367"/>
      <c r="W161" s="367"/>
      <c r="X161" s="367"/>
      <c r="Y161" s="367"/>
      <c r="Z161" s="367"/>
      <c r="AA161" s="367"/>
      <c r="AB161" s="367"/>
      <c r="AC161" s="367"/>
      <c r="AD161" s="367"/>
    </row>
    <row r="162" ht="23.25" customHeight="1">
      <c r="A162" s="367"/>
      <c r="B162" s="367"/>
      <c r="C162" s="367"/>
      <c r="D162" s="367"/>
      <c r="E162" s="367"/>
      <c r="F162" s="367"/>
      <c r="G162" s="367"/>
      <c r="H162" s="367"/>
      <c r="I162" s="367"/>
      <c r="J162" s="367"/>
      <c r="K162" s="367"/>
      <c r="L162" s="367"/>
      <c r="M162" s="367"/>
      <c r="N162" s="367"/>
      <c r="O162" s="367"/>
      <c r="P162" s="367"/>
      <c r="Q162" s="367"/>
      <c r="R162" s="367"/>
      <c r="S162" s="367"/>
      <c r="T162" s="367"/>
      <c r="U162" s="367"/>
      <c r="V162" s="367"/>
      <c r="W162" s="367"/>
      <c r="X162" s="367"/>
      <c r="Y162" s="367"/>
      <c r="Z162" s="367"/>
      <c r="AA162" s="367"/>
      <c r="AB162" s="367"/>
      <c r="AC162" s="367"/>
      <c r="AD162" s="367"/>
    </row>
    <row r="163" ht="23.25" customHeight="1">
      <c r="A163" s="367"/>
      <c r="B163" s="367"/>
      <c r="C163" s="367"/>
      <c r="D163" s="367"/>
      <c r="E163" s="367"/>
      <c r="F163" s="367"/>
      <c r="G163" s="367"/>
      <c r="H163" s="367"/>
      <c r="I163" s="367"/>
      <c r="J163" s="367"/>
      <c r="K163" s="367"/>
      <c r="L163" s="367"/>
      <c r="M163" s="367"/>
      <c r="N163" s="367"/>
      <c r="O163" s="367"/>
      <c r="P163" s="367"/>
      <c r="Q163" s="367"/>
      <c r="R163" s="367"/>
      <c r="S163" s="367"/>
      <c r="T163" s="367"/>
      <c r="U163" s="367"/>
      <c r="V163" s="367"/>
      <c r="W163" s="367"/>
      <c r="X163" s="367"/>
      <c r="Y163" s="367"/>
      <c r="Z163" s="367"/>
      <c r="AA163" s="367"/>
      <c r="AB163" s="367"/>
      <c r="AC163" s="367"/>
      <c r="AD163" s="367"/>
    </row>
    <row r="164" ht="23.25" customHeight="1">
      <c r="A164" s="367"/>
      <c r="B164" s="367"/>
      <c r="C164" s="367"/>
      <c r="D164" s="367"/>
      <c r="E164" s="367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67"/>
      <c r="T164" s="367"/>
      <c r="U164" s="367"/>
      <c r="V164" s="367"/>
      <c r="W164" s="367"/>
      <c r="X164" s="367"/>
      <c r="Y164" s="367"/>
      <c r="Z164" s="367"/>
      <c r="AA164" s="367"/>
      <c r="AB164" s="367"/>
      <c r="AC164" s="367"/>
      <c r="AD164" s="367"/>
    </row>
    <row r="165" ht="23.25" customHeight="1">
      <c r="A165" s="367"/>
      <c r="B165" s="367"/>
      <c r="C165" s="367"/>
      <c r="D165" s="367"/>
      <c r="E165" s="367"/>
      <c r="F165" s="367"/>
      <c r="G165" s="367"/>
      <c r="H165" s="367"/>
      <c r="I165" s="367"/>
      <c r="J165" s="367"/>
      <c r="K165" s="367"/>
      <c r="L165" s="367"/>
      <c r="M165" s="367"/>
      <c r="N165" s="367"/>
      <c r="O165" s="367"/>
      <c r="P165" s="367"/>
      <c r="Q165" s="367"/>
      <c r="R165" s="367"/>
      <c r="S165" s="367"/>
      <c r="T165" s="367"/>
      <c r="U165" s="367"/>
      <c r="V165" s="367"/>
      <c r="W165" s="367"/>
      <c r="X165" s="367"/>
      <c r="Y165" s="367"/>
      <c r="Z165" s="367"/>
      <c r="AA165" s="367"/>
      <c r="AB165" s="367"/>
      <c r="AC165" s="367"/>
      <c r="AD165" s="367"/>
    </row>
    <row r="166" ht="23.25" customHeight="1">
      <c r="A166" s="367"/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7"/>
      <c r="O166" s="367"/>
      <c r="P166" s="367"/>
      <c r="Q166" s="367"/>
      <c r="R166" s="367"/>
      <c r="S166" s="367"/>
      <c r="T166" s="367"/>
      <c r="U166" s="367"/>
      <c r="V166" s="367"/>
      <c r="W166" s="367"/>
      <c r="X166" s="367"/>
      <c r="Y166" s="367"/>
      <c r="Z166" s="367"/>
      <c r="AA166" s="367"/>
      <c r="AB166" s="367"/>
      <c r="AC166" s="367"/>
      <c r="AD166" s="367"/>
    </row>
    <row r="167" ht="23.25" customHeight="1">
      <c r="A167" s="367"/>
      <c r="B167" s="367"/>
      <c r="C167" s="367"/>
      <c r="D167" s="367"/>
      <c r="E167" s="367"/>
      <c r="F167" s="367"/>
      <c r="G167" s="367"/>
      <c r="H167" s="367"/>
      <c r="I167" s="367"/>
      <c r="J167" s="367"/>
      <c r="K167" s="367"/>
      <c r="L167" s="367"/>
      <c r="M167" s="367"/>
      <c r="N167" s="367"/>
      <c r="O167" s="367"/>
      <c r="P167" s="367"/>
      <c r="Q167" s="367"/>
      <c r="R167" s="367"/>
      <c r="S167" s="367"/>
      <c r="T167" s="367"/>
      <c r="U167" s="367"/>
      <c r="V167" s="367"/>
      <c r="W167" s="367"/>
      <c r="X167" s="367"/>
      <c r="Y167" s="367"/>
      <c r="Z167" s="367"/>
      <c r="AA167" s="367"/>
      <c r="AB167" s="367"/>
      <c r="AC167" s="367"/>
      <c r="AD167" s="367"/>
    </row>
    <row r="168" ht="23.25" customHeight="1">
      <c r="A168" s="367"/>
      <c r="B168" s="367"/>
      <c r="C168" s="367"/>
      <c r="D168" s="367"/>
      <c r="E168" s="367"/>
      <c r="F168" s="367"/>
      <c r="G168" s="367"/>
      <c r="H168" s="367"/>
      <c r="I168" s="367"/>
      <c r="J168" s="367"/>
      <c r="K168" s="367"/>
      <c r="L168" s="367"/>
      <c r="M168" s="367"/>
      <c r="N168" s="367"/>
      <c r="O168" s="367"/>
      <c r="P168" s="367"/>
      <c r="Q168" s="367"/>
      <c r="R168" s="367"/>
      <c r="S168" s="367"/>
      <c r="T168" s="367"/>
      <c r="U168" s="367"/>
      <c r="V168" s="367"/>
      <c r="W168" s="367"/>
      <c r="X168" s="367"/>
      <c r="Y168" s="367"/>
      <c r="Z168" s="367"/>
      <c r="AA168" s="367"/>
      <c r="AB168" s="367"/>
      <c r="AC168" s="367"/>
      <c r="AD168" s="367"/>
    </row>
    <row r="169" ht="23.25" customHeight="1">
      <c r="A169" s="367"/>
      <c r="B169" s="367"/>
      <c r="C169" s="3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7"/>
      <c r="O169" s="367"/>
      <c r="P169" s="367"/>
      <c r="Q169" s="367"/>
      <c r="R169" s="367"/>
      <c r="S169" s="367"/>
      <c r="T169" s="367"/>
      <c r="U169" s="367"/>
      <c r="V169" s="367"/>
      <c r="W169" s="367"/>
      <c r="X169" s="367"/>
      <c r="Y169" s="367"/>
      <c r="Z169" s="367"/>
      <c r="AA169" s="367"/>
      <c r="AB169" s="367"/>
      <c r="AC169" s="367"/>
      <c r="AD169" s="367"/>
    </row>
    <row r="170" ht="23.25" customHeight="1">
      <c r="A170" s="367"/>
      <c r="B170" s="367"/>
      <c r="C170" s="367"/>
      <c r="D170" s="367"/>
      <c r="E170" s="367"/>
      <c r="F170" s="367"/>
      <c r="G170" s="367"/>
      <c r="H170" s="367"/>
      <c r="I170" s="367"/>
      <c r="J170" s="367"/>
      <c r="K170" s="367"/>
      <c r="L170" s="367"/>
      <c r="M170" s="367"/>
      <c r="N170" s="367"/>
      <c r="O170" s="367"/>
      <c r="P170" s="367"/>
      <c r="Q170" s="367"/>
      <c r="R170" s="367"/>
      <c r="S170" s="367"/>
      <c r="T170" s="367"/>
      <c r="U170" s="367"/>
      <c r="V170" s="367"/>
      <c r="W170" s="367"/>
      <c r="X170" s="367"/>
      <c r="Y170" s="367"/>
      <c r="Z170" s="367"/>
      <c r="AA170" s="367"/>
      <c r="AB170" s="367"/>
      <c r="AC170" s="367"/>
      <c r="AD170" s="367"/>
    </row>
    <row r="171" ht="23.25" customHeight="1">
      <c r="A171" s="367"/>
      <c r="B171" s="367"/>
      <c r="C171" s="367"/>
      <c r="D171" s="367"/>
      <c r="E171" s="367"/>
      <c r="F171" s="367"/>
      <c r="G171" s="367"/>
      <c r="H171" s="367"/>
      <c r="I171" s="367"/>
      <c r="J171" s="367"/>
      <c r="K171" s="367"/>
      <c r="L171" s="367"/>
      <c r="M171" s="367"/>
      <c r="N171" s="367"/>
      <c r="O171" s="367"/>
      <c r="P171" s="367"/>
      <c r="Q171" s="367"/>
      <c r="R171" s="367"/>
      <c r="S171" s="367"/>
      <c r="T171" s="367"/>
      <c r="U171" s="367"/>
      <c r="V171" s="367"/>
      <c r="W171" s="367"/>
      <c r="X171" s="367"/>
      <c r="Y171" s="367"/>
      <c r="Z171" s="367"/>
      <c r="AA171" s="367"/>
      <c r="AB171" s="367"/>
      <c r="AC171" s="367"/>
      <c r="AD171" s="367"/>
    </row>
    <row r="172" ht="23.25" customHeight="1">
      <c r="A172" s="367"/>
      <c r="B172" s="367"/>
      <c r="C172" s="367"/>
      <c r="D172" s="367"/>
      <c r="E172" s="367"/>
      <c r="F172" s="367"/>
      <c r="G172" s="367"/>
      <c r="H172" s="367"/>
      <c r="I172" s="367"/>
      <c r="J172" s="367"/>
      <c r="K172" s="367"/>
      <c r="L172" s="367"/>
      <c r="M172" s="367"/>
      <c r="N172" s="367"/>
      <c r="O172" s="367"/>
      <c r="P172" s="367"/>
      <c r="Q172" s="367"/>
      <c r="R172" s="367"/>
      <c r="S172" s="367"/>
      <c r="T172" s="367"/>
      <c r="U172" s="367"/>
      <c r="V172" s="367"/>
      <c r="W172" s="367"/>
      <c r="X172" s="367"/>
      <c r="Y172" s="367"/>
      <c r="Z172" s="367"/>
      <c r="AA172" s="367"/>
      <c r="AB172" s="367"/>
      <c r="AC172" s="367"/>
      <c r="AD172" s="367"/>
    </row>
    <row r="173" ht="23.25" customHeight="1">
      <c r="A173" s="367"/>
      <c r="B173" s="367"/>
      <c r="C173" s="367"/>
      <c r="D173" s="367"/>
      <c r="E173" s="367"/>
      <c r="F173" s="367"/>
      <c r="G173" s="367"/>
      <c r="H173" s="367"/>
      <c r="I173" s="367"/>
      <c r="J173" s="367"/>
      <c r="K173" s="367"/>
      <c r="L173" s="367"/>
      <c r="M173" s="367"/>
      <c r="N173" s="367"/>
      <c r="O173" s="367"/>
      <c r="P173" s="367"/>
      <c r="Q173" s="367"/>
      <c r="R173" s="367"/>
      <c r="S173" s="367"/>
      <c r="T173" s="367"/>
      <c r="U173" s="367"/>
      <c r="V173" s="367"/>
      <c r="W173" s="367"/>
      <c r="X173" s="367"/>
      <c r="Y173" s="367"/>
      <c r="Z173" s="367"/>
      <c r="AA173" s="367"/>
      <c r="AB173" s="367"/>
      <c r="AC173" s="367"/>
      <c r="AD173" s="367"/>
    </row>
    <row r="174" ht="23.25" customHeight="1">
      <c r="A174" s="367"/>
      <c r="B174" s="367"/>
      <c r="C174" s="367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7"/>
      <c r="T174" s="367"/>
      <c r="U174" s="367"/>
      <c r="V174" s="367"/>
      <c r="W174" s="367"/>
      <c r="X174" s="367"/>
      <c r="Y174" s="367"/>
      <c r="Z174" s="367"/>
      <c r="AA174" s="367"/>
      <c r="AB174" s="367"/>
      <c r="AC174" s="367"/>
      <c r="AD174" s="367"/>
    </row>
    <row r="175" ht="23.25" customHeight="1">
      <c r="A175" s="367"/>
      <c r="B175" s="367"/>
      <c r="C175" s="367"/>
      <c r="D175" s="367"/>
      <c r="E175" s="367"/>
      <c r="F175" s="367"/>
      <c r="G175" s="367"/>
      <c r="H175" s="367"/>
      <c r="I175" s="367"/>
      <c r="J175" s="367"/>
      <c r="K175" s="367"/>
      <c r="L175" s="367"/>
      <c r="M175" s="367"/>
      <c r="N175" s="367"/>
      <c r="O175" s="367"/>
      <c r="P175" s="367"/>
      <c r="Q175" s="367"/>
      <c r="R175" s="367"/>
      <c r="S175" s="367"/>
      <c r="T175" s="367"/>
      <c r="U175" s="367"/>
      <c r="V175" s="367"/>
      <c r="W175" s="367"/>
      <c r="X175" s="367"/>
      <c r="Y175" s="367"/>
      <c r="Z175" s="367"/>
      <c r="AA175" s="367"/>
      <c r="AB175" s="367"/>
      <c r="AC175" s="367"/>
      <c r="AD175" s="367"/>
    </row>
    <row r="176" ht="23.25" customHeight="1">
      <c r="A176" s="367"/>
      <c r="B176" s="367"/>
      <c r="C176" s="367"/>
      <c r="D176" s="367"/>
      <c r="E176" s="367"/>
      <c r="F176" s="367"/>
      <c r="G176" s="367"/>
      <c r="H176" s="367"/>
      <c r="I176" s="367"/>
      <c r="J176" s="367"/>
      <c r="K176" s="367"/>
      <c r="L176" s="367"/>
      <c r="M176" s="367"/>
      <c r="N176" s="367"/>
      <c r="O176" s="367"/>
      <c r="P176" s="367"/>
      <c r="Q176" s="367"/>
      <c r="R176" s="367"/>
      <c r="S176" s="367"/>
      <c r="T176" s="367"/>
      <c r="U176" s="367"/>
      <c r="V176" s="367"/>
      <c r="W176" s="367"/>
      <c r="X176" s="367"/>
      <c r="Y176" s="367"/>
      <c r="Z176" s="367"/>
      <c r="AA176" s="367"/>
      <c r="AB176" s="367"/>
      <c r="AC176" s="367"/>
      <c r="AD176" s="367"/>
    </row>
    <row r="177" ht="23.25" customHeight="1">
      <c r="A177" s="367"/>
      <c r="B177" s="367"/>
      <c r="C177" s="3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7"/>
      <c r="T177" s="367"/>
      <c r="U177" s="367"/>
      <c r="V177" s="367"/>
      <c r="W177" s="367"/>
      <c r="X177" s="367"/>
      <c r="Y177" s="367"/>
      <c r="Z177" s="367"/>
      <c r="AA177" s="367"/>
      <c r="AB177" s="367"/>
      <c r="AC177" s="367"/>
      <c r="AD177" s="367"/>
    </row>
    <row r="178" ht="23.25" customHeight="1">
      <c r="A178" s="367"/>
      <c r="B178" s="367"/>
      <c r="C178" s="367"/>
      <c r="D178" s="367"/>
      <c r="E178" s="367"/>
      <c r="F178" s="367"/>
      <c r="G178" s="367"/>
      <c r="H178" s="367"/>
      <c r="I178" s="367"/>
      <c r="J178" s="367"/>
      <c r="K178" s="367"/>
      <c r="L178" s="367"/>
      <c r="M178" s="367"/>
      <c r="N178" s="367"/>
      <c r="O178" s="367"/>
      <c r="P178" s="367"/>
      <c r="Q178" s="367"/>
      <c r="R178" s="367"/>
      <c r="S178" s="367"/>
      <c r="T178" s="367"/>
      <c r="U178" s="367"/>
      <c r="V178" s="367"/>
      <c r="W178" s="367"/>
      <c r="X178" s="367"/>
      <c r="Y178" s="367"/>
      <c r="Z178" s="367"/>
      <c r="AA178" s="367"/>
      <c r="AB178" s="367"/>
      <c r="AC178" s="367"/>
      <c r="AD178" s="367"/>
    </row>
    <row r="179" ht="23.25" customHeight="1">
      <c r="A179" s="367"/>
      <c r="B179" s="367"/>
      <c r="C179" s="367"/>
      <c r="D179" s="367"/>
      <c r="E179" s="367"/>
      <c r="F179" s="367"/>
      <c r="G179" s="367"/>
      <c r="H179" s="367"/>
      <c r="I179" s="367"/>
      <c r="J179" s="367"/>
      <c r="K179" s="367"/>
      <c r="L179" s="367"/>
      <c r="M179" s="367"/>
      <c r="N179" s="367"/>
      <c r="O179" s="367"/>
      <c r="P179" s="367"/>
      <c r="Q179" s="367"/>
      <c r="R179" s="367"/>
      <c r="S179" s="367"/>
      <c r="T179" s="367"/>
      <c r="U179" s="367"/>
      <c r="V179" s="367"/>
      <c r="W179" s="367"/>
      <c r="X179" s="367"/>
      <c r="Y179" s="367"/>
      <c r="Z179" s="367"/>
      <c r="AA179" s="367"/>
      <c r="AB179" s="367"/>
      <c r="AC179" s="367"/>
      <c r="AD179" s="367"/>
    </row>
    <row r="180" ht="23.25" customHeight="1">
      <c r="A180" s="367"/>
      <c r="B180" s="367"/>
      <c r="C180" s="367"/>
      <c r="D180" s="367"/>
      <c r="E180" s="367"/>
      <c r="F180" s="367"/>
      <c r="G180" s="367"/>
      <c r="H180" s="367"/>
      <c r="I180" s="367"/>
      <c r="J180" s="367"/>
      <c r="K180" s="367"/>
      <c r="L180" s="367"/>
      <c r="M180" s="367"/>
      <c r="N180" s="367"/>
      <c r="O180" s="367"/>
      <c r="P180" s="367"/>
      <c r="Q180" s="367"/>
      <c r="R180" s="367"/>
      <c r="S180" s="367"/>
      <c r="T180" s="367"/>
      <c r="U180" s="367"/>
      <c r="V180" s="367"/>
      <c r="W180" s="367"/>
      <c r="X180" s="367"/>
      <c r="Y180" s="367"/>
      <c r="Z180" s="367"/>
      <c r="AA180" s="367"/>
      <c r="AB180" s="367"/>
      <c r="AC180" s="367"/>
      <c r="AD180" s="367"/>
    </row>
    <row r="181" ht="23.25" customHeight="1">
      <c r="A181" s="367"/>
      <c r="B181" s="367"/>
      <c r="C181" s="367"/>
      <c r="D181" s="367"/>
      <c r="E181" s="367"/>
      <c r="F181" s="367"/>
      <c r="G181" s="367"/>
      <c r="H181" s="367"/>
      <c r="I181" s="367"/>
      <c r="J181" s="367"/>
      <c r="K181" s="367"/>
      <c r="L181" s="367"/>
      <c r="M181" s="367"/>
      <c r="N181" s="367"/>
      <c r="O181" s="367"/>
      <c r="P181" s="367"/>
      <c r="Q181" s="367"/>
      <c r="R181" s="367"/>
      <c r="S181" s="367"/>
      <c r="T181" s="367"/>
      <c r="U181" s="367"/>
      <c r="V181" s="367"/>
      <c r="W181" s="367"/>
      <c r="X181" s="367"/>
      <c r="Y181" s="367"/>
      <c r="Z181" s="367"/>
      <c r="AA181" s="367"/>
      <c r="AB181" s="367"/>
      <c r="AC181" s="367"/>
      <c r="AD181" s="367"/>
    </row>
    <row r="182" ht="23.25" customHeight="1">
      <c r="A182" s="367"/>
      <c r="B182" s="367"/>
      <c r="C182" s="367"/>
      <c r="D182" s="367"/>
      <c r="E182" s="367"/>
      <c r="F182" s="367"/>
      <c r="G182" s="367"/>
      <c r="H182" s="367"/>
      <c r="I182" s="367"/>
      <c r="J182" s="367"/>
      <c r="K182" s="367"/>
      <c r="L182" s="367"/>
      <c r="M182" s="367"/>
      <c r="N182" s="367"/>
      <c r="O182" s="367"/>
      <c r="P182" s="367"/>
      <c r="Q182" s="367"/>
      <c r="R182" s="367"/>
      <c r="S182" s="367"/>
      <c r="T182" s="367"/>
      <c r="U182" s="367"/>
      <c r="V182" s="367"/>
      <c r="W182" s="367"/>
      <c r="X182" s="367"/>
      <c r="Y182" s="367"/>
      <c r="Z182" s="367"/>
      <c r="AA182" s="367"/>
      <c r="AB182" s="367"/>
      <c r="AC182" s="367"/>
      <c r="AD182" s="367"/>
    </row>
    <row r="183" ht="23.25" customHeight="1">
      <c r="A183" s="367"/>
      <c r="B183" s="367"/>
      <c r="C183" s="367"/>
      <c r="D183" s="367"/>
      <c r="E183" s="367"/>
      <c r="F183" s="367"/>
      <c r="G183" s="367"/>
      <c r="H183" s="367"/>
      <c r="I183" s="367"/>
      <c r="J183" s="367"/>
      <c r="K183" s="367"/>
      <c r="L183" s="367"/>
      <c r="M183" s="367"/>
      <c r="N183" s="367"/>
      <c r="O183" s="367"/>
      <c r="P183" s="367"/>
      <c r="Q183" s="367"/>
      <c r="R183" s="367"/>
      <c r="S183" s="367"/>
      <c r="T183" s="367"/>
      <c r="U183" s="367"/>
      <c r="V183" s="367"/>
      <c r="W183" s="367"/>
      <c r="X183" s="367"/>
      <c r="Y183" s="367"/>
      <c r="Z183" s="367"/>
      <c r="AA183" s="367"/>
      <c r="AB183" s="367"/>
      <c r="AC183" s="367"/>
      <c r="AD183" s="367"/>
    </row>
    <row r="184" ht="23.25" customHeight="1">
      <c r="A184" s="367"/>
      <c r="B184" s="367"/>
      <c r="C184" s="367"/>
      <c r="D184" s="367"/>
      <c r="E184" s="367"/>
      <c r="F184" s="367"/>
      <c r="G184" s="367"/>
      <c r="H184" s="367"/>
      <c r="I184" s="367"/>
      <c r="J184" s="367"/>
      <c r="K184" s="367"/>
      <c r="L184" s="367"/>
      <c r="M184" s="367"/>
      <c r="N184" s="367"/>
      <c r="O184" s="367"/>
      <c r="P184" s="367"/>
      <c r="Q184" s="367"/>
      <c r="R184" s="367"/>
      <c r="S184" s="367"/>
      <c r="T184" s="367"/>
      <c r="U184" s="367"/>
      <c r="V184" s="367"/>
      <c r="W184" s="367"/>
      <c r="X184" s="367"/>
      <c r="Y184" s="367"/>
      <c r="Z184" s="367"/>
      <c r="AA184" s="367"/>
      <c r="AB184" s="367"/>
      <c r="AC184" s="367"/>
      <c r="AD184" s="367"/>
    </row>
    <row r="185" ht="23.25" customHeight="1">
      <c r="A185" s="367"/>
      <c r="B185" s="367"/>
      <c r="C185" s="367"/>
      <c r="D185" s="367"/>
      <c r="E185" s="367"/>
      <c r="F185" s="367"/>
      <c r="G185" s="367"/>
      <c r="H185" s="367"/>
      <c r="I185" s="367"/>
      <c r="J185" s="367"/>
      <c r="K185" s="367"/>
      <c r="L185" s="367"/>
      <c r="M185" s="367"/>
      <c r="N185" s="367"/>
      <c r="O185" s="367"/>
      <c r="P185" s="367"/>
      <c r="Q185" s="367"/>
      <c r="R185" s="367"/>
      <c r="S185" s="367"/>
      <c r="T185" s="367"/>
      <c r="U185" s="367"/>
      <c r="V185" s="367"/>
      <c r="W185" s="367"/>
      <c r="X185" s="367"/>
      <c r="Y185" s="367"/>
      <c r="Z185" s="367"/>
      <c r="AA185" s="367"/>
      <c r="AB185" s="367"/>
      <c r="AC185" s="367"/>
      <c r="AD185" s="367"/>
    </row>
    <row r="186" ht="23.25" customHeight="1">
      <c r="A186" s="367"/>
      <c r="B186" s="367"/>
      <c r="C186" s="367"/>
      <c r="D186" s="367"/>
      <c r="E186" s="367"/>
      <c r="F186" s="367"/>
      <c r="G186" s="367"/>
      <c r="H186" s="367"/>
      <c r="I186" s="367"/>
      <c r="J186" s="367"/>
      <c r="K186" s="367"/>
      <c r="L186" s="367"/>
      <c r="M186" s="367"/>
      <c r="N186" s="367"/>
      <c r="O186" s="367"/>
      <c r="P186" s="367"/>
      <c r="Q186" s="367"/>
      <c r="R186" s="367"/>
      <c r="S186" s="367"/>
      <c r="T186" s="367"/>
      <c r="U186" s="367"/>
      <c r="V186" s="367"/>
      <c r="W186" s="367"/>
      <c r="X186" s="367"/>
      <c r="Y186" s="367"/>
      <c r="Z186" s="367"/>
      <c r="AA186" s="367"/>
      <c r="AB186" s="367"/>
      <c r="AC186" s="367"/>
      <c r="AD186" s="367"/>
    </row>
    <row r="187" ht="23.25" customHeight="1">
      <c r="A187" s="367"/>
      <c r="B187" s="367"/>
      <c r="C187" s="367"/>
      <c r="D187" s="367"/>
      <c r="E187" s="367"/>
      <c r="F187" s="367"/>
      <c r="G187" s="367"/>
      <c r="H187" s="367"/>
      <c r="I187" s="367"/>
      <c r="J187" s="367"/>
      <c r="K187" s="367"/>
      <c r="L187" s="367"/>
      <c r="M187" s="367"/>
      <c r="N187" s="367"/>
      <c r="O187" s="367"/>
      <c r="P187" s="367"/>
      <c r="Q187" s="367"/>
      <c r="R187" s="367"/>
      <c r="S187" s="367"/>
      <c r="T187" s="367"/>
      <c r="U187" s="367"/>
      <c r="V187" s="367"/>
      <c r="W187" s="367"/>
      <c r="X187" s="367"/>
      <c r="Y187" s="367"/>
      <c r="Z187" s="367"/>
      <c r="AA187" s="367"/>
      <c r="AB187" s="367"/>
      <c r="AC187" s="367"/>
      <c r="AD187" s="367"/>
    </row>
    <row r="188" ht="23.25" customHeight="1">
      <c r="A188" s="367"/>
      <c r="B188" s="367"/>
      <c r="C188" s="367"/>
      <c r="D188" s="367"/>
      <c r="E188" s="367"/>
      <c r="F188" s="367"/>
      <c r="G188" s="367"/>
      <c r="H188" s="367"/>
      <c r="I188" s="367"/>
      <c r="J188" s="367"/>
      <c r="K188" s="367"/>
      <c r="L188" s="367"/>
      <c r="M188" s="367"/>
      <c r="N188" s="367"/>
      <c r="O188" s="367"/>
      <c r="P188" s="367"/>
      <c r="Q188" s="367"/>
      <c r="R188" s="367"/>
      <c r="S188" s="367"/>
      <c r="T188" s="367"/>
      <c r="U188" s="367"/>
      <c r="V188" s="367"/>
      <c r="W188" s="367"/>
      <c r="X188" s="367"/>
      <c r="Y188" s="367"/>
      <c r="Z188" s="367"/>
      <c r="AA188" s="367"/>
      <c r="AB188" s="367"/>
      <c r="AC188" s="367"/>
      <c r="AD188" s="367"/>
    </row>
    <row r="189" ht="23.25" customHeight="1">
      <c r="A189" s="367"/>
      <c r="B189" s="367"/>
      <c r="C189" s="367"/>
      <c r="D189" s="367"/>
      <c r="E189" s="367"/>
      <c r="F189" s="367"/>
      <c r="G189" s="367"/>
      <c r="H189" s="367"/>
      <c r="I189" s="367"/>
      <c r="J189" s="367"/>
      <c r="K189" s="367"/>
      <c r="L189" s="367"/>
      <c r="M189" s="367"/>
      <c r="N189" s="367"/>
      <c r="O189" s="367"/>
      <c r="P189" s="367"/>
      <c r="Q189" s="367"/>
      <c r="R189" s="367"/>
      <c r="S189" s="367"/>
      <c r="T189" s="367"/>
      <c r="U189" s="367"/>
      <c r="V189" s="367"/>
      <c r="W189" s="367"/>
      <c r="X189" s="367"/>
      <c r="Y189" s="367"/>
      <c r="Z189" s="367"/>
      <c r="AA189" s="367"/>
      <c r="AB189" s="367"/>
      <c r="AC189" s="367"/>
      <c r="AD189" s="367"/>
    </row>
    <row r="190" ht="23.25" customHeight="1">
      <c r="A190" s="367"/>
      <c r="B190" s="367"/>
      <c r="C190" s="367"/>
      <c r="D190" s="367"/>
      <c r="E190" s="367"/>
      <c r="F190" s="367"/>
      <c r="G190" s="367"/>
      <c r="H190" s="367"/>
      <c r="I190" s="367"/>
      <c r="J190" s="367"/>
      <c r="K190" s="367"/>
      <c r="L190" s="367"/>
      <c r="M190" s="367"/>
      <c r="N190" s="367"/>
      <c r="O190" s="367"/>
      <c r="P190" s="367"/>
      <c r="Q190" s="367"/>
      <c r="R190" s="367"/>
      <c r="S190" s="367"/>
      <c r="T190" s="367"/>
      <c r="U190" s="367"/>
      <c r="V190" s="367"/>
      <c r="W190" s="367"/>
      <c r="X190" s="367"/>
      <c r="Y190" s="367"/>
      <c r="Z190" s="367"/>
      <c r="AA190" s="367"/>
      <c r="AB190" s="367"/>
      <c r="AC190" s="367"/>
      <c r="AD190" s="367"/>
    </row>
    <row r="191" ht="23.25" customHeight="1">
      <c r="A191" s="367"/>
      <c r="B191" s="367"/>
      <c r="C191" s="367"/>
      <c r="D191" s="367"/>
      <c r="E191" s="367"/>
      <c r="F191" s="367"/>
      <c r="G191" s="367"/>
      <c r="H191" s="367"/>
      <c r="I191" s="367"/>
      <c r="J191" s="367"/>
      <c r="K191" s="367"/>
      <c r="L191" s="367"/>
      <c r="M191" s="367"/>
      <c r="N191" s="367"/>
      <c r="O191" s="367"/>
      <c r="P191" s="367"/>
      <c r="Q191" s="367"/>
      <c r="R191" s="367"/>
      <c r="S191" s="367"/>
      <c r="T191" s="367"/>
      <c r="U191" s="367"/>
      <c r="V191" s="367"/>
      <c r="W191" s="367"/>
      <c r="X191" s="367"/>
      <c r="Y191" s="367"/>
      <c r="Z191" s="367"/>
      <c r="AA191" s="367"/>
      <c r="AB191" s="367"/>
      <c r="AC191" s="367"/>
      <c r="AD191" s="367"/>
    </row>
    <row r="192" ht="23.25" customHeight="1">
      <c r="A192" s="367"/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367"/>
      <c r="Q192" s="367"/>
      <c r="R192" s="367"/>
      <c r="S192" s="367"/>
      <c r="T192" s="367"/>
      <c r="U192" s="367"/>
      <c r="V192" s="367"/>
      <c r="W192" s="367"/>
      <c r="X192" s="367"/>
      <c r="Y192" s="367"/>
      <c r="Z192" s="367"/>
      <c r="AA192" s="367"/>
      <c r="AB192" s="367"/>
      <c r="AC192" s="367"/>
      <c r="AD192" s="367"/>
    </row>
    <row r="193" ht="23.25" customHeight="1">
      <c r="A193" s="367"/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367"/>
      <c r="Q193" s="367"/>
      <c r="R193" s="367"/>
      <c r="S193" s="367"/>
      <c r="T193" s="367"/>
      <c r="U193" s="367"/>
      <c r="V193" s="367"/>
      <c r="W193" s="367"/>
      <c r="X193" s="367"/>
      <c r="Y193" s="367"/>
      <c r="Z193" s="367"/>
      <c r="AA193" s="367"/>
      <c r="AB193" s="367"/>
      <c r="AC193" s="367"/>
      <c r="AD193" s="367"/>
    </row>
    <row r="194" ht="23.25" customHeight="1">
      <c r="A194" s="367"/>
      <c r="B194" s="367"/>
      <c r="C194" s="367"/>
      <c r="D194" s="367"/>
      <c r="E194" s="367"/>
      <c r="F194" s="367"/>
      <c r="G194" s="367"/>
      <c r="H194" s="367"/>
      <c r="I194" s="367"/>
      <c r="J194" s="367"/>
      <c r="K194" s="367"/>
      <c r="L194" s="367"/>
      <c r="M194" s="367"/>
      <c r="N194" s="367"/>
      <c r="O194" s="367"/>
      <c r="P194" s="367"/>
      <c r="Q194" s="367"/>
      <c r="R194" s="367"/>
      <c r="S194" s="367"/>
      <c r="T194" s="367"/>
      <c r="U194" s="367"/>
      <c r="V194" s="367"/>
      <c r="W194" s="367"/>
      <c r="X194" s="367"/>
      <c r="Y194" s="367"/>
      <c r="Z194" s="367"/>
      <c r="AA194" s="367"/>
      <c r="AB194" s="367"/>
      <c r="AC194" s="367"/>
      <c r="AD194" s="367"/>
    </row>
    <row r="195" ht="23.25" customHeight="1">
      <c r="A195" s="367"/>
      <c r="B195" s="367"/>
      <c r="C195" s="367"/>
      <c r="D195" s="367"/>
      <c r="E195" s="367"/>
      <c r="F195" s="367"/>
      <c r="G195" s="367"/>
      <c r="H195" s="367"/>
      <c r="I195" s="367"/>
      <c r="J195" s="367"/>
      <c r="K195" s="367"/>
      <c r="L195" s="367"/>
      <c r="M195" s="367"/>
      <c r="N195" s="367"/>
      <c r="O195" s="367"/>
      <c r="P195" s="367"/>
      <c r="Q195" s="367"/>
      <c r="R195" s="367"/>
      <c r="S195" s="367"/>
      <c r="T195" s="367"/>
      <c r="U195" s="367"/>
      <c r="V195" s="367"/>
      <c r="W195" s="367"/>
      <c r="X195" s="367"/>
      <c r="Y195" s="367"/>
      <c r="Z195" s="367"/>
      <c r="AA195" s="367"/>
      <c r="AB195" s="367"/>
      <c r="AC195" s="367"/>
      <c r="AD195" s="367"/>
    </row>
    <row r="196" ht="23.25" customHeight="1">
      <c r="A196" s="367"/>
      <c r="B196" s="367"/>
      <c r="C196" s="367"/>
      <c r="D196" s="367"/>
      <c r="E196" s="367"/>
      <c r="F196" s="367"/>
      <c r="G196" s="367"/>
      <c r="H196" s="367"/>
      <c r="I196" s="367"/>
      <c r="J196" s="367"/>
      <c r="K196" s="367"/>
      <c r="L196" s="367"/>
      <c r="M196" s="367"/>
      <c r="N196" s="367"/>
      <c r="O196" s="367"/>
      <c r="P196" s="367"/>
      <c r="Q196" s="367"/>
      <c r="R196" s="367"/>
      <c r="S196" s="367"/>
      <c r="T196" s="367"/>
      <c r="U196" s="367"/>
      <c r="V196" s="367"/>
      <c r="W196" s="367"/>
      <c r="X196" s="367"/>
      <c r="Y196" s="367"/>
      <c r="Z196" s="367"/>
      <c r="AA196" s="367"/>
      <c r="AB196" s="367"/>
      <c r="AC196" s="367"/>
      <c r="AD196" s="367"/>
    </row>
    <row r="197" ht="23.25" customHeight="1">
      <c r="A197" s="367"/>
      <c r="B197" s="367"/>
      <c r="C197" s="367"/>
      <c r="D197" s="367"/>
      <c r="E197" s="367"/>
      <c r="F197" s="367"/>
      <c r="G197" s="367"/>
      <c r="H197" s="367"/>
      <c r="I197" s="367"/>
      <c r="J197" s="367"/>
      <c r="K197" s="367"/>
      <c r="L197" s="367"/>
      <c r="M197" s="367"/>
      <c r="N197" s="367"/>
      <c r="O197" s="367"/>
      <c r="P197" s="367"/>
      <c r="Q197" s="367"/>
      <c r="R197" s="367"/>
      <c r="S197" s="367"/>
      <c r="T197" s="367"/>
      <c r="U197" s="367"/>
      <c r="V197" s="367"/>
      <c r="W197" s="367"/>
      <c r="X197" s="367"/>
      <c r="Y197" s="367"/>
      <c r="Z197" s="367"/>
      <c r="AA197" s="367"/>
      <c r="AB197" s="367"/>
      <c r="AC197" s="367"/>
      <c r="AD197" s="367"/>
    </row>
    <row r="198" ht="23.25" customHeight="1">
      <c r="A198" s="367"/>
      <c r="B198" s="367"/>
      <c r="C198" s="367"/>
      <c r="D198" s="367"/>
      <c r="E198" s="367"/>
      <c r="F198" s="367"/>
      <c r="G198" s="367"/>
      <c r="H198" s="367"/>
      <c r="I198" s="367"/>
      <c r="J198" s="367"/>
      <c r="K198" s="367"/>
      <c r="L198" s="367"/>
      <c r="M198" s="367"/>
      <c r="N198" s="367"/>
      <c r="O198" s="367"/>
      <c r="P198" s="367"/>
      <c r="Q198" s="367"/>
      <c r="R198" s="367"/>
      <c r="S198" s="367"/>
      <c r="T198" s="367"/>
      <c r="U198" s="367"/>
      <c r="V198" s="367"/>
      <c r="W198" s="367"/>
      <c r="X198" s="367"/>
      <c r="Y198" s="367"/>
      <c r="Z198" s="367"/>
      <c r="AA198" s="367"/>
      <c r="AB198" s="367"/>
      <c r="AC198" s="367"/>
      <c r="AD198" s="367"/>
    </row>
    <row r="199" ht="23.25" customHeight="1">
      <c r="A199" s="367"/>
      <c r="B199" s="367"/>
      <c r="C199" s="367"/>
      <c r="D199" s="367"/>
      <c r="E199" s="367"/>
      <c r="F199" s="367"/>
      <c r="G199" s="367"/>
      <c r="H199" s="367"/>
      <c r="I199" s="367"/>
      <c r="J199" s="367"/>
      <c r="K199" s="367"/>
      <c r="L199" s="367"/>
      <c r="M199" s="367"/>
      <c r="N199" s="367"/>
      <c r="O199" s="367"/>
      <c r="P199" s="367"/>
      <c r="Q199" s="367"/>
      <c r="R199" s="367"/>
      <c r="S199" s="367"/>
      <c r="T199" s="367"/>
      <c r="U199" s="367"/>
      <c r="V199" s="367"/>
      <c r="W199" s="367"/>
      <c r="X199" s="367"/>
      <c r="Y199" s="367"/>
      <c r="Z199" s="367"/>
      <c r="AA199" s="367"/>
      <c r="AB199" s="367"/>
      <c r="AC199" s="367"/>
      <c r="AD199" s="367"/>
    </row>
    <row r="200" ht="23.25" customHeight="1">
      <c r="A200" s="367"/>
      <c r="B200" s="367"/>
      <c r="C200" s="367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7"/>
      <c r="T200" s="367"/>
      <c r="U200" s="367"/>
      <c r="V200" s="367"/>
      <c r="W200" s="367"/>
      <c r="X200" s="367"/>
      <c r="Y200" s="367"/>
      <c r="Z200" s="367"/>
      <c r="AA200" s="367"/>
      <c r="AB200" s="367"/>
      <c r="AC200" s="367"/>
      <c r="AD200" s="367"/>
    </row>
    <row r="201" ht="23.25" customHeight="1">
      <c r="A201" s="367"/>
      <c r="B201" s="367"/>
      <c r="C201" s="367"/>
      <c r="D201" s="367"/>
      <c r="E201" s="367"/>
      <c r="F201" s="367"/>
      <c r="G201" s="367"/>
      <c r="H201" s="367"/>
      <c r="I201" s="367"/>
      <c r="J201" s="367"/>
      <c r="K201" s="367"/>
      <c r="L201" s="367"/>
      <c r="M201" s="367"/>
      <c r="N201" s="367"/>
      <c r="O201" s="367"/>
      <c r="P201" s="367"/>
      <c r="Q201" s="367"/>
      <c r="R201" s="367"/>
      <c r="S201" s="367"/>
      <c r="T201" s="367"/>
      <c r="U201" s="367"/>
      <c r="V201" s="367"/>
      <c r="W201" s="367"/>
      <c r="X201" s="367"/>
      <c r="Y201" s="367"/>
      <c r="Z201" s="367"/>
      <c r="AA201" s="367"/>
      <c r="AB201" s="367"/>
      <c r="AC201" s="367"/>
      <c r="AD201" s="367"/>
    </row>
    <row r="202" ht="23.25" customHeight="1">
      <c r="A202" s="367"/>
      <c r="B202" s="367"/>
      <c r="C202" s="367"/>
      <c r="D202" s="367"/>
      <c r="E202" s="367"/>
      <c r="F202" s="367"/>
      <c r="G202" s="367"/>
      <c r="H202" s="367"/>
      <c r="I202" s="367"/>
      <c r="J202" s="367"/>
      <c r="K202" s="367"/>
      <c r="L202" s="367"/>
      <c r="M202" s="367"/>
      <c r="N202" s="367"/>
      <c r="O202" s="367"/>
      <c r="P202" s="367"/>
      <c r="Q202" s="367"/>
      <c r="R202" s="367"/>
      <c r="S202" s="367"/>
      <c r="T202" s="367"/>
      <c r="U202" s="367"/>
      <c r="V202" s="367"/>
      <c r="W202" s="367"/>
      <c r="X202" s="367"/>
      <c r="Y202" s="367"/>
      <c r="Z202" s="367"/>
      <c r="AA202" s="367"/>
      <c r="AB202" s="367"/>
      <c r="AC202" s="367"/>
      <c r="AD202" s="367"/>
    </row>
    <row r="203" ht="23.25" customHeight="1">
      <c r="A203" s="367"/>
      <c r="B203" s="367"/>
      <c r="C203" s="367"/>
      <c r="D203" s="367"/>
      <c r="E203" s="367"/>
      <c r="F203" s="367"/>
      <c r="G203" s="367"/>
      <c r="H203" s="367"/>
      <c r="I203" s="367"/>
      <c r="J203" s="367"/>
      <c r="K203" s="367"/>
      <c r="L203" s="367"/>
      <c r="M203" s="367"/>
      <c r="N203" s="367"/>
      <c r="O203" s="367"/>
      <c r="P203" s="367"/>
      <c r="Q203" s="367"/>
      <c r="R203" s="367"/>
      <c r="S203" s="367"/>
      <c r="T203" s="367"/>
      <c r="U203" s="367"/>
      <c r="V203" s="367"/>
      <c r="W203" s="367"/>
      <c r="X203" s="367"/>
      <c r="Y203" s="367"/>
      <c r="Z203" s="367"/>
      <c r="AA203" s="367"/>
      <c r="AB203" s="367"/>
      <c r="AC203" s="367"/>
      <c r="AD203" s="367"/>
    </row>
    <row r="204" ht="23.25" customHeight="1">
      <c r="A204" s="367"/>
      <c r="B204" s="367"/>
      <c r="C204" s="367"/>
      <c r="D204" s="367"/>
      <c r="E204" s="367"/>
      <c r="F204" s="367"/>
      <c r="G204" s="367"/>
      <c r="H204" s="367"/>
      <c r="I204" s="367"/>
      <c r="J204" s="367"/>
      <c r="K204" s="367"/>
      <c r="L204" s="367"/>
      <c r="M204" s="367"/>
      <c r="N204" s="367"/>
      <c r="O204" s="367"/>
      <c r="P204" s="367"/>
      <c r="Q204" s="367"/>
      <c r="R204" s="367"/>
      <c r="S204" s="367"/>
      <c r="T204" s="367"/>
      <c r="U204" s="367"/>
      <c r="V204" s="367"/>
      <c r="W204" s="367"/>
      <c r="X204" s="367"/>
      <c r="Y204" s="367"/>
      <c r="Z204" s="367"/>
      <c r="AA204" s="367"/>
      <c r="AB204" s="367"/>
      <c r="AC204" s="367"/>
      <c r="AD204" s="367"/>
    </row>
    <row r="205" ht="23.25" customHeight="1">
      <c r="A205" s="367"/>
      <c r="B205" s="367"/>
      <c r="C205" s="367"/>
      <c r="D205" s="367"/>
      <c r="E205" s="367"/>
      <c r="F205" s="367"/>
      <c r="G205" s="367"/>
      <c r="H205" s="367"/>
      <c r="I205" s="367"/>
      <c r="J205" s="367"/>
      <c r="K205" s="367"/>
      <c r="L205" s="367"/>
      <c r="M205" s="367"/>
      <c r="N205" s="367"/>
      <c r="O205" s="367"/>
      <c r="P205" s="367"/>
      <c r="Q205" s="367"/>
      <c r="R205" s="367"/>
      <c r="S205" s="367"/>
      <c r="T205" s="367"/>
      <c r="U205" s="367"/>
      <c r="V205" s="367"/>
      <c r="W205" s="367"/>
      <c r="X205" s="367"/>
      <c r="Y205" s="367"/>
      <c r="Z205" s="367"/>
      <c r="AA205" s="367"/>
      <c r="AB205" s="367"/>
      <c r="AC205" s="367"/>
      <c r="AD205" s="367"/>
    </row>
    <row r="206" ht="23.25" customHeight="1">
      <c r="A206" s="367"/>
      <c r="B206" s="367"/>
      <c r="C206" s="367"/>
      <c r="D206" s="367"/>
      <c r="E206" s="367"/>
      <c r="F206" s="367"/>
      <c r="G206" s="367"/>
      <c r="H206" s="367"/>
      <c r="I206" s="367"/>
      <c r="J206" s="367"/>
      <c r="K206" s="367"/>
      <c r="L206" s="367"/>
      <c r="M206" s="367"/>
      <c r="N206" s="367"/>
      <c r="O206" s="367"/>
      <c r="P206" s="367"/>
      <c r="Q206" s="367"/>
      <c r="R206" s="367"/>
      <c r="S206" s="367"/>
      <c r="T206" s="367"/>
      <c r="U206" s="367"/>
      <c r="V206" s="367"/>
      <c r="W206" s="367"/>
      <c r="X206" s="367"/>
      <c r="Y206" s="367"/>
      <c r="Z206" s="367"/>
      <c r="AA206" s="367"/>
      <c r="AB206" s="367"/>
      <c r="AC206" s="367"/>
      <c r="AD206" s="367"/>
    </row>
    <row r="207" ht="23.25" customHeight="1">
      <c r="A207" s="367"/>
      <c r="B207" s="367"/>
      <c r="C207" s="367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7"/>
      <c r="T207" s="367"/>
      <c r="U207" s="367"/>
      <c r="V207" s="367"/>
      <c r="W207" s="367"/>
      <c r="X207" s="367"/>
      <c r="Y207" s="367"/>
      <c r="Z207" s="367"/>
      <c r="AA207" s="367"/>
      <c r="AB207" s="367"/>
      <c r="AC207" s="367"/>
      <c r="AD207" s="367"/>
    </row>
    <row r="208" ht="23.25" customHeight="1">
      <c r="A208" s="367"/>
      <c r="B208" s="367"/>
      <c r="C208" s="367"/>
      <c r="D208" s="367"/>
      <c r="E208" s="367"/>
      <c r="F208" s="367"/>
      <c r="G208" s="367"/>
      <c r="H208" s="367"/>
      <c r="I208" s="367"/>
      <c r="J208" s="367"/>
      <c r="K208" s="367"/>
      <c r="L208" s="367"/>
      <c r="M208" s="367"/>
      <c r="N208" s="367"/>
      <c r="O208" s="367"/>
      <c r="P208" s="367"/>
      <c r="Q208" s="367"/>
      <c r="R208" s="367"/>
      <c r="S208" s="367"/>
      <c r="T208" s="367"/>
      <c r="U208" s="367"/>
      <c r="V208" s="367"/>
      <c r="W208" s="367"/>
      <c r="X208" s="367"/>
      <c r="Y208" s="367"/>
      <c r="Z208" s="367"/>
      <c r="AA208" s="367"/>
      <c r="AB208" s="367"/>
      <c r="AC208" s="367"/>
      <c r="AD208" s="367"/>
    </row>
    <row r="209" ht="23.25" customHeight="1">
      <c r="A209" s="367"/>
      <c r="B209" s="367"/>
      <c r="C209" s="367"/>
      <c r="D209" s="367"/>
      <c r="E209" s="367"/>
      <c r="F209" s="367"/>
      <c r="G209" s="367"/>
      <c r="H209" s="367"/>
      <c r="I209" s="367"/>
      <c r="J209" s="367"/>
      <c r="K209" s="367"/>
      <c r="L209" s="367"/>
      <c r="M209" s="367"/>
      <c r="N209" s="367"/>
      <c r="O209" s="367"/>
      <c r="P209" s="367"/>
      <c r="Q209" s="367"/>
      <c r="R209" s="367"/>
      <c r="S209" s="367"/>
      <c r="T209" s="367"/>
      <c r="U209" s="367"/>
      <c r="V209" s="367"/>
      <c r="W209" s="367"/>
      <c r="X209" s="367"/>
      <c r="Y209" s="367"/>
      <c r="Z209" s="367"/>
      <c r="AA209" s="367"/>
      <c r="AB209" s="367"/>
      <c r="AC209" s="367"/>
      <c r="AD209" s="367"/>
    </row>
    <row r="210" ht="23.25" customHeight="1">
      <c r="A210" s="367"/>
      <c r="B210" s="367"/>
      <c r="C210" s="367"/>
      <c r="D210" s="367"/>
      <c r="E210" s="367"/>
      <c r="F210" s="367"/>
      <c r="G210" s="367"/>
      <c r="H210" s="367"/>
      <c r="I210" s="367"/>
      <c r="J210" s="367"/>
      <c r="K210" s="367"/>
      <c r="L210" s="367"/>
      <c r="M210" s="367"/>
      <c r="N210" s="367"/>
      <c r="O210" s="367"/>
      <c r="P210" s="367"/>
      <c r="Q210" s="367"/>
      <c r="R210" s="367"/>
      <c r="S210" s="367"/>
      <c r="T210" s="367"/>
      <c r="U210" s="367"/>
      <c r="V210" s="367"/>
      <c r="W210" s="367"/>
      <c r="X210" s="367"/>
      <c r="Y210" s="367"/>
      <c r="Z210" s="367"/>
      <c r="AA210" s="367"/>
      <c r="AB210" s="367"/>
      <c r="AC210" s="367"/>
      <c r="AD210" s="367"/>
    </row>
    <row r="211" ht="23.25" customHeight="1">
      <c r="A211" s="367"/>
      <c r="B211" s="367"/>
      <c r="C211" s="367"/>
      <c r="D211" s="367"/>
      <c r="E211" s="367"/>
      <c r="F211" s="367"/>
      <c r="G211" s="367"/>
      <c r="H211" s="367"/>
      <c r="I211" s="367"/>
      <c r="J211" s="367"/>
      <c r="K211" s="367"/>
      <c r="L211" s="367"/>
      <c r="M211" s="367"/>
      <c r="N211" s="367"/>
      <c r="O211" s="367"/>
      <c r="P211" s="367"/>
      <c r="Q211" s="367"/>
      <c r="R211" s="367"/>
      <c r="S211" s="367"/>
      <c r="T211" s="367"/>
      <c r="U211" s="367"/>
      <c r="V211" s="367"/>
      <c r="W211" s="367"/>
      <c r="X211" s="367"/>
      <c r="Y211" s="367"/>
      <c r="Z211" s="367"/>
      <c r="AA211" s="367"/>
      <c r="AB211" s="367"/>
      <c r="AC211" s="367"/>
      <c r="AD211" s="367"/>
    </row>
    <row r="212" ht="23.25" customHeight="1">
      <c r="A212" s="367"/>
      <c r="B212" s="367"/>
      <c r="C212" s="367"/>
      <c r="D212" s="367"/>
      <c r="E212" s="367"/>
      <c r="F212" s="367"/>
      <c r="G212" s="367"/>
      <c r="H212" s="367"/>
      <c r="I212" s="367"/>
      <c r="J212" s="367"/>
      <c r="K212" s="367"/>
      <c r="L212" s="367"/>
      <c r="M212" s="367"/>
      <c r="N212" s="367"/>
      <c r="O212" s="367"/>
      <c r="P212" s="367"/>
      <c r="Q212" s="367"/>
      <c r="R212" s="367"/>
      <c r="S212" s="367"/>
      <c r="T212" s="367"/>
      <c r="U212" s="367"/>
      <c r="V212" s="367"/>
      <c r="W212" s="367"/>
      <c r="X212" s="367"/>
      <c r="Y212" s="367"/>
      <c r="Z212" s="367"/>
      <c r="AA212" s="367"/>
      <c r="AB212" s="367"/>
      <c r="AC212" s="367"/>
      <c r="AD212" s="367"/>
    </row>
    <row r="213" ht="23.25" customHeight="1">
      <c r="A213" s="367"/>
      <c r="B213" s="367"/>
      <c r="C213" s="367"/>
      <c r="D213" s="367"/>
      <c r="E213" s="367"/>
      <c r="F213" s="367"/>
      <c r="G213" s="367"/>
      <c r="H213" s="367"/>
      <c r="I213" s="367"/>
      <c r="J213" s="367"/>
      <c r="K213" s="367"/>
      <c r="L213" s="367"/>
      <c r="M213" s="367"/>
      <c r="N213" s="367"/>
      <c r="O213" s="367"/>
      <c r="P213" s="367"/>
      <c r="Q213" s="367"/>
      <c r="R213" s="367"/>
      <c r="S213" s="367"/>
      <c r="T213" s="367"/>
      <c r="U213" s="367"/>
      <c r="V213" s="367"/>
      <c r="W213" s="367"/>
      <c r="X213" s="367"/>
      <c r="Y213" s="367"/>
      <c r="Z213" s="367"/>
      <c r="AA213" s="367"/>
      <c r="AB213" s="367"/>
      <c r="AC213" s="367"/>
      <c r="AD213" s="367"/>
    </row>
    <row r="214" ht="23.25" customHeight="1">
      <c r="A214" s="367"/>
      <c r="B214" s="367"/>
      <c r="C214" s="367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7"/>
      <c r="T214" s="367"/>
      <c r="U214" s="367"/>
      <c r="V214" s="367"/>
      <c r="W214" s="367"/>
      <c r="X214" s="367"/>
      <c r="Y214" s="367"/>
      <c r="Z214" s="367"/>
      <c r="AA214" s="367"/>
      <c r="AB214" s="367"/>
      <c r="AC214" s="367"/>
      <c r="AD214" s="367"/>
    </row>
    <row r="215" ht="23.25" customHeight="1">
      <c r="A215" s="367"/>
      <c r="B215" s="367"/>
      <c r="C215" s="367"/>
      <c r="D215" s="367"/>
      <c r="E215" s="367"/>
      <c r="F215" s="367"/>
      <c r="G215" s="367"/>
      <c r="H215" s="367"/>
      <c r="I215" s="367"/>
      <c r="J215" s="367"/>
      <c r="K215" s="367"/>
      <c r="L215" s="367"/>
      <c r="M215" s="367"/>
      <c r="N215" s="367"/>
      <c r="O215" s="367"/>
      <c r="P215" s="367"/>
      <c r="Q215" s="367"/>
      <c r="R215" s="367"/>
      <c r="S215" s="367"/>
      <c r="T215" s="367"/>
      <c r="U215" s="367"/>
      <c r="V215" s="367"/>
      <c r="W215" s="367"/>
      <c r="X215" s="367"/>
      <c r="Y215" s="367"/>
      <c r="Z215" s="367"/>
      <c r="AA215" s="367"/>
      <c r="AB215" s="367"/>
      <c r="AC215" s="367"/>
      <c r="AD215" s="367"/>
    </row>
    <row r="216" ht="23.25" customHeight="1">
      <c r="A216" s="367"/>
      <c r="B216" s="367"/>
      <c r="C216" s="367"/>
      <c r="D216" s="367"/>
      <c r="E216" s="367"/>
      <c r="F216" s="367"/>
      <c r="G216" s="367"/>
      <c r="H216" s="367"/>
      <c r="I216" s="367"/>
      <c r="J216" s="367"/>
      <c r="K216" s="367"/>
      <c r="L216" s="367"/>
      <c r="M216" s="367"/>
      <c r="N216" s="367"/>
      <c r="O216" s="367"/>
      <c r="P216" s="367"/>
      <c r="Q216" s="367"/>
      <c r="R216" s="367"/>
      <c r="S216" s="367"/>
      <c r="T216" s="367"/>
      <c r="U216" s="367"/>
      <c r="V216" s="367"/>
      <c r="W216" s="367"/>
      <c r="X216" s="367"/>
      <c r="Y216" s="367"/>
      <c r="Z216" s="367"/>
      <c r="AA216" s="367"/>
      <c r="AB216" s="367"/>
      <c r="AC216" s="367"/>
      <c r="AD216" s="367"/>
    </row>
    <row r="217" ht="23.25" customHeight="1">
      <c r="A217" s="367"/>
      <c r="B217" s="367"/>
      <c r="C217" s="367"/>
      <c r="D217" s="367"/>
      <c r="E217" s="367"/>
      <c r="F217" s="367"/>
      <c r="G217" s="367"/>
      <c r="H217" s="367"/>
      <c r="I217" s="367"/>
      <c r="J217" s="367"/>
      <c r="K217" s="367"/>
      <c r="L217" s="367"/>
      <c r="M217" s="367"/>
      <c r="N217" s="367"/>
      <c r="O217" s="367"/>
      <c r="P217" s="367"/>
      <c r="Q217" s="367"/>
      <c r="R217" s="367"/>
      <c r="S217" s="367"/>
      <c r="T217" s="367"/>
      <c r="U217" s="367"/>
      <c r="V217" s="367"/>
      <c r="W217" s="367"/>
      <c r="X217" s="367"/>
      <c r="Y217" s="367"/>
      <c r="Z217" s="367"/>
      <c r="AA217" s="367"/>
      <c r="AB217" s="367"/>
      <c r="AC217" s="367"/>
      <c r="AD217" s="367"/>
    </row>
    <row r="218" ht="23.25" customHeight="1">
      <c r="A218" s="367"/>
      <c r="B218" s="367"/>
      <c r="C218" s="367"/>
      <c r="D218" s="367"/>
      <c r="E218" s="367"/>
      <c r="F218" s="367"/>
      <c r="G218" s="367"/>
      <c r="H218" s="367"/>
      <c r="I218" s="367"/>
      <c r="J218" s="367"/>
      <c r="K218" s="367"/>
      <c r="L218" s="367"/>
      <c r="M218" s="367"/>
      <c r="N218" s="367"/>
      <c r="O218" s="367"/>
      <c r="P218" s="367"/>
      <c r="Q218" s="367"/>
      <c r="R218" s="367"/>
      <c r="S218" s="367"/>
      <c r="T218" s="367"/>
      <c r="U218" s="367"/>
      <c r="V218" s="367"/>
      <c r="W218" s="367"/>
      <c r="X218" s="367"/>
      <c r="Y218" s="367"/>
      <c r="Z218" s="367"/>
      <c r="AA218" s="367"/>
      <c r="AB218" s="367"/>
      <c r="AC218" s="367"/>
      <c r="AD218" s="367"/>
    </row>
    <row r="219" ht="23.25" customHeight="1">
      <c r="A219" s="367"/>
      <c r="B219" s="367"/>
      <c r="C219" s="367"/>
      <c r="D219" s="367"/>
      <c r="E219" s="367"/>
      <c r="F219" s="367"/>
      <c r="G219" s="367"/>
      <c r="H219" s="367"/>
      <c r="I219" s="367"/>
      <c r="J219" s="367"/>
      <c r="K219" s="367"/>
      <c r="L219" s="367"/>
      <c r="M219" s="367"/>
      <c r="N219" s="367"/>
      <c r="O219" s="367"/>
      <c r="P219" s="367"/>
      <c r="Q219" s="367"/>
      <c r="R219" s="367"/>
      <c r="S219" s="367"/>
      <c r="T219" s="367"/>
      <c r="U219" s="367"/>
      <c r="V219" s="367"/>
      <c r="W219" s="367"/>
      <c r="X219" s="367"/>
      <c r="Y219" s="367"/>
      <c r="Z219" s="367"/>
      <c r="AA219" s="367"/>
      <c r="AB219" s="367"/>
      <c r="AC219" s="367"/>
      <c r="AD219" s="367"/>
    </row>
    <row r="220" ht="23.25" customHeight="1">
      <c r="A220" s="367"/>
      <c r="B220" s="367"/>
      <c r="C220" s="367"/>
      <c r="D220" s="367"/>
      <c r="E220" s="367"/>
      <c r="F220" s="367"/>
      <c r="G220" s="367"/>
      <c r="H220" s="367"/>
      <c r="I220" s="367"/>
      <c r="J220" s="367"/>
      <c r="K220" s="367"/>
      <c r="L220" s="367"/>
      <c r="M220" s="367"/>
      <c r="N220" s="367"/>
      <c r="O220" s="367"/>
      <c r="P220" s="367"/>
      <c r="Q220" s="367"/>
      <c r="R220" s="367"/>
      <c r="S220" s="367"/>
      <c r="T220" s="367"/>
      <c r="U220" s="367"/>
      <c r="V220" s="367"/>
      <c r="W220" s="367"/>
      <c r="X220" s="367"/>
      <c r="Y220" s="367"/>
      <c r="Z220" s="367"/>
      <c r="AA220" s="367"/>
      <c r="AB220" s="367"/>
      <c r="AC220" s="367"/>
      <c r="AD220" s="367"/>
    </row>
    <row r="221" ht="23.25" customHeight="1">
      <c r="A221" s="367"/>
      <c r="B221" s="367"/>
      <c r="C221" s="367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7"/>
      <c r="T221" s="367"/>
      <c r="U221" s="367"/>
      <c r="V221" s="367"/>
      <c r="W221" s="367"/>
      <c r="X221" s="367"/>
      <c r="Y221" s="367"/>
      <c r="Z221" s="367"/>
      <c r="AA221" s="367"/>
      <c r="AB221" s="367"/>
      <c r="AC221" s="367"/>
      <c r="AD221" s="367"/>
    </row>
    <row r="222" ht="23.25" customHeight="1">
      <c r="A222" s="367"/>
      <c r="B222" s="367"/>
      <c r="C222" s="367"/>
      <c r="D222" s="367"/>
      <c r="E222" s="367"/>
      <c r="F222" s="367"/>
      <c r="G222" s="367"/>
      <c r="H222" s="367"/>
      <c r="I222" s="367"/>
      <c r="J222" s="367"/>
      <c r="K222" s="367"/>
      <c r="L222" s="367"/>
      <c r="M222" s="367"/>
      <c r="N222" s="367"/>
      <c r="O222" s="367"/>
      <c r="P222" s="367"/>
      <c r="Q222" s="367"/>
      <c r="R222" s="367"/>
      <c r="S222" s="367"/>
      <c r="T222" s="367"/>
      <c r="U222" s="367"/>
      <c r="V222" s="367"/>
      <c r="W222" s="367"/>
      <c r="X222" s="367"/>
      <c r="Y222" s="367"/>
      <c r="Z222" s="367"/>
      <c r="AA222" s="367"/>
      <c r="AB222" s="367"/>
      <c r="AC222" s="367"/>
      <c r="AD222" s="367"/>
    </row>
    <row r="223" ht="23.25" customHeight="1">
      <c r="A223" s="367"/>
      <c r="B223" s="367"/>
      <c r="C223" s="367"/>
      <c r="D223" s="367"/>
      <c r="E223" s="367"/>
      <c r="F223" s="367"/>
      <c r="G223" s="367"/>
      <c r="H223" s="367"/>
      <c r="I223" s="367"/>
      <c r="J223" s="367"/>
      <c r="K223" s="367"/>
      <c r="L223" s="367"/>
      <c r="M223" s="367"/>
      <c r="N223" s="367"/>
      <c r="O223" s="367"/>
      <c r="P223" s="367"/>
      <c r="Q223" s="367"/>
      <c r="R223" s="367"/>
      <c r="S223" s="367"/>
      <c r="T223" s="367"/>
      <c r="U223" s="367"/>
      <c r="V223" s="367"/>
      <c r="W223" s="367"/>
      <c r="X223" s="367"/>
      <c r="Y223" s="367"/>
      <c r="Z223" s="367"/>
      <c r="AA223" s="367"/>
      <c r="AB223" s="367"/>
      <c r="AC223" s="367"/>
      <c r="AD223" s="367"/>
    </row>
    <row r="224" ht="23.25" customHeight="1">
      <c r="A224" s="367"/>
      <c r="B224" s="367"/>
      <c r="C224" s="367"/>
      <c r="D224" s="367"/>
      <c r="E224" s="367"/>
      <c r="F224" s="367"/>
      <c r="G224" s="367"/>
      <c r="H224" s="367"/>
      <c r="I224" s="367"/>
      <c r="J224" s="367"/>
      <c r="K224" s="367"/>
      <c r="L224" s="367"/>
      <c r="M224" s="367"/>
      <c r="N224" s="367"/>
      <c r="O224" s="367"/>
      <c r="P224" s="367"/>
      <c r="Q224" s="367"/>
      <c r="R224" s="367"/>
      <c r="S224" s="367"/>
      <c r="T224" s="367"/>
      <c r="U224" s="367"/>
      <c r="V224" s="367"/>
      <c r="W224" s="367"/>
      <c r="X224" s="367"/>
      <c r="Y224" s="367"/>
      <c r="Z224" s="367"/>
      <c r="AA224" s="367"/>
      <c r="AB224" s="367"/>
      <c r="AC224" s="367"/>
      <c r="AD224" s="367"/>
    </row>
    <row r="225" ht="23.25" customHeight="1">
      <c r="A225" s="367"/>
      <c r="B225" s="367"/>
      <c r="C225" s="367"/>
      <c r="D225" s="367"/>
      <c r="E225" s="367"/>
      <c r="F225" s="367"/>
      <c r="G225" s="367"/>
      <c r="H225" s="367"/>
      <c r="I225" s="367"/>
      <c r="J225" s="367"/>
      <c r="K225" s="367"/>
      <c r="L225" s="367"/>
      <c r="M225" s="367"/>
      <c r="N225" s="367"/>
      <c r="O225" s="367"/>
      <c r="P225" s="367"/>
      <c r="Q225" s="367"/>
      <c r="R225" s="367"/>
      <c r="S225" s="367"/>
      <c r="T225" s="367"/>
      <c r="U225" s="367"/>
      <c r="V225" s="367"/>
      <c r="W225" s="367"/>
      <c r="X225" s="367"/>
      <c r="Y225" s="367"/>
      <c r="Z225" s="367"/>
      <c r="AA225" s="367"/>
      <c r="AB225" s="367"/>
      <c r="AC225" s="367"/>
      <c r="AD225" s="367"/>
    </row>
    <row r="226" ht="23.25" customHeight="1">
      <c r="A226" s="367"/>
      <c r="B226" s="367"/>
      <c r="C226" s="367"/>
      <c r="D226" s="367"/>
      <c r="E226" s="367"/>
      <c r="F226" s="367"/>
      <c r="G226" s="367"/>
      <c r="H226" s="367"/>
      <c r="I226" s="367"/>
      <c r="J226" s="367"/>
      <c r="K226" s="367"/>
      <c r="L226" s="367"/>
      <c r="M226" s="367"/>
      <c r="N226" s="367"/>
      <c r="O226" s="367"/>
      <c r="P226" s="367"/>
      <c r="Q226" s="367"/>
      <c r="R226" s="367"/>
      <c r="S226" s="367"/>
      <c r="T226" s="367"/>
      <c r="U226" s="367"/>
      <c r="V226" s="367"/>
      <c r="W226" s="367"/>
      <c r="X226" s="367"/>
      <c r="Y226" s="367"/>
      <c r="Z226" s="367"/>
      <c r="AA226" s="367"/>
      <c r="AB226" s="367"/>
      <c r="AC226" s="367"/>
      <c r="AD226" s="367"/>
    </row>
    <row r="227" ht="23.25" customHeight="1">
      <c r="A227" s="367"/>
      <c r="B227" s="367"/>
      <c r="C227" s="367"/>
      <c r="D227" s="367"/>
      <c r="E227" s="367"/>
      <c r="F227" s="367"/>
      <c r="G227" s="367"/>
      <c r="H227" s="367"/>
      <c r="I227" s="367"/>
      <c r="J227" s="367"/>
      <c r="K227" s="367"/>
      <c r="L227" s="367"/>
      <c r="M227" s="367"/>
      <c r="N227" s="367"/>
      <c r="O227" s="367"/>
      <c r="P227" s="367"/>
      <c r="Q227" s="367"/>
      <c r="R227" s="367"/>
      <c r="S227" s="367"/>
      <c r="T227" s="367"/>
      <c r="U227" s="367"/>
      <c r="V227" s="367"/>
      <c r="W227" s="367"/>
      <c r="X227" s="367"/>
      <c r="Y227" s="367"/>
      <c r="Z227" s="367"/>
      <c r="AA227" s="367"/>
      <c r="AB227" s="367"/>
      <c r="AC227" s="367"/>
      <c r="AD227" s="367"/>
    </row>
    <row r="228" ht="23.25" customHeight="1">
      <c r="A228" s="367"/>
      <c r="B228" s="367"/>
      <c r="C228" s="367"/>
      <c r="D228" s="367"/>
      <c r="E228" s="367"/>
      <c r="F228" s="367"/>
      <c r="G228" s="367"/>
      <c r="H228" s="367"/>
      <c r="I228" s="367"/>
      <c r="J228" s="367"/>
      <c r="K228" s="367"/>
      <c r="L228" s="367"/>
      <c r="M228" s="367"/>
      <c r="N228" s="367"/>
      <c r="O228" s="367"/>
      <c r="P228" s="367"/>
      <c r="Q228" s="367"/>
      <c r="R228" s="367"/>
      <c r="S228" s="367"/>
      <c r="T228" s="367"/>
      <c r="U228" s="367"/>
      <c r="V228" s="367"/>
      <c r="W228" s="367"/>
      <c r="X228" s="367"/>
      <c r="Y228" s="367"/>
      <c r="Z228" s="367"/>
      <c r="AA228" s="367"/>
      <c r="AB228" s="367"/>
      <c r="AC228" s="367"/>
      <c r="AD228" s="367"/>
    </row>
    <row r="229" ht="23.25" customHeight="1">
      <c r="A229" s="367"/>
      <c r="B229" s="367"/>
      <c r="C229" s="367"/>
      <c r="D229" s="367"/>
      <c r="E229" s="367"/>
      <c r="F229" s="367"/>
      <c r="G229" s="367"/>
      <c r="H229" s="367"/>
      <c r="I229" s="367"/>
      <c r="J229" s="367"/>
      <c r="K229" s="367"/>
      <c r="L229" s="367"/>
      <c r="M229" s="367"/>
      <c r="N229" s="367"/>
      <c r="O229" s="367"/>
      <c r="P229" s="367"/>
      <c r="Q229" s="367"/>
      <c r="R229" s="367"/>
      <c r="S229" s="367"/>
      <c r="T229" s="367"/>
      <c r="U229" s="367"/>
      <c r="V229" s="367"/>
      <c r="W229" s="367"/>
      <c r="X229" s="367"/>
      <c r="Y229" s="367"/>
      <c r="Z229" s="367"/>
      <c r="AA229" s="367"/>
      <c r="AB229" s="367"/>
      <c r="AC229" s="367"/>
      <c r="AD229" s="367"/>
    </row>
    <row r="230" ht="23.25" customHeight="1">
      <c r="A230" s="367"/>
      <c r="B230" s="367"/>
      <c r="C230" s="367"/>
      <c r="D230" s="367"/>
      <c r="E230" s="367"/>
      <c r="F230" s="367"/>
      <c r="G230" s="367"/>
      <c r="H230" s="367"/>
      <c r="I230" s="367"/>
      <c r="J230" s="367"/>
      <c r="K230" s="367"/>
      <c r="L230" s="367"/>
      <c r="M230" s="367"/>
      <c r="N230" s="367"/>
      <c r="O230" s="367"/>
      <c r="P230" s="367"/>
      <c r="Q230" s="367"/>
      <c r="R230" s="367"/>
      <c r="S230" s="367"/>
      <c r="T230" s="367"/>
      <c r="U230" s="367"/>
      <c r="V230" s="367"/>
      <c r="W230" s="367"/>
      <c r="X230" s="367"/>
      <c r="Y230" s="367"/>
      <c r="Z230" s="367"/>
      <c r="AA230" s="367"/>
      <c r="AB230" s="367"/>
      <c r="AC230" s="367"/>
      <c r="AD230" s="367"/>
    </row>
    <row r="231" ht="23.25" customHeight="1">
      <c r="A231" s="367"/>
      <c r="B231" s="367"/>
      <c r="C231" s="367"/>
      <c r="D231" s="367"/>
      <c r="E231" s="367"/>
      <c r="F231" s="367"/>
      <c r="G231" s="367"/>
      <c r="H231" s="367"/>
      <c r="I231" s="367"/>
      <c r="J231" s="367"/>
      <c r="K231" s="367"/>
      <c r="L231" s="367"/>
      <c r="M231" s="367"/>
      <c r="N231" s="367"/>
      <c r="O231" s="367"/>
      <c r="P231" s="367"/>
      <c r="Q231" s="367"/>
      <c r="R231" s="367"/>
      <c r="S231" s="367"/>
      <c r="T231" s="367"/>
      <c r="U231" s="367"/>
      <c r="V231" s="367"/>
      <c r="W231" s="367"/>
      <c r="X231" s="367"/>
      <c r="Y231" s="367"/>
      <c r="Z231" s="367"/>
      <c r="AA231" s="367"/>
      <c r="AB231" s="367"/>
      <c r="AC231" s="367"/>
      <c r="AD231" s="367"/>
    </row>
    <row r="232" ht="23.25" customHeight="1">
      <c r="A232" s="367"/>
      <c r="B232" s="367"/>
      <c r="C232" s="367"/>
      <c r="D232" s="367"/>
      <c r="E232" s="367"/>
      <c r="F232" s="367"/>
      <c r="G232" s="367"/>
      <c r="H232" s="367"/>
      <c r="I232" s="367"/>
      <c r="J232" s="367"/>
      <c r="K232" s="367"/>
      <c r="L232" s="367"/>
      <c r="M232" s="367"/>
      <c r="N232" s="367"/>
      <c r="O232" s="367"/>
      <c r="P232" s="367"/>
      <c r="Q232" s="367"/>
      <c r="R232" s="367"/>
      <c r="S232" s="367"/>
      <c r="T232" s="367"/>
      <c r="U232" s="367"/>
      <c r="V232" s="367"/>
      <c r="W232" s="367"/>
      <c r="X232" s="367"/>
      <c r="Y232" s="367"/>
      <c r="Z232" s="367"/>
      <c r="AA232" s="367"/>
      <c r="AB232" s="367"/>
      <c r="AC232" s="367"/>
      <c r="AD232" s="367"/>
    </row>
    <row r="233" ht="23.25" customHeight="1">
      <c r="A233" s="367"/>
      <c r="B233" s="367"/>
      <c r="C233" s="367"/>
      <c r="D233" s="367"/>
      <c r="E233" s="367"/>
      <c r="F233" s="367"/>
      <c r="G233" s="367"/>
      <c r="H233" s="367"/>
      <c r="I233" s="367"/>
      <c r="J233" s="367"/>
      <c r="K233" s="367"/>
      <c r="L233" s="367"/>
      <c r="M233" s="367"/>
      <c r="N233" s="367"/>
      <c r="O233" s="367"/>
      <c r="P233" s="367"/>
      <c r="Q233" s="367"/>
      <c r="R233" s="367"/>
      <c r="S233" s="367"/>
      <c r="T233" s="367"/>
      <c r="U233" s="367"/>
      <c r="V233" s="367"/>
      <c r="W233" s="367"/>
      <c r="X233" s="367"/>
      <c r="Y233" s="367"/>
      <c r="Z233" s="367"/>
      <c r="AA233" s="367"/>
      <c r="AB233" s="367"/>
      <c r="AC233" s="367"/>
      <c r="AD233" s="367"/>
    </row>
    <row r="234" ht="23.25" customHeight="1">
      <c r="A234" s="367"/>
      <c r="B234" s="367"/>
      <c r="C234" s="367"/>
      <c r="D234" s="367"/>
      <c r="E234" s="367"/>
      <c r="F234" s="367"/>
      <c r="G234" s="367"/>
      <c r="H234" s="367"/>
      <c r="I234" s="367"/>
      <c r="J234" s="367"/>
      <c r="K234" s="367"/>
      <c r="L234" s="367"/>
      <c r="M234" s="367"/>
      <c r="N234" s="367"/>
      <c r="O234" s="367"/>
      <c r="P234" s="367"/>
      <c r="Q234" s="367"/>
      <c r="R234" s="367"/>
      <c r="S234" s="367"/>
      <c r="T234" s="367"/>
      <c r="U234" s="367"/>
      <c r="V234" s="367"/>
      <c r="W234" s="367"/>
      <c r="X234" s="367"/>
      <c r="Y234" s="367"/>
      <c r="Z234" s="367"/>
      <c r="AA234" s="367"/>
      <c r="AB234" s="367"/>
      <c r="AC234" s="367"/>
      <c r="AD234" s="367"/>
    </row>
    <row r="235" ht="23.25" customHeight="1">
      <c r="A235" s="367"/>
      <c r="B235" s="367"/>
      <c r="C235" s="367"/>
      <c r="D235" s="367"/>
      <c r="E235" s="367"/>
      <c r="F235" s="367"/>
      <c r="G235" s="367"/>
      <c r="H235" s="367"/>
      <c r="I235" s="367"/>
      <c r="J235" s="367"/>
      <c r="K235" s="367"/>
      <c r="L235" s="367"/>
      <c r="M235" s="367"/>
      <c r="N235" s="367"/>
      <c r="O235" s="367"/>
      <c r="P235" s="367"/>
      <c r="Q235" s="367"/>
      <c r="R235" s="367"/>
      <c r="S235" s="367"/>
      <c r="T235" s="367"/>
      <c r="U235" s="367"/>
      <c r="V235" s="367"/>
      <c r="W235" s="367"/>
      <c r="X235" s="367"/>
      <c r="Y235" s="367"/>
      <c r="Z235" s="367"/>
      <c r="AA235" s="367"/>
      <c r="AB235" s="367"/>
      <c r="AC235" s="367"/>
      <c r="AD235" s="367"/>
    </row>
    <row r="236" ht="23.25" customHeight="1">
      <c r="A236" s="367"/>
      <c r="B236" s="367"/>
      <c r="C236" s="367"/>
      <c r="D236" s="367"/>
      <c r="E236" s="367"/>
      <c r="F236" s="367"/>
      <c r="G236" s="367"/>
      <c r="H236" s="367"/>
      <c r="I236" s="367"/>
      <c r="J236" s="367"/>
      <c r="K236" s="367"/>
      <c r="L236" s="367"/>
      <c r="M236" s="367"/>
      <c r="N236" s="367"/>
      <c r="O236" s="367"/>
      <c r="P236" s="367"/>
      <c r="Q236" s="367"/>
      <c r="R236" s="367"/>
      <c r="S236" s="367"/>
      <c r="T236" s="367"/>
      <c r="U236" s="367"/>
      <c r="V236" s="367"/>
      <c r="W236" s="367"/>
      <c r="X236" s="367"/>
      <c r="Y236" s="367"/>
      <c r="Z236" s="367"/>
      <c r="AA236" s="367"/>
      <c r="AB236" s="367"/>
      <c r="AC236" s="367"/>
      <c r="AD236" s="367"/>
    </row>
    <row r="237" ht="23.25" customHeight="1">
      <c r="A237" s="367"/>
      <c r="B237" s="367"/>
      <c r="C237" s="367"/>
      <c r="D237" s="367"/>
      <c r="E237" s="367"/>
      <c r="F237" s="367"/>
      <c r="G237" s="367"/>
      <c r="H237" s="367"/>
      <c r="I237" s="367"/>
      <c r="J237" s="367"/>
      <c r="K237" s="367"/>
      <c r="L237" s="367"/>
      <c r="M237" s="367"/>
      <c r="N237" s="367"/>
      <c r="O237" s="367"/>
      <c r="P237" s="367"/>
      <c r="Q237" s="367"/>
      <c r="R237" s="367"/>
      <c r="S237" s="367"/>
      <c r="T237" s="367"/>
      <c r="U237" s="367"/>
      <c r="V237" s="367"/>
      <c r="W237" s="367"/>
      <c r="X237" s="367"/>
      <c r="Y237" s="367"/>
      <c r="Z237" s="367"/>
      <c r="AA237" s="367"/>
      <c r="AB237" s="367"/>
      <c r="AC237" s="367"/>
      <c r="AD237" s="367"/>
    </row>
    <row r="238" ht="23.25" customHeight="1">
      <c r="A238" s="367"/>
      <c r="B238" s="367"/>
      <c r="C238" s="367"/>
      <c r="D238" s="367"/>
      <c r="E238" s="367"/>
      <c r="F238" s="367"/>
      <c r="G238" s="367"/>
      <c r="H238" s="367"/>
      <c r="I238" s="367"/>
      <c r="J238" s="367"/>
      <c r="K238" s="367"/>
      <c r="L238" s="367"/>
      <c r="M238" s="367"/>
      <c r="N238" s="367"/>
      <c r="O238" s="367"/>
      <c r="P238" s="367"/>
      <c r="Q238" s="367"/>
      <c r="R238" s="367"/>
      <c r="S238" s="367"/>
      <c r="T238" s="367"/>
      <c r="U238" s="367"/>
      <c r="V238" s="367"/>
      <c r="W238" s="367"/>
      <c r="X238" s="367"/>
      <c r="Y238" s="367"/>
      <c r="Z238" s="367"/>
      <c r="AA238" s="367"/>
      <c r="AB238" s="367"/>
      <c r="AC238" s="367"/>
      <c r="AD238" s="367"/>
    </row>
    <row r="239" ht="23.25" customHeight="1">
      <c r="A239" s="367"/>
      <c r="B239" s="367"/>
      <c r="C239" s="367"/>
      <c r="D239" s="367"/>
      <c r="E239" s="367"/>
      <c r="F239" s="367"/>
      <c r="G239" s="367"/>
      <c r="H239" s="367"/>
      <c r="I239" s="367"/>
      <c r="J239" s="367"/>
      <c r="K239" s="367"/>
      <c r="L239" s="367"/>
      <c r="M239" s="367"/>
      <c r="N239" s="367"/>
      <c r="O239" s="367"/>
      <c r="P239" s="367"/>
      <c r="Q239" s="367"/>
      <c r="R239" s="367"/>
      <c r="S239" s="367"/>
      <c r="T239" s="367"/>
      <c r="U239" s="367"/>
      <c r="V239" s="367"/>
      <c r="W239" s="367"/>
      <c r="X239" s="367"/>
      <c r="Y239" s="367"/>
      <c r="Z239" s="367"/>
      <c r="AA239" s="367"/>
      <c r="AB239" s="367"/>
      <c r="AC239" s="367"/>
      <c r="AD239" s="367"/>
    </row>
    <row r="240" ht="23.25" customHeight="1">
      <c r="A240" s="367"/>
      <c r="B240" s="367"/>
      <c r="C240" s="367"/>
      <c r="D240" s="367"/>
      <c r="E240" s="367"/>
      <c r="F240" s="367"/>
      <c r="G240" s="367"/>
      <c r="H240" s="367"/>
      <c r="I240" s="367"/>
      <c r="J240" s="367"/>
      <c r="K240" s="367"/>
      <c r="L240" s="367"/>
      <c r="M240" s="367"/>
      <c r="N240" s="367"/>
      <c r="O240" s="367"/>
      <c r="P240" s="367"/>
      <c r="Q240" s="367"/>
      <c r="R240" s="367"/>
      <c r="S240" s="367"/>
      <c r="T240" s="367"/>
      <c r="U240" s="367"/>
      <c r="V240" s="367"/>
      <c r="W240" s="367"/>
      <c r="X240" s="367"/>
      <c r="Y240" s="367"/>
      <c r="Z240" s="367"/>
      <c r="AA240" s="367"/>
      <c r="AB240" s="367"/>
      <c r="AC240" s="367"/>
      <c r="AD240" s="367"/>
    </row>
    <row r="241" ht="23.25" customHeight="1">
      <c r="A241" s="367"/>
      <c r="B241" s="367"/>
      <c r="C241" s="367"/>
      <c r="D241" s="367"/>
      <c r="E241" s="367"/>
      <c r="F241" s="367"/>
      <c r="G241" s="367"/>
      <c r="H241" s="367"/>
      <c r="I241" s="367"/>
      <c r="J241" s="367"/>
      <c r="K241" s="367"/>
      <c r="L241" s="367"/>
      <c r="M241" s="367"/>
      <c r="N241" s="367"/>
      <c r="O241" s="367"/>
      <c r="P241" s="367"/>
      <c r="Q241" s="367"/>
      <c r="R241" s="367"/>
      <c r="S241" s="367"/>
      <c r="T241" s="367"/>
      <c r="U241" s="367"/>
      <c r="V241" s="367"/>
      <c r="W241" s="367"/>
      <c r="X241" s="367"/>
      <c r="Y241" s="367"/>
      <c r="Z241" s="367"/>
      <c r="AA241" s="367"/>
      <c r="AB241" s="367"/>
      <c r="AC241" s="367"/>
      <c r="AD241" s="367"/>
    </row>
    <row r="242" ht="23.25" customHeight="1">
      <c r="A242" s="367"/>
      <c r="B242" s="367"/>
      <c r="C242" s="367"/>
      <c r="D242" s="367"/>
      <c r="E242" s="367"/>
      <c r="F242" s="367"/>
      <c r="G242" s="367"/>
      <c r="H242" s="367"/>
      <c r="I242" s="367"/>
      <c r="J242" s="367"/>
      <c r="K242" s="367"/>
      <c r="L242" s="367"/>
      <c r="M242" s="367"/>
      <c r="N242" s="367"/>
      <c r="O242" s="367"/>
      <c r="P242" s="367"/>
      <c r="Q242" s="367"/>
      <c r="R242" s="367"/>
      <c r="S242" s="367"/>
      <c r="T242" s="367"/>
      <c r="U242" s="367"/>
      <c r="V242" s="367"/>
      <c r="W242" s="367"/>
      <c r="X242" s="367"/>
      <c r="Y242" s="367"/>
      <c r="Z242" s="367"/>
      <c r="AA242" s="367"/>
      <c r="AB242" s="367"/>
      <c r="AC242" s="367"/>
      <c r="AD242" s="367"/>
    </row>
    <row r="243" ht="23.25" customHeight="1">
      <c r="A243" s="367"/>
      <c r="B243" s="367"/>
      <c r="C243" s="367"/>
      <c r="D243" s="367"/>
      <c r="E243" s="367"/>
      <c r="F243" s="367"/>
      <c r="G243" s="367"/>
      <c r="H243" s="367"/>
      <c r="I243" s="367"/>
      <c r="J243" s="367"/>
      <c r="K243" s="367"/>
      <c r="L243" s="367"/>
      <c r="M243" s="367"/>
      <c r="N243" s="367"/>
      <c r="O243" s="367"/>
      <c r="P243" s="367"/>
      <c r="Q243" s="367"/>
      <c r="R243" s="367"/>
      <c r="S243" s="367"/>
      <c r="T243" s="367"/>
      <c r="U243" s="367"/>
      <c r="V243" s="367"/>
      <c r="W243" s="367"/>
      <c r="X243" s="367"/>
      <c r="Y243" s="367"/>
      <c r="Z243" s="367"/>
      <c r="AA243" s="367"/>
      <c r="AB243" s="367"/>
      <c r="AC243" s="367"/>
      <c r="AD243" s="367"/>
    </row>
    <row r="244" ht="23.25" customHeight="1">
      <c r="A244" s="367"/>
      <c r="B244" s="367"/>
      <c r="C244" s="367"/>
      <c r="D244" s="367"/>
      <c r="E244" s="367"/>
      <c r="F244" s="367"/>
      <c r="G244" s="367"/>
      <c r="H244" s="367"/>
      <c r="I244" s="367"/>
      <c r="J244" s="367"/>
      <c r="K244" s="367"/>
      <c r="L244" s="367"/>
      <c r="M244" s="367"/>
      <c r="N244" s="367"/>
      <c r="O244" s="367"/>
      <c r="P244" s="367"/>
      <c r="Q244" s="367"/>
      <c r="R244" s="367"/>
      <c r="S244" s="367"/>
      <c r="T244" s="367"/>
      <c r="U244" s="367"/>
      <c r="V244" s="367"/>
      <c r="W244" s="367"/>
      <c r="X244" s="367"/>
      <c r="Y244" s="367"/>
      <c r="Z244" s="367"/>
      <c r="AA244" s="367"/>
      <c r="AB244" s="367"/>
      <c r="AC244" s="367"/>
      <c r="AD244" s="367"/>
    </row>
    <row r="245" ht="23.25" customHeight="1">
      <c r="A245" s="367"/>
      <c r="B245" s="367"/>
      <c r="C245" s="367"/>
      <c r="D245" s="367"/>
      <c r="E245" s="367"/>
      <c r="F245" s="367"/>
      <c r="G245" s="367"/>
      <c r="H245" s="367"/>
      <c r="I245" s="367"/>
      <c r="J245" s="367"/>
      <c r="K245" s="367"/>
      <c r="L245" s="367"/>
      <c r="M245" s="367"/>
      <c r="N245" s="367"/>
      <c r="O245" s="367"/>
      <c r="P245" s="367"/>
      <c r="Q245" s="367"/>
      <c r="R245" s="367"/>
      <c r="S245" s="367"/>
      <c r="T245" s="367"/>
      <c r="U245" s="367"/>
      <c r="V245" s="367"/>
      <c r="W245" s="367"/>
      <c r="X245" s="367"/>
      <c r="Y245" s="367"/>
      <c r="Z245" s="367"/>
      <c r="AA245" s="367"/>
      <c r="AB245" s="367"/>
      <c r="AC245" s="367"/>
      <c r="AD245" s="367"/>
    </row>
    <row r="246" ht="23.25" customHeight="1">
      <c r="A246" s="367"/>
      <c r="B246" s="367"/>
      <c r="C246" s="367"/>
      <c r="D246" s="367"/>
      <c r="E246" s="367"/>
      <c r="F246" s="367"/>
      <c r="G246" s="367"/>
      <c r="H246" s="367"/>
      <c r="I246" s="367"/>
      <c r="J246" s="367"/>
      <c r="K246" s="367"/>
      <c r="L246" s="367"/>
      <c r="M246" s="367"/>
      <c r="N246" s="367"/>
      <c r="O246" s="367"/>
      <c r="P246" s="367"/>
      <c r="Q246" s="367"/>
      <c r="R246" s="367"/>
      <c r="S246" s="367"/>
      <c r="T246" s="367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23.43"/>
    <col customWidth="1" min="3" max="3" width="21.43"/>
    <col customWidth="1" min="4" max="7" width="19.86"/>
    <col customWidth="1" min="8" max="8" width="101.57"/>
    <col customWidth="1" min="9" max="30" width="19.86"/>
  </cols>
  <sheetData>
    <row r="1" ht="20.25" customHeight="1">
      <c r="A1" s="310" t="s">
        <v>53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</row>
    <row r="2" ht="20.25" customHeight="1">
      <c r="A2" s="307"/>
      <c r="B2" s="307"/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</row>
    <row r="3" ht="20.25" customHeight="1">
      <c r="A3" s="310" t="s">
        <v>184</v>
      </c>
      <c r="B3" s="307"/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</row>
    <row r="4" ht="20.25" customHeight="1">
      <c r="A4" s="310" t="s">
        <v>185</v>
      </c>
      <c r="B4" s="369" t="s">
        <v>233</v>
      </c>
      <c r="C4" s="307"/>
      <c r="D4" s="307"/>
      <c r="E4" s="307"/>
      <c r="F4" s="307"/>
      <c r="G4" s="307"/>
      <c r="H4" s="307"/>
      <c r="I4" s="307"/>
      <c r="J4" s="307"/>
      <c r="K4" s="307"/>
      <c r="L4" s="307"/>
      <c r="M4" s="307"/>
      <c r="N4" s="307"/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</row>
    <row r="5" ht="20.25" customHeight="1">
      <c r="A5" s="310"/>
      <c r="B5" s="369"/>
      <c r="C5" s="307"/>
      <c r="D5" s="307"/>
      <c r="E5" s="307"/>
      <c r="F5" s="307"/>
      <c r="G5" s="307"/>
      <c r="H5" s="307"/>
      <c r="I5" s="307"/>
      <c r="J5" s="307"/>
      <c r="K5" s="307"/>
      <c r="L5" s="307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</row>
    <row r="6" ht="21.0" customHeight="1">
      <c r="A6" s="307"/>
      <c r="B6" s="307"/>
      <c r="C6" s="307"/>
      <c r="D6" s="307"/>
      <c r="E6" s="307"/>
      <c r="F6" s="307"/>
      <c r="G6" s="307"/>
      <c r="H6" s="307"/>
      <c r="I6" s="349"/>
      <c r="J6" s="307"/>
      <c r="K6" s="307"/>
      <c r="L6" s="307"/>
      <c r="M6" s="307"/>
      <c r="N6" s="307"/>
      <c r="O6" s="307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</row>
    <row r="7" ht="61.5" customHeight="1">
      <c r="A7" s="315" t="s">
        <v>187</v>
      </c>
      <c r="B7" s="433" t="s">
        <v>188</v>
      </c>
      <c r="C7" s="316" t="s">
        <v>189</v>
      </c>
      <c r="D7" s="316" t="s">
        <v>190</v>
      </c>
      <c r="E7" s="316" t="s">
        <v>191</v>
      </c>
      <c r="F7" s="316" t="s">
        <v>192</v>
      </c>
      <c r="G7" s="317" t="s">
        <v>193</v>
      </c>
      <c r="H7" s="317" t="s">
        <v>12</v>
      </c>
      <c r="I7" s="434" t="s">
        <v>237</v>
      </c>
      <c r="J7" s="435" t="s">
        <v>235</v>
      </c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</row>
    <row r="8" ht="22.5" customHeight="1">
      <c r="A8" s="436" t="str">
        <f>+SUMMARY!#REF!</f>
        <v>#ERROR!</v>
      </c>
      <c r="B8" s="437" t="str">
        <f>+SUMMARY!#REF!</f>
        <v>#ERROR!</v>
      </c>
      <c r="C8" s="437" t="str">
        <f>+SUMMARY!#REF!</f>
        <v>#ERROR!</v>
      </c>
      <c r="D8" s="437" t="str">
        <f>+SUMMARY!#REF!</f>
        <v>#ERROR!</v>
      </c>
      <c r="E8" s="437" t="str">
        <f>+SUMMARY!#REF!</f>
        <v>#ERROR!</v>
      </c>
      <c r="F8" s="437" t="str">
        <f>+SUMMARY!#REF!</f>
        <v>#ERROR!</v>
      </c>
      <c r="G8" s="437" t="str">
        <f>+SUMMARY!#REF!</f>
        <v>#ERROR!</v>
      </c>
      <c r="H8" s="438" t="str">
        <f>+SUMMARY!#REF!</f>
        <v>#ERROR!</v>
      </c>
      <c r="I8" s="439" t="str">
        <f t="shared" ref="I8:I37" si="1">G8/B8</f>
        <v>#ERROR!</v>
      </c>
      <c r="J8" s="440"/>
      <c r="K8" s="441"/>
      <c r="L8" s="307"/>
      <c r="M8" s="307"/>
      <c r="N8" s="307"/>
      <c r="O8" s="307"/>
      <c r="P8" s="307"/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</row>
    <row r="9" ht="22.5" customHeight="1">
      <c r="A9" s="436">
        <f>+SUMMARY!A7</f>
        <v>44531</v>
      </c>
      <c r="B9" s="437">
        <f>+SUMMARY!B7</f>
        <v>45405.016</v>
      </c>
      <c r="C9" s="437">
        <f>+SUMMARY!C7</f>
        <v>42128.06568</v>
      </c>
      <c r="D9" s="437">
        <f>+SUMMARY!D7</f>
        <v>0</v>
      </c>
      <c r="E9" s="437">
        <f>+SUMMARY!E7</f>
        <v>221.4</v>
      </c>
      <c r="F9" s="437">
        <f>+SUMMARY!F7</f>
        <v>1226.42583</v>
      </c>
      <c r="G9" s="437">
        <f>+SUMMARY!G7</f>
        <v>1829.124493</v>
      </c>
      <c r="H9" s="438" t="str">
        <f>+SUMMARY!H7</f>
        <v/>
      </c>
      <c r="I9" s="439">
        <f t="shared" si="1"/>
        <v>0.04028463492</v>
      </c>
      <c r="J9" s="440"/>
      <c r="K9" s="441"/>
      <c r="L9" s="307"/>
      <c r="M9" s="307"/>
      <c r="N9" s="307"/>
      <c r="O9" s="307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</row>
    <row r="10" ht="22.5" customHeight="1">
      <c r="A10" s="436">
        <f>+SUMMARY!A8</f>
        <v>44532</v>
      </c>
      <c r="B10" s="437">
        <f>+SUMMARY!B8</f>
        <v>31734.9539</v>
      </c>
      <c r="C10" s="437">
        <f>+SUMMARY!C8</f>
        <v>28333.96424</v>
      </c>
      <c r="D10" s="437">
        <f>+SUMMARY!D8</f>
        <v>494.321596</v>
      </c>
      <c r="E10" s="437">
        <f>+SUMMARY!E8</f>
        <v>187.2</v>
      </c>
      <c r="F10" s="437">
        <f>+SUMMARY!F8</f>
        <v>2123.367034</v>
      </c>
      <c r="G10" s="437">
        <f>+SUMMARY!G8</f>
        <v>596.1010266</v>
      </c>
      <c r="H10" s="438" t="str">
        <f>+SUMMARY!H8</f>
        <v>#REF!</v>
      </c>
      <c r="I10" s="439">
        <f t="shared" si="1"/>
        <v>0.01878373696</v>
      </c>
      <c r="J10" s="440"/>
      <c r="K10" s="441"/>
      <c r="L10" s="307"/>
      <c r="M10" s="307"/>
      <c r="N10" s="307"/>
      <c r="O10" s="307"/>
      <c r="P10" s="307"/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</row>
    <row r="11" ht="22.5" customHeight="1">
      <c r="A11" s="436">
        <f>+SUMMARY!A9</f>
        <v>44533</v>
      </c>
      <c r="B11" s="437">
        <f>+SUMMARY!B9</f>
        <v>54027.6746</v>
      </c>
      <c r="C11" s="437">
        <f>+SUMMARY!C9</f>
        <v>50468.73379</v>
      </c>
      <c r="D11" s="437">
        <f>+SUMMARY!D9</f>
        <v>643.7208955</v>
      </c>
      <c r="E11" s="437">
        <f>+SUMMARY!E9</f>
        <v>250.2</v>
      </c>
      <c r="F11" s="437">
        <f>+SUMMARY!F9</f>
        <v>1541.777769</v>
      </c>
      <c r="G11" s="437">
        <f>+SUMMARY!G9</f>
        <v>1123.242142</v>
      </c>
      <c r="H11" s="438" t="str">
        <f>+SUMMARY!H9</f>
        <v/>
      </c>
      <c r="I11" s="439">
        <f t="shared" si="1"/>
        <v>0.02079012562</v>
      </c>
      <c r="J11" s="440"/>
      <c r="K11" s="441"/>
      <c r="L11" s="307"/>
      <c r="M11" s="307"/>
      <c r="N11" s="307"/>
      <c r="O11" s="307"/>
      <c r="P11" s="307"/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</row>
    <row r="12" ht="22.5" customHeight="1">
      <c r="A12" s="436">
        <f>+SUMMARY!A10</f>
        <v>44534</v>
      </c>
      <c r="B12" s="437">
        <f>+SUMMARY!B10</f>
        <v>25882.4472</v>
      </c>
      <c r="C12" s="437">
        <f>+SUMMARY!C10</f>
        <v>21560.79494</v>
      </c>
      <c r="D12" s="437">
        <f>+SUMMARY!D10</f>
        <v>255.94023</v>
      </c>
      <c r="E12" s="437">
        <f>+SUMMARY!E10</f>
        <v>102</v>
      </c>
      <c r="F12" s="437">
        <f>+SUMMARY!F10</f>
        <v>1539.174144</v>
      </c>
      <c r="G12" s="437">
        <f>+SUMMARY!G10</f>
        <v>2424.537883</v>
      </c>
      <c r="H12" s="442" t="str">
        <f>+SUMMARY!H10</f>
        <v/>
      </c>
      <c r="I12" s="439">
        <f t="shared" si="1"/>
        <v>0.09367498614</v>
      </c>
      <c r="J12" s="440"/>
      <c r="K12" s="441"/>
      <c r="L12" s="307"/>
      <c r="M12" s="307"/>
      <c r="N12" s="307"/>
      <c r="O12" s="307"/>
      <c r="P12" s="307"/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</row>
    <row r="13" ht="22.5" customHeight="1">
      <c r="A13" s="436">
        <f>+SUMMARY!A11</f>
        <v>44536</v>
      </c>
      <c r="B13" s="437">
        <f>+SUMMARY!B11</f>
        <v>19954.1884</v>
      </c>
      <c r="C13" s="437">
        <f>+SUMMARY!C11</f>
        <v>17304.30669</v>
      </c>
      <c r="D13" s="437">
        <f>+SUMMARY!D11</f>
        <v>552.30769</v>
      </c>
      <c r="E13" s="437">
        <f>+SUMMARY!E11</f>
        <v>220.2</v>
      </c>
      <c r="F13" s="437">
        <f>+SUMMARY!F11</f>
        <v>1523.476529</v>
      </c>
      <c r="G13" s="437">
        <f>+SUMMARY!G11</f>
        <v>353.8974918</v>
      </c>
      <c r="H13" s="438" t="str">
        <f>+SUMMARY!H11</f>
        <v/>
      </c>
      <c r="I13" s="439">
        <f t="shared" si="1"/>
        <v>0.01773549917</v>
      </c>
      <c r="J13" s="443"/>
      <c r="K13" s="444"/>
      <c r="L13" s="445"/>
      <c r="M13" s="445"/>
      <c r="N13" s="445"/>
      <c r="O13" s="445"/>
      <c r="P13" s="445"/>
      <c r="Q13" s="445"/>
      <c r="R13" s="445"/>
      <c r="S13" s="445"/>
      <c r="T13" s="445"/>
      <c r="U13" s="445"/>
      <c r="V13" s="445"/>
      <c r="W13" s="445"/>
      <c r="X13" s="445"/>
      <c r="Y13" s="445"/>
      <c r="Z13" s="445"/>
      <c r="AA13" s="445"/>
      <c r="AB13" s="445"/>
      <c r="AC13" s="445"/>
      <c r="AD13" s="445"/>
    </row>
    <row r="14" ht="22.5" customHeight="1">
      <c r="A14" s="436">
        <f>+SUMMARY!A12</f>
        <v>44537</v>
      </c>
      <c r="B14" s="437">
        <f>+SUMMARY!B12</f>
        <v>45005.006</v>
      </c>
      <c r="C14" s="437">
        <f>+SUMMARY!C12</f>
        <v>42406.0933</v>
      </c>
      <c r="D14" s="437">
        <f>+SUMMARY!D12</f>
        <v>445.31238</v>
      </c>
      <c r="E14" s="437">
        <f>+SUMMARY!E12</f>
        <v>117.6</v>
      </c>
      <c r="F14" s="437">
        <f>+SUMMARY!F12</f>
        <v>875.728969</v>
      </c>
      <c r="G14" s="437">
        <f>+SUMMARY!G12</f>
        <v>1160.271352</v>
      </c>
      <c r="H14" s="438" t="str">
        <f>+SUMMARY!H12</f>
        <v/>
      </c>
      <c r="I14" s="439">
        <f t="shared" si="1"/>
        <v>0.02578093984</v>
      </c>
      <c r="J14" s="440"/>
      <c r="K14" s="441"/>
      <c r="L14" s="307"/>
      <c r="M14" s="307"/>
      <c r="N14" s="307"/>
      <c r="O14" s="307"/>
      <c r="P14" s="307"/>
      <c r="Q14" s="307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</row>
    <row r="15" ht="22.5" customHeight="1">
      <c r="A15" s="436">
        <f>+SUMMARY!A13</f>
        <v>44538</v>
      </c>
      <c r="B15" s="437">
        <f>+SUMMARY!B13</f>
        <v>42780.2104</v>
      </c>
      <c r="C15" s="437">
        <f>+SUMMARY!C13</f>
        <v>40263.89664</v>
      </c>
      <c r="D15" s="437">
        <f>+SUMMARY!D13</f>
        <v>585.303957</v>
      </c>
      <c r="E15" s="437">
        <f>+SUMMARY!E13</f>
        <v>169.8</v>
      </c>
      <c r="F15" s="437">
        <f>+SUMMARY!F13</f>
        <v>937.5270121</v>
      </c>
      <c r="G15" s="437">
        <f>+SUMMARY!G13</f>
        <v>823.6827903</v>
      </c>
      <c r="H15" s="438" t="str">
        <f>+SUMMARY!H13</f>
        <v>#REF!</v>
      </c>
      <c r="I15" s="439">
        <f t="shared" si="1"/>
        <v>0.01925382747</v>
      </c>
      <c r="J15" s="440"/>
      <c r="K15" s="441"/>
      <c r="L15" s="307"/>
      <c r="M15" s="307"/>
      <c r="N15" s="307"/>
      <c r="O15" s="307"/>
      <c r="P15" s="307"/>
      <c r="Q15" s="307"/>
      <c r="R15" s="307"/>
      <c r="S15" s="307"/>
      <c r="T15" s="307"/>
      <c r="U15" s="307"/>
      <c r="V15" s="307"/>
      <c r="W15" s="307"/>
      <c r="X15" s="307"/>
      <c r="Y15" s="307"/>
      <c r="Z15" s="307"/>
      <c r="AA15" s="307"/>
      <c r="AB15" s="307"/>
      <c r="AC15" s="307"/>
      <c r="AD15" s="307"/>
    </row>
    <row r="16" ht="22.5" customHeight="1">
      <c r="A16" s="436">
        <f>+SUMMARY!A14</f>
        <v>44539</v>
      </c>
      <c r="B16" s="437">
        <f>+SUMMARY!B14</f>
        <v>19152.0555</v>
      </c>
      <c r="C16" s="437">
        <f>+SUMMARY!C14</f>
        <v>17516.80046</v>
      </c>
      <c r="D16" s="437">
        <f>+SUMMARY!D14</f>
        <v>488.837856</v>
      </c>
      <c r="E16" s="437">
        <f>+SUMMARY!E14</f>
        <v>145.2</v>
      </c>
      <c r="F16" s="437">
        <f>+SUMMARY!F14</f>
        <v>666.8355141</v>
      </c>
      <c r="G16" s="437">
        <f>+SUMMARY!G14</f>
        <v>334.3816746</v>
      </c>
      <c r="H16" s="438" t="str">
        <f>+SUMMARY!H14</f>
        <v/>
      </c>
      <c r="I16" s="439">
        <f t="shared" si="1"/>
        <v>0.01745931003</v>
      </c>
      <c r="J16" s="440"/>
      <c r="K16" s="441"/>
      <c r="L16" s="307"/>
      <c r="M16" s="307"/>
      <c r="N16" s="307"/>
      <c r="O16" s="307"/>
      <c r="P16" s="307"/>
      <c r="Q16" s="307"/>
      <c r="R16" s="307"/>
      <c r="S16" s="307"/>
      <c r="T16" s="307"/>
      <c r="U16" s="307"/>
      <c r="V16" s="307"/>
      <c r="W16" s="307"/>
      <c r="X16" s="307"/>
      <c r="Y16" s="307"/>
      <c r="Z16" s="307"/>
      <c r="AA16" s="307"/>
      <c r="AB16" s="307"/>
      <c r="AC16" s="307"/>
      <c r="AD16" s="307"/>
    </row>
    <row r="17" ht="22.5" customHeight="1">
      <c r="A17" s="436">
        <f>+SUMMARY!A15</f>
        <v>44540</v>
      </c>
      <c r="B17" s="437">
        <f>+SUMMARY!B15</f>
        <v>46525.2376</v>
      </c>
      <c r="C17" s="437">
        <f>+SUMMARY!C15</f>
        <v>42822.04164</v>
      </c>
      <c r="D17" s="437">
        <f>+SUMMARY!D15</f>
        <v>610.334472</v>
      </c>
      <c r="E17" s="437">
        <f>+SUMMARY!E15</f>
        <v>244.2</v>
      </c>
      <c r="F17" s="437">
        <f>+SUMMARY!F15</f>
        <v>1480.120358</v>
      </c>
      <c r="G17" s="437">
        <f>+SUMMARY!G15</f>
        <v>1368.541131</v>
      </c>
      <c r="H17" s="438" t="str">
        <f>+SUMMARY!H15</f>
        <v/>
      </c>
      <c r="I17" s="439">
        <f t="shared" si="1"/>
        <v>0.02941502722</v>
      </c>
      <c r="J17" s="440"/>
      <c r="K17" s="441"/>
      <c r="L17" s="307"/>
      <c r="M17" s="307"/>
      <c r="N17" s="307"/>
      <c r="O17" s="307"/>
      <c r="P17" s="307"/>
      <c r="Q17" s="307"/>
      <c r="R17" s="307"/>
      <c r="S17" s="307"/>
      <c r="T17" s="307"/>
      <c r="U17" s="307"/>
      <c r="V17" s="307"/>
      <c r="W17" s="307"/>
      <c r="X17" s="307"/>
      <c r="Y17" s="307"/>
      <c r="Z17" s="307"/>
      <c r="AA17" s="307"/>
      <c r="AB17" s="307"/>
      <c r="AC17" s="307"/>
      <c r="AD17" s="307"/>
    </row>
    <row r="18" ht="22.5" customHeight="1">
      <c r="A18" s="436">
        <f>+SUMMARY!A16</f>
        <v>44541</v>
      </c>
      <c r="B18" s="437">
        <f>+SUMMARY!B16</f>
        <v>11519.9157</v>
      </c>
      <c r="C18" s="437">
        <f>+SUMMARY!C16</f>
        <v>10249.88662</v>
      </c>
      <c r="D18" s="437">
        <f>+SUMMARY!D16</f>
        <v>199.6899765</v>
      </c>
      <c r="E18" s="437">
        <f>+SUMMARY!E16</f>
        <v>88.8</v>
      </c>
      <c r="F18" s="437">
        <f>+SUMMARY!F16</f>
        <v>893.1945127</v>
      </c>
      <c r="G18" s="437">
        <f>+SUMMARY!G16</f>
        <v>88.34458815</v>
      </c>
      <c r="H18" s="438" t="str">
        <f>+SUMMARY!H16</f>
        <v/>
      </c>
      <c r="I18" s="439">
        <f t="shared" si="1"/>
        <v>0.007668857173</v>
      </c>
      <c r="J18" s="440"/>
      <c r="K18" s="441"/>
      <c r="L18" s="307"/>
      <c r="M18" s="307"/>
      <c r="N18" s="307"/>
      <c r="O18" s="307"/>
      <c r="P18" s="307"/>
      <c r="Q18" s="307"/>
      <c r="R18" s="307"/>
      <c r="S18" s="307"/>
      <c r="T18" s="307"/>
      <c r="U18" s="307"/>
      <c r="V18" s="307"/>
      <c r="W18" s="307"/>
      <c r="X18" s="307"/>
      <c r="Y18" s="307"/>
      <c r="Z18" s="307"/>
      <c r="AA18" s="307"/>
      <c r="AB18" s="307"/>
      <c r="AC18" s="307"/>
      <c r="AD18" s="307"/>
    </row>
    <row r="19" ht="22.5" customHeight="1">
      <c r="A19" s="436">
        <f>+SUMMARY!A17</f>
        <v>44543</v>
      </c>
      <c r="B19" s="437">
        <f>+SUMMARY!B17</f>
        <v>36168.6977</v>
      </c>
      <c r="C19" s="437">
        <f>+SUMMARY!C17</f>
        <v>33701.01894</v>
      </c>
      <c r="D19" s="437">
        <f>+SUMMARY!D17</f>
        <v>1012.816924</v>
      </c>
      <c r="E19" s="437">
        <f>+SUMMARY!E17</f>
        <v>306.6</v>
      </c>
      <c r="F19" s="437">
        <f>+SUMMARY!F17</f>
        <v>1513.728918</v>
      </c>
      <c r="G19" s="437">
        <f>+SUMMARY!G17</f>
        <v>-365.467078</v>
      </c>
      <c r="H19" s="438" t="str">
        <f>+SUMMARY!H17</f>
        <v/>
      </c>
      <c r="I19" s="439">
        <f t="shared" si="1"/>
        <v>-0.01010451305</v>
      </c>
      <c r="J19" s="440"/>
      <c r="K19" s="441"/>
      <c r="L19" s="307"/>
      <c r="M19" s="307"/>
      <c r="N19" s="307"/>
      <c r="O19" s="30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</row>
    <row r="20" ht="22.5" customHeight="1">
      <c r="A20" s="436">
        <f>+SUMMARY!A18</f>
        <v>44544</v>
      </c>
      <c r="B20" s="437">
        <f>+SUMMARY!B18</f>
        <v>30281.139</v>
      </c>
      <c r="C20" s="437">
        <f>+SUMMARY!C18</f>
        <v>27514.84631</v>
      </c>
      <c r="D20" s="437">
        <f>+SUMMARY!D18</f>
        <v>206.6646195</v>
      </c>
      <c r="E20" s="437">
        <f>+SUMMARY!E18</f>
        <v>75</v>
      </c>
      <c r="F20" s="437">
        <f>+SUMMARY!F18</f>
        <v>1987.77499</v>
      </c>
      <c r="G20" s="437">
        <f>+SUMMARY!G18</f>
        <v>496.8530801</v>
      </c>
      <c r="H20" s="438" t="str">
        <f>+SUMMARY!H18</f>
        <v/>
      </c>
      <c r="I20" s="439">
        <f t="shared" si="1"/>
        <v>0.016408005</v>
      </c>
      <c r="J20" s="440"/>
      <c r="K20" s="441"/>
      <c r="L20" s="307"/>
      <c r="M20" s="307"/>
      <c r="N20" s="307"/>
      <c r="O20" s="307"/>
      <c r="P20" s="307"/>
      <c r="Q20" s="307"/>
      <c r="R20" s="307"/>
      <c r="S20" s="307"/>
      <c r="T20" s="307"/>
      <c r="U20" s="307"/>
      <c r="V20" s="307"/>
      <c r="W20" s="307"/>
      <c r="X20" s="307"/>
      <c r="Y20" s="307"/>
      <c r="Z20" s="307"/>
      <c r="AA20" s="307"/>
      <c r="AB20" s="307"/>
      <c r="AC20" s="307"/>
      <c r="AD20" s="307"/>
    </row>
    <row r="21" ht="22.5" customHeight="1">
      <c r="A21" s="436">
        <f>+SUMMARY!A19</f>
        <v>44545</v>
      </c>
      <c r="B21" s="437">
        <f>+SUMMARY!B19</f>
        <v>43880.2607</v>
      </c>
      <c r="C21" s="437">
        <f>+SUMMARY!C19</f>
        <v>40592.75102</v>
      </c>
      <c r="D21" s="437">
        <f>+SUMMARY!D19</f>
        <v>635.65626</v>
      </c>
      <c r="E21" s="437">
        <f>+SUMMARY!E19</f>
        <v>216.6</v>
      </c>
      <c r="F21" s="437">
        <f>+SUMMARY!F19</f>
        <v>1311.015018</v>
      </c>
      <c r="G21" s="437">
        <f>+SUMMARY!G19</f>
        <v>1124.238401</v>
      </c>
      <c r="H21" s="438" t="str">
        <f>+SUMMARY!H19</f>
        <v/>
      </c>
      <c r="I21" s="439">
        <f t="shared" si="1"/>
        <v>0.0256205953</v>
      </c>
      <c r="J21" s="440"/>
      <c r="K21" s="441"/>
      <c r="L21" s="307"/>
      <c r="M21" s="307"/>
      <c r="N21" s="307"/>
      <c r="O21" s="307"/>
      <c r="P21" s="307"/>
      <c r="Q21" s="307"/>
      <c r="R21" s="307"/>
      <c r="S21" s="307"/>
      <c r="T21" s="307"/>
      <c r="U21" s="307"/>
      <c r="V21" s="307"/>
      <c r="W21" s="307"/>
      <c r="X21" s="307"/>
      <c r="Y21" s="307"/>
      <c r="Z21" s="307"/>
      <c r="AA21" s="307"/>
      <c r="AB21" s="307"/>
      <c r="AC21" s="307"/>
      <c r="AD21" s="307"/>
    </row>
    <row r="22" ht="22.5" customHeight="1">
      <c r="A22" s="436">
        <f>+SUMMARY!A20</f>
        <v>44547</v>
      </c>
      <c r="B22" s="437">
        <f>+SUMMARY!B20</f>
        <v>59740.1166</v>
      </c>
      <c r="C22" s="437">
        <f>+SUMMARY!C20</f>
        <v>55609.71205</v>
      </c>
      <c r="D22" s="437">
        <f>+SUMMARY!D20</f>
        <v>754.0013955</v>
      </c>
      <c r="E22" s="437">
        <f>+SUMMARY!E20</f>
        <v>277.8</v>
      </c>
      <c r="F22" s="437">
        <f>+SUMMARY!F20</f>
        <v>2190.8064</v>
      </c>
      <c r="G22" s="437">
        <f>+SUMMARY!G20</f>
        <v>907.7967536</v>
      </c>
      <c r="H22" s="438" t="str">
        <f>+SUMMARY!H20</f>
        <v/>
      </c>
      <c r="I22" s="439">
        <f t="shared" si="1"/>
        <v>0.01519576468</v>
      </c>
      <c r="J22" s="440"/>
      <c r="K22" s="441"/>
      <c r="L22" s="307"/>
      <c r="M22" s="307"/>
      <c r="N22" s="307"/>
      <c r="O22" s="307"/>
      <c r="P22" s="307"/>
      <c r="Q22" s="307"/>
      <c r="R22" s="307"/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</row>
    <row r="23" ht="22.5" customHeight="1">
      <c r="A23" s="436">
        <f>+SUMMARY!A21</f>
        <v>44548</v>
      </c>
      <c r="B23" s="437">
        <f>+SUMMARY!B21</f>
        <v>17552.8779</v>
      </c>
      <c r="C23" s="437">
        <f>+SUMMARY!C21</f>
        <v>16369.64108</v>
      </c>
      <c r="D23" s="437">
        <f>+SUMMARY!D21</f>
        <v>337.073944</v>
      </c>
      <c r="E23" s="437">
        <f>+SUMMARY!E21</f>
        <v>139.8</v>
      </c>
      <c r="F23" s="437">
        <f>+SUMMARY!F21</f>
        <v>398.1750552</v>
      </c>
      <c r="G23" s="437">
        <f>+SUMMARY!G21</f>
        <v>308.1878206</v>
      </c>
      <c r="H23" s="438" t="str">
        <f>+SUMMARY!H21</f>
        <v/>
      </c>
      <c r="I23" s="439">
        <f t="shared" si="1"/>
        <v>0.01755768042</v>
      </c>
      <c r="J23" s="440"/>
      <c r="K23" s="441"/>
      <c r="L23" s="307"/>
      <c r="M23" s="307"/>
      <c r="N23" s="307"/>
      <c r="O23" s="307"/>
      <c r="P23" s="307"/>
      <c r="Q23" s="307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</row>
    <row r="24" ht="22.5" customHeight="1">
      <c r="A24" s="436">
        <f>+SUMMARY!A22</f>
        <v>44549</v>
      </c>
      <c r="B24" s="437">
        <f>+SUMMARY!B22</f>
        <v>6959.5194</v>
      </c>
      <c r="C24" s="437">
        <f>+SUMMARY!C22</f>
        <v>6117.789559</v>
      </c>
      <c r="D24" s="437">
        <f>+SUMMARY!D22</f>
        <v>154.331892</v>
      </c>
      <c r="E24" s="437">
        <f>+SUMMARY!E22</f>
        <v>48.6</v>
      </c>
      <c r="F24" s="437">
        <f>+SUMMARY!F22</f>
        <v>592.3052618</v>
      </c>
      <c r="G24" s="437">
        <f>+SUMMARY!G22</f>
        <v>46.49268762</v>
      </c>
      <c r="H24" s="438" t="str">
        <f>+SUMMARY!H22</f>
        <v/>
      </c>
      <c r="I24" s="439">
        <f t="shared" si="1"/>
        <v>0.00668044515</v>
      </c>
      <c r="J24" s="440"/>
      <c r="K24" s="441"/>
      <c r="L24" s="307"/>
      <c r="M24" s="307"/>
      <c r="N24" s="307"/>
      <c r="O24" s="307"/>
      <c r="P24" s="307"/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</row>
    <row r="25" ht="22.5" customHeight="1">
      <c r="A25" s="436">
        <f>+SUMMARY!A23</f>
        <v>44550</v>
      </c>
      <c r="B25" s="437">
        <f>+SUMMARY!B23</f>
        <v>42498.824</v>
      </c>
      <c r="C25" s="437">
        <f>+SUMMARY!C23</f>
        <v>38599.86759</v>
      </c>
      <c r="D25" s="437">
        <f>+SUMMARY!D23</f>
        <v>0</v>
      </c>
      <c r="E25" s="437">
        <f>+SUMMARY!E23</f>
        <v>192.6</v>
      </c>
      <c r="F25" s="437">
        <f>+SUMMARY!F23</f>
        <v>2211.350853</v>
      </c>
      <c r="G25" s="437">
        <f>+SUMMARY!G23</f>
        <v>1495.005558</v>
      </c>
      <c r="H25" s="438" t="str">
        <f>+SUMMARY!H23</f>
        <v/>
      </c>
      <c r="I25" s="439">
        <f t="shared" si="1"/>
        <v>0.03517757476</v>
      </c>
      <c r="J25" s="443"/>
      <c r="K25" s="444"/>
      <c r="L25" s="445"/>
      <c r="M25" s="445"/>
      <c r="N25" s="445"/>
      <c r="O25" s="445"/>
      <c r="P25" s="445"/>
      <c r="Q25" s="445"/>
      <c r="R25" s="445"/>
      <c r="S25" s="445"/>
      <c r="T25" s="445"/>
      <c r="U25" s="445"/>
      <c r="V25" s="445"/>
      <c r="W25" s="445"/>
      <c r="X25" s="445"/>
      <c r="Y25" s="445"/>
      <c r="Z25" s="445"/>
      <c r="AA25" s="445"/>
      <c r="AB25" s="445"/>
      <c r="AC25" s="445"/>
      <c r="AD25" s="445"/>
    </row>
    <row r="26" ht="22.5" customHeight="1">
      <c r="A26" s="436">
        <f>+SUMMARY!A24</f>
        <v>44551</v>
      </c>
      <c r="B26" s="437">
        <f>+SUMMARY!B24</f>
        <v>51812.5395</v>
      </c>
      <c r="C26" s="437">
        <f>+SUMMARY!C24</f>
        <v>47543.99022</v>
      </c>
      <c r="D26" s="437">
        <f>+SUMMARY!D24</f>
        <v>0</v>
      </c>
      <c r="E26" s="437">
        <f>+SUMMARY!E24</f>
        <v>157.2</v>
      </c>
      <c r="F26" s="437">
        <f>+SUMMARY!F24</f>
        <v>2383.992472</v>
      </c>
      <c r="G26" s="437">
        <f>+SUMMARY!G24</f>
        <v>1727.356804</v>
      </c>
      <c r="H26" s="438" t="str">
        <f>+SUMMARY!H24</f>
        <v/>
      </c>
      <c r="I26" s="439">
        <f t="shared" si="1"/>
        <v>0.033338586</v>
      </c>
      <c r="J26" s="440"/>
      <c r="K26" s="441"/>
      <c r="L26" s="307"/>
      <c r="M26" s="307"/>
      <c r="N26" s="307"/>
      <c r="O26" s="307"/>
      <c r="P26" s="307"/>
      <c r="Q26" s="307"/>
      <c r="R26" s="307"/>
      <c r="S26" s="30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</row>
    <row r="27" ht="22.5" customHeight="1">
      <c r="A27" s="436">
        <f>+SUMMARY!A25</f>
        <v>44552</v>
      </c>
      <c r="B27" s="437">
        <f>+SUMMARY!B25</f>
        <v>41459.244</v>
      </c>
      <c r="C27" s="437">
        <f>+SUMMARY!C25</f>
        <v>38670.27177</v>
      </c>
      <c r="D27" s="437">
        <f>+SUMMARY!D25</f>
        <v>0</v>
      </c>
      <c r="E27" s="437">
        <f>+SUMMARY!E25</f>
        <v>193.2</v>
      </c>
      <c r="F27" s="437">
        <f>+SUMMARY!F25</f>
        <v>934.4075244</v>
      </c>
      <c r="G27" s="437">
        <f>+SUMMARY!G25</f>
        <v>1661.364709</v>
      </c>
      <c r="H27" s="438" t="str">
        <f>+SUMMARY!H25</f>
        <v/>
      </c>
      <c r="I27" s="439">
        <f t="shared" si="1"/>
        <v>0.04007223838</v>
      </c>
      <c r="J27" s="440"/>
      <c r="K27" s="441"/>
      <c r="L27" s="307"/>
      <c r="M27" s="307"/>
      <c r="N27" s="307"/>
      <c r="O27" s="307"/>
      <c r="P27" s="307"/>
      <c r="Q27" s="307"/>
      <c r="R27" s="307"/>
      <c r="S27" s="307"/>
      <c r="T27" s="307"/>
      <c r="U27" s="307"/>
      <c r="V27" s="307"/>
      <c r="W27" s="307"/>
      <c r="X27" s="307"/>
      <c r="Y27" s="307"/>
      <c r="Z27" s="307"/>
      <c r="AA27" s="307"/>
      <c r="AB27" s="307"/>
      <c r="AC27" s="307"/>
      <c r="AD27" s="307"/>
    </row>
    <row r="28" ht="22.5" customHeight="1">
      <c r="A28" s="436">
        <f>+SUMMARY!A26</f>
        <v>44553</v>
      </c>
      <c r="B28" s="437">
        <f>+SUMMARY!B26</f>
        <v>32416.9951</v>
      </c>
      <c r="C28" s="437">
        <f>+SUMMARY!C26</f>
        <v>30448.34276</v>
      </c>
      <c r="D28" s="437">
        <f>+SUMMARY!D26</f>
        <v>0</v>
      </c>
      <c r="E28" s="437">
        <f>+SUMMARY!E26</f>
        <v>191.4</v>
      </c>
      <c r="F28" s="437">
        <f>+SUMMARY!F26</f>
        <v>970.3027349</v>
      </c>
      <c r="G28" s="437">
        <f>+SUMMARY!G26</f>
        <v>806.9496061</v>
      </c>
      <c r="H28" s="438" t="str">
        <f>+SUMMARY!H26</f>
        <v/>
      </c>
      <c r="I28" s="439">
        <f t="shared" si="1"/>
        <v>0.02489279477</v>
      </c>
      <c r="J28" s="440"/>
      <c r="K28" s="441"/>
      <c r="L28" s="307"/>
      <c r="M28" s="307"/>
      <c r="N28" s="307"/>
      <c r="O28" s="307"/>
      <c r="P28" s="307"/>
      <c r="Q28" s="307"/>
      <c r="R28" s="307"/>
      <c r="S28" s="307"/>
      <c r="T28" s="307"/>
      <c r="U28" s="307"/>
      <c r="V28" s="307"/>
      <c r="W28" s="307"/>
      <c r="X28" s="307"/>
      <c r="Y28" s="307"/>
      <c r="Z28" s="307"/>
      <c r="AA28" s="307"/>
      <c r="AB28" s="307"/>
      <c r="AC28" s="307"/>
      <c r="AD28" s="307"/>
    </row>
    <row r="29" ht="22.5" customHeight="1">
      <c r="A29" s="436">
        <f>+SUMMARY!A27</f>
        <v>44554</v>
      </c>
      <c r="B29" s="437">
        <f>+SUMMARY!B27</f>
        <v>47245.3448</v>
      </c>
      <c r="C29" s="437">
        <f>+SUMMARY!C27</f>
        <v>44537.77476</v>
      </c>
      <c r="D29" s="437">
        <f>+SUMMARY!D27</f>
        <v>0</v>
      </c>
      <c r="E29" s="437">
        <f>+SUMMARY!E27</f>
        <v>163.2</v>
      </c>
      <c r="F29" s="437">
        <f>+SUMMARY!F27</f>
        <v>903.1886236</v>
      </c>
      <c r="G29" s="437">
        <f>+SUMMARY!G27</f>
        <v>1641.181418</v>
      </c>
      <c r="H29" s="442" t="str">
        <f>+SUMMARY!H27</f>
        <v/>
      </c>
      <c r="I29" s="439">
        <f t="shared" si="1"/>
        <v>0.03473742068</v>
      </c>
      <c r="J29" s="440"/>
      <c r="K29" s="441"/>
      <c r="L29" s="307"/>
      <c r="M29" s="307"/>
      <c r="N29" s="307"/>
      <c r="O29" s="307"/>
      <c r="P29" s="307"/>
      <c r="Q29" s="307"/>
      <c r="R29" s="307"/>
      <c r="S29" s="307"/>
      <c r="T29" s="307"/>
      <c r="U29" s="307"/>
      <c r="V29" s="307"/>
      <c r="W29" s="307"/>
      <c r="X29" s="307"/>
      <c r="Y29" s="307"/>
      <c r="Z29" s="307"/>
      <c r="AA29" s="307"/>
      <c r="AB29" s="307"/>
      <c r="AC29" s="307"/>
      <c r="AD29" s="307"/>
    </row>
    <row r="30" ht="22.5" customHeight="1">
      <c r="A30" s="436">
        <f>+SUMMARY!A28</f>
        <v>44555</v>
      </c>
      <c r="B30" s="437">
        <f>+SUMMARY!B28</f>
        <v>40892.6312</v>
      </c>
      <c r="C30" s="437">
        <f>+SUMMARY!C28</f>
        <v>37974.33568</v>
      </c>
      <c r="D30" s="437">
        <f>+SUMMARY!D28</f>
        <v>0</v>
      </c>
      <c r="E30" s="437">
        <f>+SUMMARY!E28</f>
        <v>202.8</v>
      </c>
      <c r="F30" s="437">
        <f>+SUMMARY!F28</f>
        <v>1565.157998</v>
      </c>
      <c r="G30" s="437">
        <f>+SUMMARY!G28</f>
        <v>1150.337527</v>
      </c>
      <c r="H30" s="438" t="str">
        <f>+SUMMARY!H28</f>
        <v/>
      </c>
      <c r="I30" s="439">
        <f t="shared" si="1"/>
        <v>0.02813068011</v>
      </c>
      <c r="J30" s="440"/>
      <c r="K30" s="441"/>
      <c r="L30" s="307"/>
      <c r="M30" s="307"/>
      <c r="N30" s="307"/>
      <c r="O30" s="307"/>
      <c r="P30" s="307"/>
      <c r="Q30" s="307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</row>
    <row r="31" ht="22.5" customHeight="1">
      <c r="A31" s="436">
        <f>+SUMMARY!A29</f>
        <v>44557</v>
      </c>
      <c r="B31" s="437">
        <f>+SUMMARY!B29</f>
        <v>54168.1505</v>
      </c>
      <c r="C31" s="437">
        <f>+SUMMARY!C29</f>
        <v>49238.03389</v>
      </c>
      <c r="D31" s="437">
        <f>+SUMMARY!D29</f>
        <v>0</v>
      </c>
      <c r="E31" s="437">
        <f>+SUMMARY!E29</f>
        <v>242.4</v>
      </c>
      <c r="F31" s="437">
        <f>+SUMMARY!F29</f>
        <v>2068.939212</v>
      </c>
      <c r="G31" s="437">
        <f>+SUMMARY!G29</f>
        <v>2618.777397</v>
      </c>
      <c r="H31" s="438" t="str">
        <f>+SUMMARY!H29</f>
        <v/>
      </c>
      <c r="I31" s="439">
        <f t="shared" si="1"/>
        <v>0.04834533527</v>
      </c>
      <c r="J31" s="440"/>
      <c r="K31" s="441"/>
      <c r="L31" s="307"/>
      <c r="M31" s="307"/>
      <c r="N31" s="307"/>
      <c r="O31" s="307"/>
      <c r="P31" s="307"/>
      <c r="Q31" s="307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</row>
    <row r="32" ht="22.5" customHeight="1">
      <c r="A32" s="436">
        <f>+SUMMARY!A30</f>
        <v>44558</v>
      </c>
      <c r="B32" s="437">
        <f>+SUMMARY!B30</f>
        <v>43533.2527</v>
      </c>
      <c r="C32" s="437">
        <f>+SUMMARY!C30</f>
        <v>40565.30544</v>
      </c>
      <c r="D32" s="437">
        <f>+SUMMARY!D30</f>
        <v>0</v>
      </c>
      <c r="E32" s="437">
        <f>+SUMMARY!E30</f>
        <v>244.8</v>
      </c>
      <c r="F32" s="437">
        <f>+SUMMARY!F30</f>
        <v>1442.964291</v>
      </c>
      <c r="G32" s="437">
        <f>+SUMMARY!G30</f>
        <v>1280.182973</v>
      </c>
      <c r="H32" s="442" t="str">
        <f>+SUMMARY!H30</f>
        <v/>
      </c>
      <c r="I32" s="439">
        <f t="shared" si="1"/>
        <v>0.02940701402</v>
      </c>
      <c r="J32" s="440"/>
      <c r="K32" s="441"/>
      <c r="L32" s="307"/>
      <c r="M32" s="307"/>
      <c r="N32" s="307"/>
      <c r="O32" s="307"/>
      <c r="P32" s="307"/>
      <c r="Q32" s="307"/>
      <c r="R32" s="307"/>
      <c r="S32" s="307"/>
      <c r="T32" s="307"/>
      <c r="U32" s="307"/>
      <c r="V32" s="307"/>
      <c r="W32" s="307"/>
      <c r="X32" s="307"/>
      <c r="Y32" s="307"/>
      <c r="Z32" s="307"/>
      <c r="AA32" s="307"/>
      <c r="AB32" s="307"/>
      <c r="AC32" s="307"/>
      <c r="AD32" s="307"/>
    </row>
    <row r="33" ht="22.5" customHeight="1">
      <c r="A33" s="436" t="str">
        <f>+SUMMARY!#REF!</f>
        <v>#ERROR!</v>
      </c>
      <c r="B33" s="437" t="str">
        <f>+SUMMARY!#REF!</f>
        <v>#ERROR!</v>
      </c>
      <c r="C33" s="437" t="str">
        <f>+SUMMARY!#REF!</f>
        <v>#ERROR!</v>
      </c>
      <c r="D33" s="437" t="str">
        <f>+SUMMARY!#REF!</f>
        <v>#ERROR!</v>
      </c>
      <c r="E33" s="437" t="str">
        <f>+SUMMARY!#REF!</f>
        <v>#ERROR!</v>
      </c>
      <c r="F33" s="437" t="str">
        <f>+SUMMARY!#REF!</f>
        <v>#ERROR!</v>
      </c>
      <c r="G33" s="437" t="str">
        <f>+SUMMARY!#REF!</f>
        <v>#ERROR!</v>
      </c>
      <c r="H33" s="438" t="str">
        <f>+SUMMARY!#REF!</f>
        <v>#ERROR!</v>
      </c>
      <c r="I33" s="439" t="str">
        <f t="shared" si="1"/>
        <v>#ERROR!</v>
      </c>
      <c r="J33" s="440"/>
      <c r="K33" s="441"/>
      <c r="L33" s="307"/>
      <c r="M33" s="307"/>
      <c r="N33" s="307"/>
      <c r="O33" s="30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</row>
    <row r="34" ht="22.5" customHeight="1">
      <c r="A34" s="436" t="str">
        <f>+SUMMARY!#REF!</f>
        <v>#ERROR!</v>
      </c>
      <c r="B34" s="437" t="str">
        <f>+SUMMARY!#REF!</f>
        <v>#ERROR!</v>
      </c>
      <c r="C34" s="437" t="str">
        <f>+SUMMARY!#REF!</f>
        <v>#ERROR!</v>
      </c>
      <c r="D34" s="437" t="str">
        <f>+SUMMARY!#REF!</f>
        <v>#ERROR!</v>
      </c>
      <c r="E34" s="437" t="str">
        <f>+SUMMARY!#REF!</f>
        <v>#ERROR!</v>
      </c>
      <c r="F34" s="437" t="str">
        <f>+SUMMARY!#REF!</f>
        <v>#ERROR!</v>
      </c>
      <c r="G34" s="437" t="str">
        <f>+SUMMARY!#REF!</f>
        <v>#ERROR!</v>
      </c>
      <c r="H34" s="438" t="str">
        <f>+SUMMARY!#REF!</f>
        <v>#ERROR!</v>
      </c>
      <c r="I34" s="439" t="str">
        <f t="shared" si="1"/>
        <v>#ERROR!</v>
      </c>
      <c r="J34" s="440"/>
      <c r="K34" s="441"/>
      <c r="L34" s="307"/>
      <c r="M34" s="307"/>
      <c r="N34" s="307"/>
      <c r="O34" s="307"/>
      <c r="P34" s="307"/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</row>
    <row r="35" ht="22.5" customHeight="1">
      <c r="A35" s="436" t="str">
        <f>+SUMMARY!#REF!</f>
        <v>#ERROR!</v>
      </c>
      <c r="B35" s="437" t="str">
        <f>+SUMMARY!#REF!</f>
        <v>#ERROR!</v>
      </c>
      <c r="C35" s="437" t="str">
        <f>+SUMMARY!#REF!</f>
        <v>#ERROR!</v>
      </c>
      <c r="D35" s="437" t="str">
        <f>+SUMMARY!#REF!</f>
        <v>#ERROR!</v>
      </c>
      <c r="E35" s="437" t="str">
        <f>+SUMMARY!#REF!</f>
        <v>#ERROR!</v>
      </c>
      <c r="F35" s="437" t="str">
        <f>+SUMMARY!#REF!</f>
        <v>#ERROR!</v>
      </c>
      <c r="G35" s="437" t="str">
        <f>+SUMMARY!#REF!</f>
        <v>#ERROR!</v>
      </c>
      <c r="H35" s="438" t="str">
        <f>+SUMMARY!#REF!</f>
        <v>#ERROR!</v>
      </c>
      <c r="I35" s="439" t="str">
        <f t="shared" si="1"/>
        <v>#ERROR!</v>
      </c>
      <c r="J35" s="440"/>
      <c r="K35" s="441"/>
      <c r="L35" s="307"/>
      <c r="M35" s="307"/>
      <c r="N35" s="307"/>
      <c r="O35" s="307"/>
      <c r="P35" s="307"/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</row>
    <row r="36" ht="22.5" customHeight="1">
      <c r="A36" s="436" t="str">
        <f>+SUMMARY!#REF!</f>
        <v>#ERROR!</v>
      </c>
      <c r="B36" s="437" t="str">
        <f>+SUMMARY!#REF!</f>
        <v>#ERROR!</v>
      </c>
      <c r="C36" s="437" t="str">
        <f>+SUMMARY!#REF!</f>
        <v>#ERROR!</v>
      </c>
      <c r="D36" s="437" t="str">
        <f>+SUMMARY!#REF!</f>
        <v>#ERROR!</v>
      </c>
      <c r="E36" s="437" t="str">
        <f>+SUMMARY!#REF!</f>
        <v>#ERROR!</v>
      </c>
      <c r="F36" s="437" t="str">
        <f>+SUMMARY!#REF!</f>
        <v>#ERROR!</v>
      </c>
      <c r="G36" s="437" t="str">
        <f>+SUMMARY!#REF!</f>
        <v>#ERROR!</v>
      </c>
      <c r="H36" s="438" t="str">
        <f>+SUMMARY!#REF!</f>
        <v>#ERROR!</v>
      </c>
      <c r="I36" s="439" t="str">
        <f t="shared" si="1"/>
        <v>#ERROR!</v>
      </c>
      <c r="J36" s="440"/>
      <c r="K36" s="441"/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</row>
    <row r="37" ht="22.5" customHeight="1">
      <c r="A37" s="436" t="str">
        <f>+SUMMARY!#REF!</f>
        <v>#ERROR!</v>
      </c>
      <c r="B37" s="437" t="str">
        <f>+SUMMARY!#REF!</f>
        <v>#ERROR!</v>
      </c>
      <c r="C37" s="437" t="str">
        <f>+SUMMARY!#REF!</f>
        <v>#ERROR!</v>
      </c>
      <c r="D37" s="437" t="str">
        <f>+SUMMARY!#REF!</f>
        <v>#ERROR!</v>
      </c>
      <c r="E37" s="437" t="str">
        <f>+SUMMARY!#REF!</f>
        <v>#ERROR!</v>
      </c>
      <c r="F37" s="437" t="str">
        <f>+SUMMARY!#REF!</f>
        <v>#ERROR!</v>
      </c>
      <c r="G37" s="437" t="str">
        <f>+SUMMARY!#REF!</f>
        <v>#ERROR!</v>
      </c>
      <c r="H37" s="438" t="str">
        <f>+SUMMARY!#REF!</f>
        <v>#ERROR!</v>
      </c>
      <c r="I37" s="439" t="str">
        <f t="shared" si="1"/>
        <v>#ERROR!</v>
      </c>
      <c r="J37" s="440"/>
      <c r="K37" s="441"/>
      <c r="L37" s="307"/>
      <c r="M37" s="307"/>
      <c r="N37" s="307"/>
      <c r="O37" s="307"/>
      <c r="P37" s="307"/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</row>
    <row r="38" ht="30.0" customHeight="1">
      <c r="A38" s="446" t="s">
        <v>117</v>
      </c>
      <c r="B38" s="447" t="str">
        <f t="shared" ref="B38:G38" si="2">SUM(B8:B37)</f>
        <v>#ERROR!</v>
      </c>
      <c r="C38" s="447" t="str">
        <f t="shared" si="2"/>
        <v>#ERROR!</v>
      </c>
      <c r="D38" s="447" t="str">
        <f t="shared" si="2"/>
        <v>#ERROR!</v>
      </c>
      <c r="E38" s="447" t="str">
        <f t="shared" si="2"/>
        <v>#ERROR!</v>
      </c>
      <c r="F38" s="447" t="str">
        <f t="shared" si="2"/>
        <v>#ERROR!</v>
      </c>
      <c r="G38" s="447" t="str">
        <f t="shared" si="2"/>
        <v>#ERROR!</v>
      </c>
      <c r="H38" s="448" t="str">
        <f>+SUMMARY!H31</f>
        <v/>
      </c>
      <c r="I38" s="449" t="str">
        <f>+G38/B38</f>
        <v>#ERROR!</v>
      </c>
      <c r="J38" s="450"/>
      <c r="K38" s="307"/>
      <c r="L38" s="307"/>
      <c r="M38" s="307"/>
      <c r="N38" s="307"/>
      <c r="O38" s="307"/>
      <c r="P38" s="307"/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</row>
    <row r="39" ht="24.75" customHeight="1">
      <c r="A39" s="451" t="s">
        <v>49</v>
      </c>
      <c r="B39" s="343"/>
      <c r="C39" s="452" t="str">
        <f>+C38/B38</f>
        <v>#ERROR!</v>
      </c>
      <c r="D39" s="452" t="str">
        <f>+D38/B38</f>
        <v>#ERROR!</v>
      </c>
      <c r="E39" s="452" t="str">
        <f>+E38/B38</f>
        <v>#ERROR!</v>
      </c>
      <c r="F39" s="452" t="str">
        <f>+F38/B38</f>
        <v>#ERROR!</v>
      </c>
      <c r="G39" s="453" t="str">
        <f>+G38/B38</f>
        <v>#ERROR!</v>
      </c>
      <c r="H39" s="454" t="str">
        <f>+SUMMARY!H32</f>
        <v/>
      </c>
      <c r="I39" s="361"/>
      <c r="J39" s="455"/>
      <c r="K39" s="307"/>
      <c r="L39" s="307"/>
      <c r="M39" s="307"/>
      <c r="N39" s="307"/>
      <c r="O39" s="307"/>
      <c r="P39" s="307"/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</row>
    <row r="40" ht="24.75" customHeight="1">
      <c r="A40" s="456" t="s">
        <v>224</v>
      </c>
      <c r="B40" s="457"/>
      <c r="C40" s="458"/>
      <c r="D40" s="458">
        <v>0.0053</v>
      </c>
      <c r="E40" s="458">
        <v>0.0084</v>
      </c>
      <c r="F40" s="458"/>
      <c r="G40" s="459">
        <v>0.0061</v>
      </c>
      <c r="H40" s="460"/>
      <c r="I40" s="307"/>
      <c r="J40" s="307"/>
      <c r="K40" s="307"/>
      <c r="L40" s="307"/>
      <c r="M40" s="307"/>
      <c r="N40" s="307"/>
      <c r="O40" s="307"/>
      <c r="P40" s="307"/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</row>
    <row r="41" ht="40.5" customHeight="1">
      <c r="A41" s="461"/>
      <c r="B41" s="307"/>
      <c r="C41" s="307"/>
      <c r="D41" s="307" t="s">
        <v>225</v>
      </c>
      <c r="E41" s="307"/>
      <c r="F41" s="354" t="str">
        <f>+D38+E38+F38+G38</f>
        <v>#ERROR!</v>
      </c>
      <c r="G41" s="307"/>
      <c r="H41" s="462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</row>
    <row r="42" ht="20.25" customHeight="1">
      <c r="A42" s="461"/>
      <c r="B42" s="307"/>
      <c r="C42" s="307"/>
      <c r="D42" s="307" t="s">
        <v>226</v>
      </c>
      <c r="E42" s="307"/>
      <c r="F42" s="356" t="str">
        <f>+F41/B38</f>
        <v>#ERROR!</v>
      </c>
      <c r="G42" s="307"/>
      <c r="H42" s="462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</row>
    <row r="43" ht="20.25" customHeight="1">
      <c r="A43" s="461"/>
      <c r="B43" s="307"/>
      <c r="C43" s="307"/>
      <c r="D43" s="307" t="s">
        <v>227</v>
      </c>
      <c r="E43" s="307"/>
      <c r="F43" s="356" t="str">
        <f t="shared" ref="F43:F44" si="3">+D39+E39+G39</f>
        <v>#ERROR!</v>
      </c>
      <c r="G43" s="307"/>
      <c r="H43" s="462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307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</row>
    <row r="44" ht="20.25" customHeight="1">
      <c r="A44" s="461"/>
      <c r="B44" s="307"/>
      <c r="C44" s="310" t="s">
        <v>228</v>
      </c>
      <c r="D44" s="310"/>
      <c r="E44" s="310"/>
      <c r="F44" s="349">
        <f t="shared" si="3"/>
        <v>0.0198</v>
      </c>
      <c r="G44" s="307"/>
      <c r="H44" s="462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</row>
    <row r="45" ht="20.25" customHeight="1">
      <c r="A45" s="461" t="s">
        <v>229</v>
      </c>
      <c r="B45" s="307"/>
      <c r="C45" s="307"/>
      <c r="D45" s="358">
        <v>9.0</v>
      </c>
      <c r="E45" s="307"/>
      <c r="F45" s="307"/>
      <c r="G45" s="307"/>
      <c r="H45" s="462"/>
      <c r="I45" s="307"/>
      <c r="J45" s="307"/>
      <c r="K45" s="307"/>
      <c r="L45" s="307"/>
      <c r="M45" s="307"/>
      <c r="N45" s="307"/>
      <c r="O45" s="307"/>
      <c r="P45" s="307"/>
      <c r="Q45" s="307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</row>
    <row r="46" ht="20.25" customHeight="1">
      <c r="A46" s="461"/>
      <c r="B46" s="307"/>
      <c r="C46" s="307" t="s">
        <v>230</v>
      </c>
      <c r="D46" s="359" t="str">
        <f t="shared" ref="D46:E46" si="4">+$D$45*D38</f>
        <v>#ERROR!</v>
      </c>
      <c r="E46" s="359" t="str">
        <f t="shared" si="4"/>
        <v>#ERROR!</v>
      </c>
      <c r="F46" s="359"/>
      <c r="G46" s="359" t="str">
        <f>+$D$45*G38</f>
        <v>#ERROR!</v>
      </c>
      <c r="H46" s="462"/>
      <c r="I46" s="307"/>
      <c r="J46" s="307"/>
      <c r="K46" s="307"/>
      <c r="L46" s="307"/>
      <c r="M46" s="307"/>
      <c r="N46" s="307"/>
      <c r="O46" s="307"/>
      <c r="P46" s="307"/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</row>
    <row r="47" ht="21.0" customHeight="1">
      <c r="A47" s="463"/>
      <c r="B47" s="361"/>
      <c r="C47" s="361"/>
      <c r="D47" s="361"/>
      <c r="E47" s="361"/>
      <c r="F47" s="361"/>
      <c r="G47" s="361"/>
      <c r="H47" s="464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307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</row>
    <row r="48" ht="20.25" customHeight="1">
      <c r="A48" s="307"/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307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</row>
    <row r="49" ht="20.25" customHeight="1">
      <c r="A49" s="307"/>
      <c r="B49" s="307"/>
      <c r="C49" s="307"/>
      <c r="D49" s="307"/>
      <c r="E49" s="307"/>
      <c r="F49" s="441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</row>
    <row r="50" ht="20.25" customHeight="1">
      <c r="A50" s="307"/>
      <c r="B50" s="307"/>
      <c r="C50" s="307"/>
      <c r="D50" s="307"/>
      <c r="E50" s="441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</row>
    <row r="51" ht="20.25" customHeight="1">
      <c r="A51" s="307"/>
      <c r="B51" s="307"/>
      <c r="C51" s="307"/>
      <c r="D51" s="307"/>
      <c r="E51" s="307"/>
      <c r="F51" s="307"/>
      <c r="G51" s="307"/>
      <c r="H51" s="307"/>
      <c r="I51" s="307"/>
      <c r="J51" s="307"/>
      <c r="K51" s="307"/>
      <c r="L51" s="307"/>
      <c r="M51" s="307"/>
      <c r="N51" s="307"/>
      <c r="O51" s="307"/>
      <c r="P51" s="307"/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</row>
    <row r="52" ht="20.25" customHeight="1">
      <c r="A52" s="307"/>
      <c r="B52" s="307"/>
      <c r="C52" s="307"/>
      <c r="D52" s="307"/>
      <c r="E52" s="307"/>
      <c r="F52" s="307"/>
      <c r="G52" s="307"/>
      <c r="H52" s="307"/>
      <c r="I52" s="307"/>
      <c r="J52" s="307"/>
      <c r="K52" s="307"/>
      <c r="L52" s="307"/>
      <c r="M52" s="307"/>
      <c r="N52" s="307"/>
      <c r="O52" s="307"/>
      <c r="P52" s="307"/>
      <c r="Q52" s="307"/>
      <c r="R52" s="307"/>
      <c r="S52" s="307"/>
      <c r="T52" s="307"/>
      <c r="U52" s="307"/>
      <c r="V52" s="307"/>
      <c r="W52" s="307"/>
      <c r="X52" s="307"/>
      <c r="Y52" s="307"/>
      <c r="Z52" s="307"/>
      <c r="AA52" s="307"/>
      <c r="AB52" s="307"/>
      <c r="AC52" s="307"/>
      <c r="AD52" s="307"/>
    </row>
    <row r="53" ht="20.25" customHeight="1">
      <c r="A53" s="307"/>
      <c r="B53" s="307"/>
      <c r="C53" s="307"/>
      <c r="D53" s="307"/>
      <c r="E53" s="307"/>
      <c r="F53" s="307"/>
      <c r="G53" s="307"/>
      <c r="H53" s="307"/>
      <c r="I53" s="307"/>
      <c r="J53" s="307"/>
      <c r="K53" s="307"/>
      <c r="L53" s="307"/>
      <c r="M53" s="307"/>
      <c r="N53" s="307"/>
      <c r="O53" s="307"/>
      <c r="P53" s="307"/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</row>
    <row r="54" ht="20.25" customHeight="1">
      <c r="A54" s="307"/>
      <c r="B54" s="307"/>
      <c r="C54" s="307"/>
      <c r="D54" s="307"/>
      <c r="E54" s="307"/>
      <c r="F54" s="307"/>
      <c r="G54" s="307"/>
      <c r="H54" s="307"/>
      <c r="I54" s="307"/>
      <c r="J54" s="307"/>
      <c r="K54" s="307"/>
      <c r="L54" s="307"/>
      <c r="M54" s="307"/>
      <c r="N54" s="307"/>
      <c r="O54" s="307"/>
      <c r="P54" s="307"/>
      <c r="Q54" s="307"/>
      <c r="R54" s="307"/>
      <c r="S54" s="307"/>
      <c r="T54" s="307"/>
      <c r="U54" s="307"/>
      <c r="V54" s="307"/>
      <c r="W54" s="307"/>
      <c r="X54" s="307"/>
      <c r="Y54" s="307"/>
      <c r="Z54" s="307"/>
      <c r="AA54" s="307"/>
      <c r="AB54" s="307"/>
      <c r="AC54" s="307"/>
      <c r="AD54" s="307"/>
    </row>
    <row r="55" ht="20.25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307"/>
      <c r="V55" s="307"/>
      <c r="W55" s="307"/>
      <c r="X55" s="307"/>
      <c r="Y55" s="307"/>
      <c r="Z55" s="307"/>
      <c r="AA55" s="307"/>
      <c r="AB55" s="307"/>
      <c r="AC55" s="307"/>
      <c r="AD55" s="307"/>
    </row>
    <row r="56" ht="20.25" customHeight="1">
      <c r="A56" s="307"/>
      <c r="B56" s="307"/>
      <c r="C56" s="307"/>
      <c r="D56" s="307"/>
      <c r="E56" s="307"/>
      <c r="F56" s="307"/>
      <c r="G56" s="307"/>
      <c r="H56" s="307"/>
      <c r="I56" s="307"/>
      <c r="J56" s="307"/>
      <c r="K56" s="307"/>
      <c r="L56" s="307"/>
      <c r="M56" s="307"/>
      <c r="N56" s="307"/>
      <c r="O56" s="307"/>
      <c r="P56" s="307"/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</row>
    <row r="57" ht="20.25" customHeight="1">
      <c r="A57" s="307"/>
      <c r="B57" s="307"/>
      <c r="C57" s="307"/>
      <c r="D57" s="307"/>
      <c r="E57" s="307"/>
      <c r="F57" s="307"/>
      <c r="G57" s="307"/>
      <c r="H57" s="307"/>
      <c r="I57" s="307"/>
      <c r="J57" s="307"/>
      <c r="K57" s="307"/>
      <c r="L57" s="307"/>
      <c r="M57" s="307"/>
      <c r="N57" s="307"/>
      <c r="O57" s="307"/>
      <c r="P57" s="307"/>
      <c r="Q57" s="307"/>
      <c r="R57" s="307"/>
      <c r="S57" s="307"/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</row>
    <row r="58" ht="20.25" customHeight="1">
      <c r="A58" s="307"/>
      <c r="B58" s="307"/>
      <c r="C58" s="307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</row>
    <row r="59" ht="20.25" customHeight="1">
      <c r="A59" s="307"/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30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</row>
    <row r="60" ht="20.25" customHeight="1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</row>
    <row r="61" ht="20.25" customHeight="1">
      <c r="A61" s="307"/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30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</row>
    <row r="62" ht="20.25" customHeight="1">
      <c r="A62" s="307"/>
      <c r="B62" s="307"/>
      <c r="C62" s="307"/>
      <c r="D62" s="307"/>
      <c r="E62" s="307"/>
      <c r="F62" s="307"/>
      <c r="G62" s="307"/>
      <c r="H62" s="307"/>
      <c r="I62" s="307"/>
      <c r="J62" s="307"/>
      <c r="K62" s="307"/>
      <c r="L62" s="307"/>
      <c r="M62" s="307"/>
      <c r="N62" s="307"/>
      <c r="O62" s="307"/>
      <c r="P62" s="307"/>
      <c r="Q62" s="307"/>
      <c r="R62" s="307"/>
      <c r="S62" s="30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</row>
    <row r="63" ht="20.25" customHeight="1">
      <c r="A63" s="307"/>
      <c r="B63" s="307"/>
      <c r="C63" s="307"/>
      <c r="D63" s="307"/>
      <c r="E63" s="307"/>
      <c r="F63" s="307"/>
      <c r="G63" s="307"/>
      <c r="H63" s="307"/>
      <c r="I63" s="307"/>
      <c r="J63" s="307"/>
      <c r="K63" s="307"/>
      <c r="L63" s="307"/>
      <c r="M63" s="307"/>
      <c r="N63" s="307"/>
      <c r="O63" s="307"/>
      <c r="P63" s="307"/>
      <c r="Q63" s="307"/>
      <c r="R63" s="307"/>
      <c r="S63" s="30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</row>
    <row r="64" ht="20.25" customHeight="1">
      <c r="A64" s="307"/>
      <c r="B64" s="307"/>
      <c r="C64" s="307"/>
      <c r="D64" s="307"/>
      <c r="E64" s="307"/>
      <c r="F64" s="307"/>
      <c r="G64" s="307"/>
      <c r="H64" s="307"/>
      <c r="I64" s="307"/>
      <c r="J64" s="307"/>
      <c r="K64" s="307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</row>
    <row r="65" ht="20.25" customHeight="1">
      <c r="A65" s="307"/>
      <c r="B65" s="307"/>
      <c r="C65" s="307"/>
      <c r="D65" s="307"/>
      <c r="E65" s="307"/>
      <c r="F65" s="307"/>
      <c r="G65" s="307"/>
      <c r="H65" s="307"/>
      <c r="I65" s="307"/>
      <c r="J65" s="307"/>
      <c r="K65" s="307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</row>
    <row r="66" ht="20.25" customHeight="1">
      <c r="A66" s="307"/>
      <c r="B66" s="307"/>
      <c r="C66" s="307"/>
      <c r="D66" s="307"/>
      <c r="E66" s="307"/>
      <c r="F66" s="307"/>
      <c r="G66" s="307"/>
      <c r="H66" s="307"/>
      <c r="I66" s="307"/>
      <c r="J66" s="307"/>
      <c r="K66" s="307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</row>
    <row r="67" ht="20.25" customHeight="1">
      <c r="A67" s="307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</row>
    <row r="68" ht="20.25" customHeight="1">
      <c r="A68" s="307"/>
      <c r="B68" s="307"/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</row>
    <row r="69" ht="20.25" customHeight="1">
      <c r="A69" s="307"/>
      <c r="B69" s="307"/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</row>
    <row r="70" ht="20.25" customHeight="1">
      <c r="A70" s="307"/>
      <c r="B70" s="307"/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</row>
    <row r="71" ht="20.25" customHeight="1">
      <c r="A71" s="307"/>
      <c r="B71" s="307"/>
      <c r="C71" s="307"/>
      <c r="D71" s="307"/>
      <c r="E71" s="307"/>
      <c r="F71" s="307"/>
      <c r="G71" s="307"/>
      <c r="H71" s="307"/>
      <c r="I71" s="307"/>
      <c r="J71" s="307"/>
      <c r="K71" s="307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</row>
    <row r="72" ht="20.25" customHeight="1">
      <c r="A72" s="307"/>
      <c r="B72" s="307"/>
      <c r="C72" s="307"/>
      <c r="D72" s="307"/>
      <c r="E72" s="307"/>
      <c r="F72" s="307"/>
      <c r="G72" s="307"/>
      <c r="H72" s="307"/>
      <c r="I72" s="307"/>
      <c r="J72" s="307"/>
      <c r="K72" s="307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</row>
    <row r="73" ht="20.25" customHeight="1">
      <c r="A73" s="307"/>
      <c r="B73" s="307"/>
      <c r="C73" s="307"/>
      <c r="D73" s="307"/>
      <c r="E73" s="307"/>
      <c r="F73" s="307"/>
      <c r="G73" s="307"/>
      <c r="H73" s="307"/>
      <c r="I73" s="307"/>
      <c r="J73" s="307"/>
      <c r="K73" s="307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</row>
    <row r="74" ht="20.25" customHeight="1">
      <c r="A74" s="307"/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</row>
    <row r="75" ht="20.25" customHeight="1">
      <c r="A75" s="307"/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</row>
    <row r="76" ht="20.25" customHeight="1">
      <c r="A76" s="307"/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</row>
    <row r="77" ht="20.25" customHeight="1">
      <c r="A77" s="307"/>
      <c r="B77" s="307"/>
      <c r="C77" s="307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</row>
    <row r="78" ht="20.25" customHeight="1">
      <c r="A78" s="307"/>
      <c r="B78" s="307"/>
      <c r="C78" s="307"/>
      <c r="D78" s="307"/>
      <c r="E78" s="307"/>
      <c r="F78" s="307"/>
      <c r="G78" s="307"/>
      <c r="H78" s="307"/>
      <c r="I78" s="307"/>
      <c r="J78" s="307"/>
      <c r="K78" s="307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</row>
    <row r="79" ht="20.25" customHeight="1">
      <c r="A79" s="307"/>
      <c r="B79" s="307"/>
      <c r="C79" s="307"/>
      <c r="D79" s="307"/>
      <c r="E79" s="307"/>
      <c r="F79" s="307"/>
      <c r="G79" s="307"/>
      <c r="H79" s="307"/>
      <c r="I79" s="307"/>
      <c r="J79" s="307"/>
      <c r="K79" s="307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</row>
    <row r="80" ht="20.25" customHeight="1">
      <c r="A80" s="307"/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</row>
    <row r="81" ht="20.25" customHeight="1">
      <c r="A81" s="307"/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</row>
    <row r="82" ht="20.25" customHeight="1">
      <c r="A82" s="307"/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</row>
    <row r="83" ht="20.25" customHeight="1">
      <c r="A83" s="307"/>
      <c r="B83" s="307"/>
      <c r="C83" s="307"/>
      <c r="D83" s="307"/>
      <c r="E83" s="307"/>
      <c r="F83" s="307"/>
      <c r="G83" s="307"/>
      <c r="H83" s="307"/>
      <c r="I83" s="307"/>
      <c r="J83" s="307"/>
      <c r="K83" s="307"/>
      <c r="L83" s="307"/>
      <c r="M83" s="307"/>
      <c r="N83" s="307"/>
      <c r="O83" s="307"/>
      <c r="P83" s="307"/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</row>
    <row r="84" ht="20.25" customHeight="1">
      <c r="A84" s="307"/>
      <c r="B84" s="307"/>
      <c r="C84" s="307"/>
      <c r="D84" s="307"/>
      <c r="E84" s="307"/>
      <c r="F84" s="307"/>
      <c r="G84" s="307"/>
      <c r="H84" s="307"/>
      <c r="I84" s="307"/>
      <c r="J84" s="307"/>
      <c r="K84" s="307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</row>
    <row r="85" ht="20.25" customHeight="1">
      <c r="A85" s="307"/>
      <c r="B85" s="307"/>
      <c r="C85" s="307"/>
      <c r="D85" s="307"/>
      <c r="E85" s="307"/>
      <c r="F85" s="307"/>
      <c r="G85" s="307"/>
      <c r="H85" s="307"/>
      <c r="I85" s="307"/>
      <c r="J85" s="307"/>
      <c r="K85" s="307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</row>
    <row r="86" ht="20.25" customHeight="1">
      <c r="A86" s="307"/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</row>
    <row r="87" ht="20.25" customHeight="1">
      <c r="A87" s="307"/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</row>
    <row r="88" ht="20.25" customHeight="1">
      <c r="A88" s="307"/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</row>
    <row r="89" ht="20.25" customHeight="1">
      <c r="A89" s="307"/>
      <c r="B89" s="307"/>
      <c r="C89" s="307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</row>
    <row r="90" ht="20.25" customHeight="1">
      <c r="A90" s="307"/>
      <c r="B90" s="307"/>
      <c r="C90" s="307"/>
      <c r="D90" s="307"/>
      <c r="E90" s="307"/>
      <c r="F90" s="307"/>
      <c r="G90" s="307"/>
      <c r="H90" s="307"/>
      <c r="I90" s="307"/>
      <c r="J90" s="307"/>
      <c r="K90" s="307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</row>
    <row r="91" ht="20.25" customHeight="1">
      <c r="A91" s="307"/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</row>
    <row r="92" ht="20.25" customHeight="1">
      <c r="A92" s="307"/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</row>
    <row r="93" ht="20.25" customHeight="1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</row>
    <row r="94" ht="20.25" customHeight="1">
      <c r="A94" s="307"/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</row>
    <row r="95" ht="20.25" customHeight="1">
      <c r="A95" s="307"/>
      <c r="B95" s="307"/>
      <c r="C95" s="307"/>
      <c r="D95" s="307"/>
      <c r="E95" s="307"/>
      <c r="F95" s="307"/>
      <c r="G95" s="307"/>
      <c r="H95" s="307"/>
      <c r="I95" s="307"/>
      <c r="J95" s="307"/>
      <c r="K95" s="307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</row>
    <row r="96" ht="20.25" customHeight="1">
      <c r="A96" s="307"/>
      <c r="B96" s="307"/>
      <c r="C96" s="307"/>
      <c r="D96" s="307"/>
      <c r="E96" s="307"/>
      <c r="F96" s="307"/>
      <c r="G96" s="307"/>
      <c r="H96" s="307"/>
      <c r="I96" s="307"/>
      <c r="J96" s="307"/>
      <c r="K96" s="307"/>
      <c r="L96" s="307"/>
      <c r="M96" s="307"/>
      <c r="N96" s="307"/>
      <c r="O96" s="307"/>
      <c r="P96" s="307"/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</row>
    <row r="97" ht="20.25" customHeight="1">
      <c r="A97" s="307"/>
      <c r="B97" s="307"/>
      <c r="C97" s="307"/>
      <c r="D97" s="307"/>
      <c r="E97" s="307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</row>
    <row r="98" ht="20.25" customHeight="1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</row>
    <row r="99" ht="20.25" customHeight="1">
      <c r="A99" s="307"/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</row>
    <row r="100" ht="20.25" customHeight="1">
      <c r="A100" s="307"/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</row>
    <row r="101" ht="20.25" customHeight="1">
      <c r="A101" s="307"/>
      <c r="B101" s="307"/>
      <c r="C101" s="307"/>
      <c r="D101" s="307"/>
      <c r="E101" s="307"/>
      <c r="F101" s="307"/>
      <c r="G101" s="307"/>
      <c r="H101" s="307"/>
      <c r="I101" s="307"/>
      <c r="J101" s="307"/>
      <c r="K101" s="307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</row>
    <row r="102" ht="20.25" customHeight="1">
      <c r="A102" s="307"/>
      <c r="B102" s="307"/>
      <c r="C102" s="307"/>
      <c r="D102" s="307"/>
      <c r="E102" s="307"/>
      <c r="F102" s="307"/>
      <c r="G102" s="307"/>
      <c r="H102" s="307"/>
      <c r="I102" s="307"/>
      <c r="J102" s="307"/>
      <c r="K102" s="307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</row>
    <row r="103" ht="20.25" customHeight="1">
      <c r="A103" s="307"/>
      <c r="B103" s="307"/>
      <c r="C103" s="307"/>
      <c r="D103" s="307"/>
      <c r="E103" s="307"/>
      <c r="F103" s="307"/>
      <c r="G103" s="307"/>
      <c r="H103" s="307"/>
      <c r="I103" s="307"/>
      <c r="J103" s="307"/>
      <c r="K103" s="307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</row>
    <row r="104" ht="20.25" customHeight="1">
      <c r="A104" s="307"/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</row>
    <row r="105" ht="20.25" customHeight="1">
      <c r="A105" s="307"/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</row>
    <row r="106" ht="20.25" customHeight="1">
      <c r="A106" s="307"/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</row>
    <row r="107" ht="20.25" customHeight="1">
      <c r="A107" s="307"/>
      <c r="B107" s="307"/>
      <c r="C107" s="307"/>
      <c r="D107" s="307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</row>
    <row r="108" ht="20.25" customHeight="1">
      <c r="A108" s="307"/>
      <c r="B108" s="307"/>
      <c r="C108" s="307"/>
      <c r="D108" s="307"/>
      <c r="E108" s="307"/>
      <c r="F108" s="307"/>
      <c r="G108" s="307"/>
      <c r="H108" s="307"/>
      <c r="I108" s="307"/>
      <c r="J108" s="307"/>
      <c r="K108" s="307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</row>
    <row r="109" ht="20.25" customHeight="1">
      <c r="A109" s="307"/>
      <c r="B109" s="307"/>
      <c r="C109" s="307"/>
      <c r="D109" s="307"/>
      <c r="E109" s="307"/>
      <c r="F109" s="307"/>
      <c r="G109" s="307"/>
      <c r="H109" s="307"/>
      <c r="I109" s="307"/>
      <c r="J109" s="307"/>
      <c r="K109" s="307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</row>
    <row r="110" ht="20.25" customHeight="1">
      <c r="A110" s="307"/>
      <c r="B110" s="307"/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</row>
    <row r="111" ht="20.25" customHeight="1">
      <c r="A111" s="307"/>
      <c r="B111" s="307"/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</row>
    <row r="112" ht="20.25" customHeight="1">
      <c r="A112" s="307"/>
      <c r="B112" s="307"/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</row>
    <row r="113" ht="20.25" customHeight="1">
      <c r="A113" s="307"/>
      <c r="B113" s="307"/>
      <c r="C113" s="307"/>
      <c r="D113" s="307"/>
      <c r="E113" s="307"/>
      <c r="F113" s="307"/>
      <c r="G113" s="307"/>
      <c r="H113" s="307"/>
      <c r="I113" s="307"/>
      <c r="J113" s="307"/>
      <c r="K113" s="307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</row>
    <row r="114" ht="20.25" customHeight="1">
      <c r="A114" s="307"/>
      <c r="B114" s="307"/>
      <c r="C114" s="307"/>
      <c r="D114" s="307"/>
      <c r="E114" s="307"/>
      <c r="F114" s="307"/>
      <c r="G114" s="307"/>
      <c r="H114" s="307"/>
      <c r="I114" s="307"/>
      <c r="J114" s="307"/>
      <c r="K114" s="307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</row>
    <row r="115" ht="20.25" customHeight="1">
      <c r="A115" s="307"/>
      <c r="B115" s="307"/>
      <c r="C115" s="307"/>
      <c r="D115" s="307"/>
      <c r="E115" s="307"/>
      <c r="F115" s="307"/>
      <c r="G115" s="307"/>
      <c r="H115" s="307"/>
      <c r="I115" s="307"/>
      <c r="J115" s="307"/>
      <c r="K115" s="307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</row>
    <row r="116" ht="20.25" customHeight="1">
      <c r="A116" s="307"/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</row>
    <row r="117" ht="20.25" customHeight="1">
      <c r="A117" s="307"/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</row>
    <row r="118" ht="20.25" customHeight="1">
      <c r="A118" s="307"/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</row>
    <row r="119" ht="20.25" customHeight="1">
      <c r="A119" s="307"/>
      <c r="B119" s="307"/>
      <c r="C119" s="307"/>
      <c r="D119" s="307"/>
      <c r="E119" s="307"/>
      <c r="F119" s="307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</row>
    <row r="120" ht="20.25" customHeight="1">
      <c r="A120" s="307"/>
      <c r="B120" s="307"/>
      <c r="C120" s="307"/>
      <c r="D120" s="307"/>
      <c r="E120" s="307"/>
      <c r="F120" s="307"/>
      <c r="G120" s="307"/>
      <c r="H120" s="307"/>
      <c r="I120" s="307"/>
      <c r="J120" s="307"/>
      <c r="K120" s="307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</row>
    <row r="121" ht="20.25" customHeight="1">
      <c r="A121" s="307"/>
      <c r="B121" s="307"/>
      <c r="C121" s="307"/>
      <c r="D121" s="307"/>
      <c r="E121" s="307"/>
      <c r="F121" s="307"/>
      <c r="G121" s="307"/>
      <c r="H121" s="307"/>
      <c r="I121" s="307"/>
      <c r="J121" s="307"/>
      <c r="K121" s="307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</row>
    <row r="122" ht="20.25" customHeight="1">
      <c r="A122" s="307"/>
      <c r="B122" s="307"/>
      <c r="C122" s="307"/>
      <c r="D122" s="307"/>
      <c r="E122" s="307"/>
      <c r="F122" s="307"/>
      <c r="G122" s="307"/>
      <c r="H122" s="307"/>
      <c r="I122" s="307"/>
      <c r="J122" s="307"/>
      <c r="K122" s="307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</row>
    <row r="123" ht="20.25" customHeight="1">
      <c r="A123" s="307"/>
      <c r="B123" s="307"/>
      <c r="C123" s="307"/>
      <c r="D123" s="307"/>
      <c r="E123" s="307"/>
      <c r="F123" s="307"/>
      <c r="G123" s="307"/>
      <c r="H123" s="307"/>
      <c r="I123" s="307"/>
      <c r="J123" s="307"/>
      <c r="K123" s="307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</row>
    <row r="124" ht="20.25" customHeight="1">
      <c r="A124" s="307"/>
      <c r="B124" s="307"/>
      <c r="C124" s="307"/>
      <c r="D124" s="307"/>
      <c r="E124" s="307"/>
      <c r="F124" s="307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</row>
    <row r="125" ht="20.25" customHeight="1">
      <c r="A125" s="307"/>
      <c r="B125" s="307"/>
      <c r="C125" s="307"/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</row>
    <row r="126" ht="20.25" customHeight="1">
      <c r="A126" s="307"/>
      <c r="B126" s="307"/>
      <c r="C126" s="307"/>
      <c r="D126" s="307"/>
      <c r="E126" s="307"/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</row>
    <row r="127" ht="20.25" customHeight="1">
      <c r="A127" s="307"/>
      <c r="B127" s="307"/>
      <c r="C127" s="307"/>
      <c r="D127" s="307"/>
      <c r="E127" s="307"/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</row>
    <row r="128" ht="20.25" customHeight="1">
      <c r="A128" s="307"/>
      <c r="B128" s="307"/>
      <c r="C128" s="307"/>
      <c r="D128" s="307"/>
      <c r="E128" s="307"/>
      <c r="F128" s="307"/>
      <c r="G128" s="307"/>
      <c r="H128" s="307"/>
      <c r="I128" s="307"/>
      <c r="J128" s="307"/>
      <c r="K128" s="307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</row>
    <row r="129" ht="20.25" customHeight="1">
      <c r="A129" s="307"/>
      <c r="B129" s="307"/>
      <c r="C129" s="307"/>
      <c r="D129" s="307"/>
      <c r="E129" s="307"/>
      <c r="F129" s="307"/>
      <c r="G129" s="307"/>
      <c r="H129" s="307"/>
      <c r="I129" s="307"/>
      <c r="J129" s="307"/>
      <c r="K129" s="307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</row>
    <row r="130" ht="20.25" customHeight="1">
      <c r="A130" s="307"/>
      <c r="B130" s="307"/>
      <c r="C130" s="307"/>
      <c r="D130" s="307"/>
      <c r="E130" s="307"/>
      <c r="F130" s="307"/>
      <c r="G130" s="307"/>
      <c r="H130" s="307"/>
      <c r="I130" s="307"/>
      <c r="J130" s="307"/>
      <c r="K130" s="307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</row>
    <row r="131" ht="20.25" customHeight="1">
      <c r="A131" s="307"/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</row>
    <row r="132" ht="20.25" customHeight="1">
      <c r="A132" s="307"/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</row>
    <row r="133" ht="20.25" customHeight="1">
      <c r="A133" s="307"/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</row>
    <row r="134" ht="20.25" customHeight="1">
      <c r="A134" s="307"/>
      <c r="B134" s="307"/>
      <c r="C134" s="307"/>
      <c r="D134" s="307"/>
      <c r="E134" s="307"/>
      <c r="F134" s="307"/>
      <c r="G134" s="307"/>
      <c r="H134" s="307"/>
      <c r="I134" s="307"/>
      <c r="J134" s="307"/>
      <c r="K134" s="307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</row>
    <row r="135" ht="20.25" customHeight="1">
      <c r="A135" s="307"/>
      <c r="B135" s="307"/>
      <c r="C135" s="307"/>
      <c r="D135" s="307"/>
      <c r="E135" s="307"/>
      <c r="F135" s="307"/>
      <c r="G135" s="307"/>
      <c r="H135" s="307"/>
      <c r="I135" s="307"/>
      <c r="J135" s="307"/>
      <c r="K135" s="307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</row>
    <row r="136" ht="20.25" customHeight="1">
      <c r="A136" s="307"/>
      <c r="B136" s="307"/>
      <c r="C136" s="307"/>
      <c r="D136" s="307"/>
      <c r="E136" s="307"/>
      <c r="F136" s="307"/>
      <c r="G136" s="307"/>
      <c r="H136" s="307"/>
      <c r="I136" s="307"/>
      <c r="J136" s="307"/>
      <c r="K136" s="307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</row>
    <row r="137" ht="20.25" customHeight="1">
      <c r="A137" s="307"/>
      <c r="B137" s="307"/>
      <c r="C137" s="307"/>
      <c r="D137" s="307"/>
      <c r="E137" s="307"/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</row>
    <row r="138" ht="20.25" customHeight="1">
      <c r="A138" s="307"/>
      <c r="B138" s="307"/>
      <c r="C138" s="307"/>
      <c r="D138" s="307"/>
      <c r="E138" s="307"/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</row>
    <row r="139" ht="20.25" customHeight="1">
      <c r="A139" s="307"/>
      <c r="B139" s="307"/>
      <c r="C139" s="307"/>
      <c r="D139" s="307"/>
      <c r="E139" s="307"/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</row>
    <row r="140" ht="20.25" customHeight="1">
      <c r="A140" s="307"/>
      <c r="B140" s="307"/>
      <c r="C140" s="307"/>
      <c r="D140" s="307"/>
      <c r="E140" s="307"/>
      <c r="F140" s="307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</row>
    <row r="141" ht="20.25" customHeight="1">
      <c r="A141" s="307"/>
      <c r="B141" s="307"/>
      <c r="C141" s="307"/>
      <c r="D141" s="307"/>
      <c r="E141" s="307"/>
      <c r="F141" s="307"/>
      <c r="G141" s="307"/>
      <c r="H141" s="307"/>
      <c r="I141" s="307"/>
      <c r="J141" s="307"/>
      <c r="K141" s="307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</row>
    <row r="142" ht="20.25" customHeight="1">
      <c r="A142" s="307"/>
      <c r="B142" s="307"/>
      <c r="C142" s="307"/>
      <c r="D142" s="307"/>
      <c r="E142" s="307"/>
      <c r="F142" s="307"/>
      <c r="G142" s="307"/>
      <c r="H142" s="307"/>
      <c r="I142" s="307"/>
      <c r="J142" s="307"/>
      <c r="K142" s="307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</row>
    <row r="143" ht="20.25" customHeight="1">
      <c r="A143" s="307"/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</row>
    <row r="144" ht="20.25" customHeight="1">
      <c r="A144" s="307"/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</row>
    <row r="145" ht="20.25" customHeight="1">
      <c r="A145" s="307"/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</row>
    <row r="146" ht="20.25" customHeight="1">
      <c r="A146" s="307"/>
      <c r="B146" s="307"/>
      <c r="C146" s="307"/>
      <c r="D146" s="307"/>
      <c r="E146" s="307"/>
      <c r="F146" s="307"/>
      <c r="G146" s="307"/>
      <c r="H146" s="307"/>
      <c r="I146" s="307"/>
      <c r="J146" s="307"/>
      <c r="K146" s="307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</row>
    <row r="147" ht="20.25" customHeight="1">
      <c r="A147" s="307"/>
      <c r="B147" s="307"/>
      <c r="C147" s="307"/>
      <c r="D147" s="307"/>
      <c r="E147" s="307"/>
      <c r="F147" s="307"/>
      <c r="G147" s="307"/>
      <c r="H147" s="307"/>
      <c r="I147" s="307"/>
      <c r="J147" s="307"/>
      <c r="K147" s="307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</row>
    <row r="148" ht="20.25" customHeight="1">
      <c r="A148" s="307"/>
      <c r="B148" s="307"/>
      <c r="C148" s="307"/>
      <c r="D148" s="307"/>
      <c r="E148" s="307"/>
      <c r="F148" s="307"/>
      <c r="G148" s="307"/>
      <c r="H148" s="307"/>
      <c r="I148" s="307"/>
      <c r="J148" s="307"/>
      <c r="K148" s="307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</row>
    <row r="149" ht="20.25" customHeight="1">
      <c r="A149" s="307"/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</row>
    <row r="150" ht="20.25" customHeight="1">
      <c r="A150" s="307"/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</row>
    <row r="151" ht="20.25" customHeight="1">
      <c r="A151" s="307"/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</row>
    <row r="152" ht="20.25" customHeight="1">
      <c r="A152" s="307"/>
      <c r="B152" s="307"/>
      <c r="C152" s="307"/>
      <c r="D152" s="307"/>
      <c r="E152" s="307"/>
      <c r="F152" s="307"/>
      <c r="G152" s="307"/>
      <c r="H152" s="307"/>
      <c r="I152" s="307"/>
      <c r="J152" s="307"/>
      <c r="K152" s="307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</row>
    <row r="153" ht="20.25" customHeight="1">
      <c r="A153" s="307"/>
      <c r="B153" s="307"/>
      <c r="C153" s="307"/>
      <c r="D153" s="307"/>
      <c r="E153" s="307"/>
      <c r="F153" s="307"/>
      <c r="G153" s="307"/>
      <c r="H153" s="307"/>
      <c r="I153" s="307"/>
      <c r="J153" s="307"/>
      <c r="K153" s="307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</row>
    <row r="154" ht="20.25" customHeight="1">
      <c r="A154" s="307"/>
      <c r="B154" s="307"/>
      <c r="C154" s="307"/>
      <c r="D154" s="307"/>
      <c r="E154" s="307"/>
      <c r="F154" s="307"/>
      <c r="G154" s="307"/>
      <c r="H154" s="307"/>
      <c r="I154" s="307"/>
      <c r="J154" s="307"/>
      <c r="K154" s="307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</row>
    <row r="155" ht="20.25" customHeight="1">
      <c r="A155" s="307"/>
      <c r="B155" s="307"/>
      <c r="C155" s="307"/>
      <c r="D155" s="307"/>
      <c r="E155" s="307"/>
      <c r="F155" s="307"/>
      <c r="G155" s="307"/>
      <c r="H155" s="307"/>
      <c r="I155" s="307"/>
      <c r="J155" s="307"/>
      <c r="K155" s="307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</row>
    <row r="156" ht="20.25" customHeight="1">
      <c r="A156" s="307"/>
      <c r="B156" s="307"/>
      <c r="C156" s="307"/>
      <c r="D156" s="307"/>
      <c r="E156" s="307"/>
      <c r="F156" s="307"/>
      <c r="G156" s="307"/>
      <c r="H156" s="307"/>
      <c r="I156" s="307"/>
      <c r="J156" s="307"/>
      <c r="K156" s="307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</row>
    <row r="157" ht="20.25" customHeight="1">
      <c r="A157" s="307"/>
      <c r="B157" s="307"/>
      <c r="C157" s="307"/>
      <c r="D157" s="307"/>
      <c r="E157" s="307"/>
      <c r="F157" s="307"/>
      <c r="G157" s="307"/>
      <c r="H157" s="307"/>
      <c r="I157" s="307"/>
      <c r="J157" s="307"/>
      <c r="K157" s="307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</row>
    <row r="158" ht="20.25" customHeight="1">
      <c r="A158" s="307"/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</row>
    <row r="159" ht="20.25" customHeight="1">
      <c r="A159" s="307"/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</row>
    <row r="160" ht="20.25" customHeight="1">
      <c r="A160" s="307"/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</row>
    <row r="161" ht="20.25" customHeight="1">
      <c r="A161" s="307"/>
      <c r="B161" s="307"/>
      <c r="C161" s="307"/>
      <c r="D161" s="307"/>
      <c r="E161" s="307"/>
      <c r="F161" s="307"/>
      <c r="G161" s="307"/>
      <c r="H161" s="307"/>
      <c r="I161" s="307"/>
      <c r="J161" s="307"/>
      <c r="K161" s="307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</row>
    <row r="162" ht="20.25" customHeight="1">
      <c r="A162" s="307"/>
      <c r="B162" s="307"/>
      <c r="C162" s="307"/>
      <c r="D162" s="307"/>
      <c r="E162" s="307"/>
      <c r="F162" s="307"/>
      <c r="G162" s="307"/>
      <c r="H162" s="307"/>
      <c r="I162" s="307"/>
      <c r="J162" s="307"/>
      <c r="K162" s="307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</row>
    <row r="163" ht="20.25" customHeight="1">
      <c r="A163" s="307"/>
      <c r="B163" s="307"/>
      <c r="C163" s="307"/>
      <c r="D163" s="307"/>
      <c r="E163" s="307"/>
      <c r="F163" s="307"/>
      <c r="G163" s="307"/>
      <c r="H163" s="307"/>
      <c r="I163" s="307"/>
      <c r="J163" s="307"/>
      <c r="K163" s="307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</row>
    <row r="164" ht="20.25" customHeight="1">
      <c r="A164" s="307"/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</row>
    <row r="165" ht="20.25" customHeight="1">
      <c r="A165" s="307"/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</row>
    <row r="166" ht="20.25" customHeight="1">
      <c r="A166" s="307"/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</row>
    <row r="167" ht="20.25" customHeight="1">
      <c r="A167" s="307"/>
      <c r="B167" s="307"/>
      <c r="C167" s="307"/>
      <c r="D167" s="307"/>
      <c r="E167" s="307"/>
      <c r="F167" s="307"/>
      <c r="G167" s="307"/>
      <c r="H167" s="307"/>
      <c r="I167" s="307"/>
      <c r="J167" s="307"/>
      <c r="K167" s="307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</row>
    <row r="168" ht="20.25" customHeight="1">
      <c r="A168" s="307"/>
      <c r="B168" s="307"/>
      <c r="C168" s="307"/>
      <c r="D168" s="307"/>
      <c r="E168" s="307"/>
      <c r="F168" s="307"/>
      <c r="G168" s="307"/>
      <c r="H168" s="307"/>
      <c r="I168" s="307"/>
      <c r="J168" s="307"/>
      <c r="K168" s="307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</row>
    <row r="169" ht="20.25" customHeight="1">
      <c r="A169" s="307"/>
      <c r="B169" s="307"/>
      <c r="C169" s="307"/>
      <c r="D169" s="307"/>
      <c r="E169" s="307"/>
      <c r="F169" s="307"/>
      <c r="G169" s="307"/>
      <c r="H169" s="307"/>
      <c r="I169" s="307"/>
      <c r="J169" s="307"/>
      <c r="K169" s="307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</row>
    <row r="170" ht="20.25" customHeight="1">
      <c r="A170" s="307"/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</row>
    <row r="171" ht="20.25" customHeight="1">
      <c r="A171" s="307"/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</row>
    <row r="172" ht="20.25" customHeight="1">
      <c r="A172" s="307"/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</row>
    <row r="173" ht="20.25" customHeight="1">
      <c r="A173" s="307"/>
      <c r="B173" s="307"/>
      <c r="C173" s="307"/>
      <c r="D173" s="307"/>
      <c r="E173" s="307"/>
      <c r="F173" s="307"/>
      <c r="G173" s="307"/>
      <c r="H173" s="307"/>
      <c r="I173" s="307"/>
      <c r="J173" s="307"/>
      <c r="K173" s="307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</row>
    <row r="174" ht="20.25" customHeight="1">
      <c r="A174" s="307"/>
      <c r="B174" s="307"/>
      <c r="C174" s="307"/>
      <c r="D174" s="307"/>
      <c r="E174" s="307"/>
      <c r="F174" s="307"/>
      <c r="G174" s="307"/>
      <c r="H174" s="307"/>
      <c r="I174" s="307"/>
      <c r="J174" s="307"/>
      <c r="K174" s="307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</row>
    <row r="175" ht="20.25" customHeight="1">
      <c r="A175" s="307"/>
      <c r="B175" s="307"/>
      <c r="C175" s="307"/>
      <c r="D175" s="307"/>
      <c r="E175" s="307"/>
      <c r="F175" s="307"/>
      <c r="G175" s="307"/>
      <c r="H175" s="307"/>
      <c r="I175" s="307"/>
      <c r="J175" s="307"/>
      <c r="K175" s="307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</row>
    <row r="176" ht="20.25" customHeight="1">
      <c r="A176" s="307"/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</row>
    <row r="177" ht="20.25" customHeight="1">
      <c r="A177" s="307"/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</row>
    <row r="178" ht="20.25" customHeight="1">
      <c r="A178" s="307"/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</row>
    <row r="179" ht="20.25" customHeight="1">
      <c r="A179" s="307"/>
      <c r="B179" s="307"/>
      <c r="C179" s="307"/>
      <c r="D179" s="307"/>
      <c r="E179" s="307"/>
      <c r="F179" s="307"/>
      <c r="G179" s="307"/>
      <c r="H179" s="307"/>
      <c r="I179" s="307"/>
      <c r="J179" s="307"/>
      <c r="K179" s="307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</row>
    <row r="180" ht="20.25" customHeight="1">
      <c r="A180" s="307"/>
      <c r="B180" s="307"/>
      <c r="C180" s="307"/>
      <c r="D180" s="307"/>
      <c r="E180" s="307"/>
      <c r="F180" s="307"/>
      <c r="G180" s="307"/>
      <c r="H180" s="307"/>
      <c r="I180" s="307"/>
      <c r="J180" s="307"/>
      <c r="K180" s="307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</row>
    <row r="181" ht="20.25" customHeight="1">
      <c r="A181" s="307"/>
      <c r="B181" s="307"/>
      <c r="C181" s="307"/>
      <c r="D181" s="307"/>
      <c r="E181" s="307"/>
      <c r="F181" s="307"/>
      <c r="G181" s="307"/>
      <c r="H181" s="307"/>
      <c r="I181" s="307"/>
      <c r="J181" s="307"/>
      <c r="K181" s="307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</row>
    <row r="182" ht="20.25" customHeight="1">
      <c r="A182" s="307"/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</row>
    <row r="183" ht="20.25" customHeight="1">
      <c r="A183" s="307"/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</row>
    <row r="184" ht="20.25" customHeight="1">
      <c r="A184" s="307"/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</row>
    <row r="185" ht="20.25" customHeight="1">
      <c r="A185" s="307"/>
      <c r="B185" s="307"/>
      <c r="C185" s="307"/>
      <c r="D185" s="307"/>
      <c r="E185" s="307"/>
      <c r="F185" s="307"/>
      <c r="G185" s="307"/>
      <c r="H185" s="307"/>
      <c r="I185" s="307"/>
      <c r="J185" s="307"/>
      <c r="K185" s="307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</row>
    <row r="186" ht="20.25" customHeight="1">
      <c r="A186" s="307"/>
      <c r="B186" s="307"/>
      <c r="C186" s="307"/>
      <c r="D186" s="307"/>
      <c r="E186" s="307"/>
      <c r="F186" s="307"/>
      <c r="G186" s="307"/>
      <c r="H186" s="307"/>
      <c r="I186" s="307"/>
      <c r="J186" s="307"/>
      <c r="K186" s="307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</row>
    <row r="187" ht="20.25" customHeight="1">
      <c r="A187" s="307"/>
      <c r="B187" s="307"/>
      <c r="C187" s="307"/>
      <c r="D187" s="307"/>
      <c r="E187" s="307"/>
      <c r="F187" s="307"/>
      <c r="G187" s="307"/>
      <c r="H187" s="307"/>
      <c r="I187" s="307"/>
      <c r="J187" s="307"/>
      <c r="K187" s="307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</row>
    <row r="188" ht="20.25" customHeight="1">
      <c r="A188" s="307"/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</row>
    <row r="189" ht="20.25" customHeight="1">
      <c r="A189" s="307"/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</row>
    <row r="190" ht="20.25" customHeight="1">
      <c r="A190" s="307"/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</row>
    <row r="191" ht="20.25" customHeight="1">
      <c r="A191" s="307"/>
      <c r="B191" s="307"/>
      <c r="C191" s="307"/>
      <c r="D191" s="307"/>
      <c r="E191" s="307"/>
      <c r="F191" s="307"/>
      <c r="G191" s="307"/>
      <c r="H191" s="307"/>
      <c r="I191" s="307"/>
      <c r="J191" s="307"/>
      <c r="K191" s="307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</row>
    <row r="192" ht="20.25" customHeight="1">
      <c r="A192" s="307"/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</row>
    <row r="193" ht="20.25" customHeight="1">
      <c r="A193" s="307"/>
      <c r="B193" s="307"/>
      <c r="C193" s="307"/>
      <c r="D193" s="307"/>
      <c r="E193" s="307"/>
      <c r="F193" s="307"/>
      <c r="G193" s="307"/>
      <c r="H193" s="307"/>
      <c r="I193" s="307"/>
      <c r="J193" s="307"/>
      <c r="K193" s="307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</row>
    <row r="194" ht="20.25" customHeight="1">
      <c r="A194" s="307"/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</row>
    <row r="195" ht="20.25" customHeight="1">
      <c r="A195" s="307"/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</row>
    <row r="196" ht="20.25" customHeight="1">
      <c r="A196" s="307"/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</row>
    <row r="197" ht="20.25" customHeight="1">
      <c r="A197" s="307"/>
      <c r="B197" s="307"/>
      <c r="C197" s="307"/>
      <c r="D197" s="307"/>
      <c r="E197" s="307"/>
      <c r="F197" s="307"/>
      <c r="G197" s="307"/>
      <c r="H197" s="307"/>
      <c r="I197" s="307"/>
      <c r="J197" s="307"/>
      <c r="K197" s="307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</row>
    <row r="198" ht="20.25" customHeight="1">
      <c r="A198" s="307"/>
      <c r="B198" s="307"/>
      <c r="C198" s="307"/>
      <c r="D198" s="307"/>
      <c r="E198" s="307"/>
      <c r="F198" s="307"/>
      <c r="G198" s="307"/>
      <c r="H198" s="307"/>
      <c r="I198" s="307"/>
      <c r="J198" s="307"/>
      <c r="K198" s="307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</row>
    <row r="199" ht="20.25" customHeight="1">
      <c r="A199" s="307"/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</row>
    <row r="200" ht="20.25" customHeight="1">
      <c r="A200" s="307"/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</row>
    <row r="201" ht="20.25" customHeight="1">
      <c r="A201" s="307"/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</row>
    <row r="202" ht="20.25" customHeight="1">
      <c r="A202" s="307"/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</row>
    <row r="203" ht="20.25" customHeight="1">
      <c r="A203" s="307"/>
      <c r="B203" s="307"/>
      <c r="C203" s="307"/>
      <c r="D203" s="307"/>
      <c r="E203" s="307"/>
      <c r="F203" s="307"/>
      <c r="G203" s="307"/>
      <c r="H203" s="307"/>
      <c r="I203" s="307"/>
      <c r="J203" s="307"/>
      <c r="K203" s="307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</row>
    <row r="204" ht="20.25" customHeight="1">
      <c r="A204" s="307"/>
      <c r="B204" s="307"/>
      <c r="C204" s="307"/>
      <c r="D204" s="307"/>
      <c r="E204" s="307"/>
      <c r="F204" s="307"/>
      <c r="G204" s="307"/>
      <c r="H204" s="307"/>
      <c r="I204" s="307"/>
      <c r="J204" s="307"/>
      <c r="K204" s="307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</row>
    <row r="205" ht="20.25" customHeight="1">
      <c r="A205" s="307"/>
      <c r="B205" s="307"/>
      <c r="C205" s="307"/>
      <c r="D205" s="307"/>
      <c r="E205" s="307"/>
      <c r="F205" s="307"/>
      <c r="G205" s="307"/>
      <c r="H205" s="307"/>
      <c r="I205" s="307"/>
      <c r="J205" s="307"/>
      <c r="K205" s="307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</row>
    <row r="206" ht="20.25" customHeight="1">
      <c r="A206" s="307"/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</row>
    <row r="207" ht="20.25" customHeight="1">
      <c r="A207" s="307"/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</row>
    <row r="208" ht="20.25" customHeight="1">
      <c r="A208" s="307"/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</row>
    <row r="209" ht="20.25" customHeight="1">
      <c r="A209" s="307"/>
      <c r="B209" s="307"/>
      <c r="C209" s="307"/>
      <c r="D209" s="307"/>
      <c r="E209" s="307"/>
      <c r="F209" s="307"/>
      <c r="G209" s="307"/>
      <c r="H209" s="307"/>
      <c r="I209" s="307"/>
      <c r="J209" s="307"/>
      <c r="K209" s="307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</row>
    <row r="210" ht="20.25" customHeight="1">
      <c r="A210" s="307"/>
      <c r="B210" s="307"/>
      <c r="C210" s="307"/>
      <c r="D210" s="307"/>
      <c r="E210" s="307"/>
      <c r="F210" s="307"/>
      <c r="G210" s="307"/>
      <c r="H210" s="307"/>
      <c r="I210" s="307"/>
      <c r="J210" s="307"/>
      <c r="K210" s="307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</row>
    <row r="211" ht="20.25" customHeight="1">
      <c r="A211" s="307"/>
      <c r="B211" s="307"/>
      <c r="C211" s="307"/>
      <c r="D211" s="307"/>
      <c r="E211" s="307"/>
      <c r="F211" s="307"/>
      <c r="G211" s="307"/>
      <c r="H211" s="307"/>
      <c r="I211" s="307"/>
      <c r="J211" s="307"/>
      <c r="K211" s="307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</row>
    <row r="212" ht="20.25" customHeight="1">
      <c r="A212" s="307"/>
      <c r="B212" s="307"/>
      <c r="C212" s="307"/>
      <c r="D212" s="307"/>
      <c r="E212" s="307"/>
      <c r="F212" s="307"/>
      <c r="G212" s="307"/>
      <c r="H212" s="307"/>
      <c r="I212" s="307"/>
      <c r="J212" s="307"/>
      <c r="K212" s="307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</row>
    <row r="213" ht="20.25" customHeight="1">
      <c r="A213" s="307"/>
      <c r="B213" s="307"/>
      <c r="C213" s="307"/>
      <c r="D213" s="307"/>
      <c r="E213" s="307"/>
      <c r="F213" s="307"/>
      <c r="G213" s="307"/>
      <c r="H213" s="307"/>
      <c r="I213" s="307"/>
      <c r="J213" s="307"/>
      <c r="K213" s="307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</row>
    <row r="214" ht="20.25" customHeight="1">
      <c r="A214" s="307"/>
      <c r="B214" s="307"/>
      <c r="C214" s="307"/>
      <c r="D214" s="307"/>
      <c r="E214" s="307"/>
      <c r="F214" s="307"/>
      <c r="G214" s="307"/>
      <c r="H214" s="307"/>
      <c r="I214" s="307"/>
      <c r="J214" s="307"/>
      <c r="K214" s="307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</row>
    <row r="215" ht="20.25" customHeight="1">
      <c r="A215" s="307"/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</row>
    <row r="216" ht="20.25" customHeight="1">
      <c r="A216" s="307"/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</row>
    <row r="217" ht="20.25" customHeight="1">
      <c r="A217" s="307"/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</row>
    <row r="218" ht="20.25" customHeight="1">
      <c r="A218" s="307"/>
      <c r="B218" s="307"/>
      <c r="C218" s="307"/>
      <c r="D218" s="307"/>
      <c r="E218" s="307"/>
      <c r="F218" s="307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</row>
    <row r="219" ht="20.25" customHeight="1">
      <c r="A219" s="307"/>
      <c r="B219" s="307"/>
      <c r="C219" s="307"/>
      <c r="D219" s="307"/>
      <c r="E219" s="307"/>
      <c r="F219" s="307"/>
      <c r="G219" s="307"/>
      <c r="H219" s="307"/>
      <c r="I219" s="307"/>
      <c r="J219" s="307"/>
      <c r="K219" s="307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</row>
    <row r="220" ht="20.25" customHeight="1">
      <c r="A220" s="307"/>
      <c r="B220" s="307"/>
      <c r="C220" s="307"/>
      <c r="D220" s="307"/>
      <c r="E220" s="307"/>
      <c r="F220" s="307"/>
      <c r="G220" s="307"/>
      <c r="H220" s="307"/>
      <c r="I220" s="307"/>
      <c r="J220" s="307"/>
      <c r="K220" s="307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</row>
    <row r="221" ht="20.25" customHeight="1">
      <c r="A221" s="307"/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</row>
    <row r="222" ht="20.25" customHeight="1">
      <c r="A222" s="307"/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</row>
    <row r="223" ht="20.25" customHeight="1">
      <c r="A223" s="307"/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</row>
    <row r="224" ht="20.25" customHeight="1">
      <c r="A224" s="307"/>
      <c r="B224" s="307"/>
      <c r="C224" s="307"/>
      <c r="D224" s="307"/>
      <c r="E224" s="307"/>
      <c r="F224" s="307"/>
      <c r="G224" s="307"/>
      <c r="H224" s="307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</row>
    <row r="225" ht="20.25" customHeight="1">
      <c r="A225" s="307"/>
      <c r="B225" s="307"/>
      <c r="C225" s="307"/>
      <c r="D225" s="307"/>
      <c r="E225" s="307"/>
      <c r="F225" s="307"/>
      <c r="G225" s="307"/>
      <c r="H225" s="307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</row>
    <row r="226" ht="20.25" customHeight="1">
      <c r="A226" s="307"/>
      <c r="B226" s="307"/>
      <c r="C226" s="307"/>
      <c r="D226" s="307"/>
      <c r="E226" s="307"/>
      <c r="F226" s="307"/>
      <c r="G226" s="307"/>
      <c r="H226" s="307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</row>
    <row r="227" ht="20.25" customHeight="1">
      <c r="A227" s="307"/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</row>
    <row r="228" ht="20.25" customHeight="1">
      <c r="A228" s="307"/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</row>
    <row r="229" ht="20.25" customHeight="1">
      <c r="A229" s="307"/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</row>
    <row r="230" ht="20.25" customHeight="1">
      <c r="A230" s="307"/>
      <c r="B230" s="307"/>
      <c r="C230" s="307"/>
      <c r="D230" s="307"/>
      <c r="E230" s="307"/>
      <c r="F230" s="307"/>
      <c r="G230" s="307"/>
      <c r="H230" s="307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</row>
    <row r="231" ht="20.25" customHeight="1">
      <c r="A231" s="307"/>
      <c r="B231" s="307"/>
      <c r="C231" s="307"/>
      <c r="D231" s="307"/>
      <c r="E231" s="307"/>
      <c r="F231" s="307"/>
      <c r="G231" s="307"/>
      <c r="H231" s="307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</row>
    <row r="232" ht="20.25" customHeight="1">
      <c r="A232" s="307"/>
      <c r="B232" s="307"/>
      <c r="C232" s="307"/>
      <c r="D232" s="307"/>
      <c r="E232" s="307"/>
      <c r="F232" s="307"/>
      <c r="G232" s="307"/>
      <c r="H232" s="307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</row>
    <row r="233" ht="20.25" customHeight="1">
      <c r="A233" s="307"/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</row>
    <row r="234" ht="20.25" customHeight="1">
      <c r="A234" s="307"/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</row>
    <row r="235" ht="20.25" customHeight="1">
      <c r="A235" s="307"/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</row>
    <row r="236" ht="20.25" customHeight="1">
      <c r="A236" s="307"/>
      <c r="B236" s="307"/>
      <c r="C236" s="307"/>
      <c r="D236" s="307"/>
      <c r="E236" s="307"/>
      <c r="F236" s="307"/>
      <c r="G236" s="307"/>
      <c r="H236" s="307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</row>
    <row r="237" ht="20.25" customHeight="1">
      <c r="A237" s="307"/>
      <c r="B237" s="307"/>
      <c r="C237" s="307"/>
      <c r="D237" s="307"/>
      <c r="E237" s="307"/>
      <c r="F237" s="307"/>
      <c r="G237" s="307"/>
      <c r="H237" s="307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</row>
    <row r="238" ht="20.25" customHeight="1">
      <c r="A238" s="307"/>
      <c r="B238" s="307"/>
      <c r="C238" s="307"/>
      <c r="D238" s="307"/>
      <c r="E238" s="307"/>
      <c r="F238" s="307"/>
      <c r="G238" s="307"/>
      <c r="H238" s="307"/>
      <c r="I238" s="307"/>
      <c r="J238" s="307"/>
      <c r="K238" s="307"/>
      <c r="L238" s="307"/>
      <c r="M238" s="307"/>
      <c r="N238" s="307"/>
      <c r="O238" s="307"/>
      <c r="P238" s="307"/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</row>
    <row r="239" ht="20.25" customHeight="1">
      <c r="A239" s="307"/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</row>
    <row r="240" ht="20.25" customHeight="1">
      <c r="A240" s="307"/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307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</row>
    <row r="241" ht="20.25" customHeight="1">
      <c r="A241" s="307"/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</row>
    <row r="242" ht="20.25" customHeight="1">
      <c r="A242" s="307"/>
      <c r="B242" s="307"/>
      <c r="C242" s="307"/>
      <c r="D242" s="307"/>
      <c r="E242" s="307"/>
      <c r="F242" s="307"/>
      <c r="G242" s="307"/>
      <c r="H242" s="307"/>
      <c r="I242" s="307"/>
      <c r="J242" s="307"/>
      <c r="K242" s="307"/>
      <c r="L242" s="307"/>
      <c r="M242" s="307"/>
      <c r="N242" s="307"/>
      <c r="O242" s="307"/>
      <c r="P242" s="307"/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</row>
    <row r="243" ht="20.25" customHeight="1">
      <c r="A243" s="307"/>
      <c r="B243" s="307"/>
      <c r="C243" s="307"/>
      <c r="D243" s="307"/>
      <c r="E243" s="307"/>
      <c r="F243" s="307"/>
      <c r="G243" s="307"/>
      <c r="H243" s="307"/>
      <c r="I243" s="307"/>
      <c r="J243" s="307"/>
      <c r="K243" s="307"/>
      <c r="L243" s="307"/>
      <c r="M243" s="307"/>
      <c r="N243" s="307"/>
      <c r="O243" s="307"/>
      <c r="P243" s="307"/>
      <c r="Q243" s="307"/>
      <c r="R243" s="307"/>
      <c r="S243" s="307"/>
      <c r="T243" s="307"/>
      <c r="U243" s="307"/>
      <c r="V243" s="307"/>
      <c r="W243" s="307"/>
      <c r="X243" s="307"/>
      <c r="Y243" s="307"/>
      <c r="Z243" s="307"/>
      <c r="AA243" s="307"/>
      <c r="AB243" s="307"/>
      <c r="AC243" s="307"/>
      <c r="AD243" s="307"/>
    </row>
    <row r="244" ht="20.25" customHeight="1">
      <c r="A244" s="307"/>
      <c r="B244" s="307"/>
      <c r="C244" s="307"/>
      <c r="D244" s="307"/>
      <c r="E244" s="307"/>
      <c r="F244" s="307"/>
      <c r="G244" s="307"/>
      <c r="H244" s="307"/>
      <c r="I244" s="307"/>
      <c r="J244" s="307"/>
      <c r="K244" s="307"/>
      <c r="L244" s="307"/>
      <c r="M244" s="307"/>
      <c r="N244" s="307"/>
      <c r="O244" s="307"/>
      <c r="P244" s="307"/>
      <c r="Q244" s="307"/>
      <c r="R244" s="307"/>
      <c r="S244" s="307"/>
      <c r="T244" s="307"/>
      <c r="U244" s="307"/>
      <c r="V244" s="307"/>
      <c r="W244" s="307"/>
      <c r="X244" s="307"/>
      <c r="Y244" s="307"/>
      <c r="Z244" s="307"/>
      <c r="AA244" s="307"/>
      <c r="AB244" s="307"/>
      <c r="AC244" s="307"/>
      <c r="AD244" s="307"/>
    </row>
    <row r="245" ht="20.25" customHeight="1">
      <c r="A245" s="307"/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307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</row>
    <row r="246" ht="20.25" customHeight="1">
      <c r="A246" s="307"/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307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3" width="22.71"/>
    <col customWidth="1" min="4" max="7" width="19.86"/>
    <col customWidth="1" min="8" max="8" width="98.43"/>
    <col customWidth="1" min="9" max="9" width="27.14"/>
    <col customWidth="1" min="10" max="30" width="19.86"/>
  </cols>
  <sheetData>
    <row r="1" ht="20.25" customHeight="1">
      <c r="A1" s="310" t="s">
        <v>53</v>
      </c>
      <c r="B1" s="307"/>
      <c r="C1" s="307"/>
      <c r="D1" s="307"/>
      <c r="E1" s="307"/>
      <c r="F1" s="307"/>
      <c r="G1" s="307"/>
      <c r="H1" s="307"/>
      <c r="I1" s="307"/>
      <c r="J1" s="307"/>
      <c r="K1" s="307"/>
      <c r="L1" s="307"/>
      <c r="M1" s="307"/>
      <c r="N1" s="307"/>
      <c r="O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307"/>
      <c r="AA1" s="307"/>
      <c r="AB1" s="307"/>
      <c r="AC1" s="307"/>
      <c r="AD1" s="307"/>
    </row>
    <row r="2" ht="20.25" customHeight="1">
      <c r="A2" s="307"/>
      <c r="B2" s="307"/>
      <c r="C2" s="307"/>
      <c r="D2" s="307"/>
      <c r="E2" s="307"/>
      <c r="F2" s="307"/>
      <c r="G2" s="307"/>
      <c r="H2" s="307"/>
      <c r="I2" s="307"/>
      <c r="J2" s="307"/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7"/>
      <c r="Y2" s="307"/>
      <c r="Z2" s="307"/>
      <c r="AA2" s="307"/>
      <c r="AB2" s="307"/>
      <c r="AC2" s="307"/>
      <c r="AD2" s="307"/>
    </row>
    <row r="3" ht="20.25" customHeight="1">
      <c r="A3" s="310" t="s">
        <v>184</v>
      </c>
      <c r="B3" s="307"/>
      <c r="C3" s="307"/>
      <c r="D3" s="307"/>
      <c r="E3" s="307"/>
      <c r="F3" s="307"/>
      <c r="G3" s="307"/>
      <c r="H3" s="307"/>
      <c r="I3" s="307"/>
      <c r="J3" s="307"/>
      <c r="K3" s="307"/>
      <c r="L3" s="307"/>
      <c r="M3" s="307"/>
      <c r="N3" s="307"/>
      <c r="O3" s="307"/>
      <c r="P3" s="307"/>
      <c r="Q3" s="307"/>
      <c r="R3" s="307"/>
      <c r="S3" s="307"/>
      <c r="T3" s="307"/>
      <c r="U3" s="307"/>
      <c r="V3" s="307"/>
      <c r="W3" s="307"/>
      <c r="X3" s="307"/>
      <c r="Y3" s="307"/>
      <c r="Z3" s="307"/>
      <c r="AA3" s="307"/>
      <c r="AB3" s="307"/>
      <c r="AC3" s="307"/>
      <c r="AD3" s="307"/>
    </row>
    <row r="4" ht="20.25" customHeight="1">
      <c r="A4" s="307"/>
      <c r="B4" s="307"/>
      <c r="C4" s="307"/>
      <c r="D4" s="307"/>
      <c r="E4" s="307"/>
      <c r="F4" s="307"/>
      <c r="G4" s="307"/>
      <c r="H4" s="319"/>
      <c r="I4" s="319"/>
      <c r="J4" s="319"/>
      <c r="K4" s="319"/>
      <c r="L4" s="319"/>
      <c r="M4" s="319"/>
      <c r="N4" s="307"/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</row>
    <row r="5" ht="20.25" customHeight="1">
      <c r="A5" s="310" t="s">
        <v>185</v>
      </c>
      <c r="B5" s="369" t="s">
        <v>233</v>
      </c>
      <c r="C5" s="307"/>
      <c r="D5" s="307"/>
      <c r="E5" s="307"/>
      <c r="F5" s="307"/>
      <c r="G5" s="307"/>
      <c r="H5" s="307"/>
      <c r="I5" s="307"/>
      <c r="J5" s="307"/>
      <c r="K5" s="307"/>
      <c r="L5" s="307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</row>
    <row r="6" ht="21.0" customHeight="1">
      <c r="A6" s="307"/>
      <c r="B6" s="307"/>
      <c r="C6" s="307"/>
      <c r="D6" s="307"/>
      <c r="E6" s="307"/>
      <c r="F6" s="307"/>
      <c r="G6" s="307"/>
      <c r="H6" s="307"/>
      <c r="I6" s="349"/>
      <c r="J6" s="307"/>
      <c r="K6" s="307"/>
      <c r="L6" s="307"/>
      <c r="M6" s="307"/>
      <c r="N6" s="307"/>
      <c r="O6" s="307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</row>
    <row r="7" ht="41.25" customHeight="1">
      <c r="A7" s="315" t="s">
        <v>187</v>
      </c>
      <c r="B7" s="433" t="s">
        <v>188</v>
      </c>
      <c r="C7" s="316" t="s">
        <v>189</v>
      </c>
      <c r="D7" s="316" t="s">
        <v>190</v>
      </c>
      <c r="E7" s="316" t="s">
        <v>191</v>
      </c>
      <c r="F7" s="316" t="s">
        <v>192</v>
      </c>
      <c r="G7" s="317" t="s">
        <v>193</v>
      </c>
      <c r="H7" s="465" t="s">
        <v>12</v>
      </c>
      <c r="I7" s="434" t="s">
        <v>238</v>
      </c>
      <c r="J7" s="466" t="s">
        <v>235</v>
      </c>
      <c r="K7" s="307"/>
      <c r="L7" s="307"/>
      <c r="M7" s="307"/>
      <c r="N7" s="307"/>
      <c r="O7" s="307"/>
      <c r="P7" s="307"/>
      <c r="Q7" s="307"/>
      <c r="R7" s="307"/>
      <c r="S7" s="307"/>
      <c r="T7" s="307"/>
      <c r="U7" s="307"/>
      <c r="V7" s="307"/>
      <c r="W7" s="307"/>
      <c r="X7" s="307"/>
      <c r="Y7" s="307"/>
      <c r="Z7" s="307"/>
      <c r="AA7" s="307"/>
      <c r="AB7" s="307"/>
      <c r="AC7" s="307"/>
      <c r="AD7" s="307"/>
    </row>
    <row r="8" ht="22.5" customHeight="1">
      <c r="A8" s="436" t="str">
        <f>+SUMMARY!#REF!</f>
        <v>#ERROR!</v>
      </c>
      <c r="B8" s="437" t="str">
        <f>+SUMMARY!#REF!</f>
        <v>#ERROR!</v>
      </c>
      <c r="C8" s="437" t="str">
        <f>+SUMMARY!#REF!</f>
        <v>#ERROR!</v>
      </c>
      <c r="D8" s="437" t="str">
        <f>+SUMMARY!#REF!</f>
        <v>#ERROR!</v>
      </c>
      <c r="E8" s="437" t="str">
        <f>+SUMMARY!#REF!</f>
        <v>#ERROR!</v>
      </c>
      <c r="F8" s="437" t="str">
        <f>+SUMMARY!#REF!</f>
        <v>#ERROR!</v>
      </c>
      <c r="G8" s="437" t="str">
        <f>+SUMMARY!#REF!</f>
        <v>#ERROR!</v>
      </c>
      <c r="H8" s="467" t="str">
        <f>+SUMMARY!#REF!</f>
        <v>#ERROR!</v>
      </c>
      <c r="I8" s="468" t="str">
        <f t="shared" ref="I8:I38" si="1">F8/B8</f>
        <v>#ERROR!</v>
      </c>
      <c r="J8" s="440"/>
      <c r="K8" s="307"/>
      <c r="L8" s="307"/>
      <c r="M8" s="307"/>
      <c r="N8" s="307"/>
      <c r="O8" s="307"/>
      <c r="P8" s="307"/>
      <c r="Q8" s="307"/>
      <c r="R8" s="307"/>
      <c r="S8" s="307"/>
      <c r="T8" s="307"/>
      <c r="U8" s="307"/>
      <c r="V8" s="307"/>
      <c r="W8" s="307"/>
      <c r="X8" s="307"/>
      <c r="Y8" s="307"/>
      <c r="Z8" s="307"/>
      <c r="AA8" s="307"/>
      <c r="AB8" s="307"/>
      <c r="AC8" s="307"/>
      <c r="AD8" s="307"/>
    </row>
    <row r="9" ht="22.5" customHeight="1">
      <c r="A9" s="436">
        <f>+SUMMARY!A7</f>
        <v>44531</v>
      </c>
      <c r="B9" s="437">
        <f>+SUMMARY!B7</f>
        <v>45405.016</v>
      </c>
      <c r="C9" s="437">
        <f>+SUMMARY!C7</f>
        <v>42128.06568</v>
      </c>
      <c r="D9" s="437">
        <f>+SUMMARY!D7</f>
        <v>0</v>
      </c>
      <c r="E9" s="437">
        <f>+SUMMARY!E7</f>
        <v>221.4</v>
      </c>
      <c r="F9" s="437">
        <f>+SUMMARY!F7</f>
        <v>1226.42583</v>
      </c>
      <c r="G9" s="437">
        <f>+SUMMARY!G7</f>
        <v>1829.124493</v>
      </c>
      <c r="H9" s="467" t="str">
        <f>+SUMMARY!H7</f>
        <v/>
      </c>
      <c r="I9" s="468">
        <f t="shared" si="1"/>
        <v>0.02701080053</v>
      </c>
      <c r="J9" s="440"/>
      <c r="K9" s="307"/>
      <c r="L9" s="307"/>
      <c r="M9" s="307"/>
      <c r="N9" s="307"/>
      <c r="O9" s="307"/>
      <c r="P9" s="307"/>
      <c r="Q9" s="307"/>
      <c r="R9" s="307"/>
      <c r="S9" s="307"/>
      <c r="T9" s="307"/>
      <c r="U9" s="307"/>
      <c r="V9" s="307"/>
      <c r="W9" s="307"/>
      <c r="X9" s="307"/>
      <c r="Y9" s="307"/>
      <c r="Z9" s="307"/>
      <c r="AA9" s="307"/>
      <c r="AB9" s="307"/>
      <c r="AC9" s="307"/>
      <c r="AD9" s="307"/>
    </row>
    <row r="10" ht="22.5" customHeight="1">
      <c r="A10" s="436">
        <f>+SUMMARY!A8</f>
        <v>44532</v>
      </c>
      <c r="B10" s="437">
        <f>+SUMMARY!B8</f>
        <v>31734.9539</v>
      </c>
      <c r="C10" s="437">
        <f>+SUMMARY!C8</f>
        <v>28333.96424</v>
      </c>
      <c r="D10" s="437">
        <f>+SUMMARY!D8</f>
        <v>494.321596</v>
      </c>
      <c r="E10" s="437">
        <f>+SUMMARY!E8</f>
        <v>187.2</v>
      </c>
      <c r="F10" s="437">
        <f>+SUMMARY!F8</f>
        <v>2123.367034</v>
      </c>
      <c r="G10" s="437">
        <f>+SUMMARY!G8</f>
        <v>596.1010266</v>
      </c>
      <c r="H10" s="467" t="str">
        <f>+SUMMARY!H8</f>
        <v>#REF!</v>
      </c>
      <c r="I10" s="468">
        <f t="shared" si="1"/>
        <v>0.06690940974</v>
      </c>
      <c r="J10" s="440"/>
      <c r="K10" s="307"/>
      <c r="L10" s="307"/>
      <c r="M10" s="307"/>
      <c r="N10" s="307"/>
      <c r="O10" s="307"/>
      <c r="P10" s="307"/>
      <c r="Q10" s="307"/>
      <c r="R10" s="307"/>
      <c r="S10" s="307"/>
      <c r="T10" s="307"/>
      <c r="U10" s="307"/>
      <c r="V10" s="307"/>
      <c r="W10" s="307"/>
      <c r="X10" s="307"/>
      <c r="Y10" s="307"/>
      <c r="Z10" s="307"/>
      <c r="AA10" s="307"/>
      <c r="AB10" s="307"/>
      <c r="AC10" s="307"/>
      <c r="AD10" s="307"/>
    </row>
    <row r="11" ht="22.5" customHeight="1">
      <c r="A11" s="436">
        <f>+SUMMARY!A9</f>
        <v>44533</v>
      </c>
      <c r="B11" s="437">
        <f>+SUMMARY!B9</f>
        <v>54027.6746</v>
      </c>
      <c r="C11" s="437">
        <f>+SUMMARY!C9</f>
        <v>50468.73379</v>
      </c>
      <c r="D11" s="437">
        <f>+SUMMARY!D9</f>
        <v>643.7208955</v>
      </c>
      <c r="E11" s="437">
        <f>+SUMMARY!E9</f>
        <v>250.2</v>
      </c>
      <c r="F11" s="437">
        <f>+SUMMARY!F9</f>
        <v>1541.777769</v>
      </c>
      <c r="G11" s="437">
        <f>+SUMMARY!G9</f>
        <v>1123.242142</v>
      </c>
      <c r="H11" s="467" t="str">
        <f>+SUMMARY!H9</f>
        <v/>
      </c>
      <c r="I11" s="468">
        <f t="shared" si="1"/>
        <v>0.02853681526</v>
      </c>
      <c r="J11" s="440"/>
      <c r="K11" s="307"/>
      <c r="L11" s="307"/>
      <c r="M11" s="307"/>
      <c r="N11" s="307"/>
      <c r="O11" s="307"/>
      <c r="P11" s="307"/>
      <c r="Q11" s="307"/>
      <c r="R11" s="307"/>
      <c r="S11" s="307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</row>
    <row r="12" ht="22.5" customHeight="1">
      <c r="A12" s="436">
        <f>+SUMMARY!A10</f>
        <v>44534</v>
      </c>
      <c r="B12" s="437">
        <f>+SUMMARY!B10</f>
        <v>25882.4472</v>
      </c>
      <c r="C12" s="437">
        <f>+SUMMARY!C10</f>
        <v>21560.79494</v>
      </c>
      <c r="D12" s="437">
        <f>+SUMMARY!D10</f>
        <v>255.94023</v>
      </c>
      <c r="E12" s="437">
        <f>+SUMMARY!E10</f>
        <v>102</v>
      </c>
      <c r="F12" s="437">
        <f>+SUMMARY!F10</f>
        <v>1539.174144</v>
      </c>
      <c r="G12" s="437">
        <f>+SUMMARY!G10</f>
        <v>2424.537883</v>
      </c>
      <c r="H12" s="469" t="str">
        <f>+SUMMARY!H10</f>
        <v/>
      </c>
      <c r="I12" s="468">
        <f t="shared" si="1"/>
        <v>0.05946787537</v>
      </c>
      <c r="J12" s="440"/>
      <c r="K12" s="307"/>
      <c r="L12" s="307"/>
      <c r="M12" s="307"/>
      <c r="N12" s="307"/>
      <c r="O12" s="307"/>
      <c r="P12" s="307"/>
      <c r="Q12" s="307"/>
      <c r="R12" s="307"/>
      <c r="S12" s="307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</row>
    <row r="13" ht="22.5" customHeight="1">
      <c r="A13" s="436">
        <f>+SUMMARY!A11</f>
        <v>44536</v>
      </c>
      <c r="B13" s="437">
        <f>+SUMMARY!B11</f>
        <v>19954.1884</v>
      </c>
      <c r="C13" s="437">
        <f>+SUMMARY!C11</f>
        <v>17304.30669</v>
      </c>
      <c r="D13" s="437">
        <f>+SUMMARY!D11</f>
        <v>552.30769</v>
      </c>
      <c r="E13" s="437">
        <f>+SUMMARY!E11</f>
        <v>220.2</v>
      </c>
      <c r="F13" s="437">
        <f>+SUMMARY!F11</f>
        <v>1523.476529</v>
      </c>
      <c r="G13" s="437">
        <f>+SUMMARY!G11</f>
        <v>353.8974918</v>
      </c>
      <c r="H13" s="467" t="str">
        <f>+SUMMARY!H11</f>
        <v/>
      </c>
      <c r="I13" s="468">
        <f t="shared" si="1"/>
        <v>0.07634870929</v>
      </c>
      <c r="J13" s="440"/>
      <c r="K13" s="470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470"/>
      <c r="X13" s="470"/>
      <c r="Y13" s="470"/>
      <c r="Z13" s="470"/>
      <c r="AA13" s="470"/>
      <c r="AB13" s="470"/>
      <c r="AC13" s="470"/>
      <c r="AD13" s="470"/>
    </row>
    <row r="14" ht="24.0" customHeight="1">
      <c r="A14" s="436">
        <f>+SUMMARY!A12</f>
        <v>44537</v>
      </c>
      <c r="B14" s="437">
        <f>+SUMMARY!B12</f>
        <v>45005.006</v>
      </c>
      <c r="C14" s="437">
        <f>+SUMMARY!C12</f>
        <v>42406.0933</v>
      </c>
      <c r="D14" s="437">
        <f>+SUMMARY!D12</f>
        <v>445.31238</v>
      </c>
      <c r="E14" s="437">
        <f>+SUMMARY!E12</f>
        <v>117.6</v>
      </c>
      <c r="F14" s="437">
        <f>+SUMMARY!F12</f>
        <v>875.728969</v>
      </c>
      <c r="G14" s="437">
        <f>+SUMMARY!G12</f>
        <v>1160.271352</v>
      </c>
      <c r="H14" s="467" t="str">
        <f>+SUMMARY!H12</f>
        <v/>
      </c>
      <c r="I14" s="468">
        <f t="shared" si="1"/>
        <v>0.01945847911</v>
      </c>
      <c r="J14" s="440"/>
      <c r="K14" s="307"/>
      <c r="L14" s="307"/>
      <c r="M14" s="307"/>
      <c r="N14" s="307"/>
      <c r="O14" s="307"/>
      <c r="P14" s="307"/>
      <c r="Q14" s="307"/>
      <c r="R14" s="307"/>
      <c r="S14" s="307"/>
      <c r="T14" s="307"/>
      <c r="U14" s="307"/>
      <c r="V14" s="307"/>
      <c r="W14" s="307"/>
      <c r="X14" s="307"/>
      <c r="Y14" s="307"/>
      <c r="Z14" s="307"/>
      <c r="AA14" s="307"/>
      <c r="AB14" s="307"/>
      <c r="AC14" s="307"/>
      <c r="AD14" s="307"/>
    </row>
    <row r="15" ht="24.0" customHeight="1">
      <c r="A15" s="436">
        <f>+SUMMARY!A13</f>
        <v>44538</v>
      </c>
      <c r="B15" s="437">
        <f>+SUMMARY!B13</f>
        <v>42780.2104</v>
      </c>
      <c r="C15" s="437">
        <f>+SUMMARY!C13</f>
        <v>40263.89664</v>
      </c>
      <c r="D15" s="437">
        <f>+SUMMARY!D13</f>
        <v>585.303957</v>
      </c>
      <c r="E15" s="437">
        <f>+SUMMARY!E13</f>
        <v>169.8</v>
      </c>
      <c r="F15" s="437">
        <f>+SUMMARY!F13</f>
        <v>937.5270121</v>
      </c>
      <c r="G15" s="437">
        <f>+SUMMARY!G13</f>
        <v>823.6827903</v>
      </c>
      <c r="H15" s="467" t="str">
        <f>+SUMMARY!H13</f>
        <v>#REF!</v>
      </c>
      <c r="I15" s="468">
        <f t="shared" si="1"/>
        <v>0.02191496964</v>
      </c>
      <c r="J15" s="440"/>
      <c r="K15" s="307"/>
      <c r="L15" s="307"/>
      <c r="M15" s="307"/>
      <c r="N15" s="307"/>
      <c r="O15" s="307"/>
      <c r="P15" s="307"/>
      <c r="Q15" s="307"/>
      <c r="R15" s="307"/>
      <c r="S15" s="307"/>
      <c r="T15" s="307"/>
      <c r="U15" s="307"/>
      <c r="V15" s="307"/>
      <c r="W15" s="307"/>
      <c r="X15" s="307"/>
      <c r="Y15" s="307"/>
      <c r="Z15" s="307"/>
      <c r="AA15" s="307"/>
      <c r="AB15" s="307"/>
      <c r="AC15" s="307"/>
      <c r="AD15" s="307"/>
    </row>
    <row r="16" ht="24.0" customHeight="1">
      <c r="A16" s="436">
        <f>+SUMMARY!A14</f>
        <v>44539</v>
      </c>
      <c r="B16" s="437">
        <f>+SUMMARY!B14</f>
        <v>19152.0555</v>
      </c>
      <c r="C16" s="437">
        <f>+SUMMARY!C14</f>
        <v>17516.80046</v>
      </c>
      <c r="D16" s="437">
        <f>+SUMMARY!D14</f>
        <v>488.837856</v>
      </c>
      <c r="E16" s="437">
        <f>+SUMMARY!E14</f>
        <v>145.2</v>
      </c>
      <c r="F16" s="437">
        <f>+SUMMARY!F14</f>
        <v>666.8355141</v>
      </c>
      <c r="G16" s="437">
        <f>+SUMMARY!G14</f>
        <v>334.3816746</v>
      </c>
      <c r="H16" s="467" t="str">
        <f>+SUMMARY!H14</f>
        <v/>
      </c>
      <c r="I16" s="468">
        <f t="shared" si="1"/>
        <v>0.03481796062</v>
      </c>
      <c r="J16" s="440"/>
      <c r="K16" s="307"/>
      <c r="L16" s="307"/>
      <c r="M16" s="307"/>
      <c r="N16" s="307"/>
      <c r="O16" s="307"/>
      <c r="P16" s="307"/>
      <c r="Q16" s="307"/>
      <c r="R16" s="307"/>
      <c r="S16" s="307"/>
      <c r="T16" s="307"/>
      <c r="U16" s="307"/>
      <c r="V16" s="307"/>
      <c r="W16" s="307"/>
      <c r="X16" s="307"/>
      <c r="Y16" s="307"/>
      <c r="Z16" s="307"/>
      <c r="AA16" s="307"/>
      <c r="AB16" s="307"/>
      <c r="AC16" s="307"/>
      <c r="AD16" s="307"/>
    </row>
    <row r="17" ht="24.0" customHeight="1">
      <c r="A17" s="436">
        <f>+SUMMARY!A15</f>
        <v>44540</v>
      </c>
      <c r="B17" s="437">
        <f>+SUMMARY!B15</f>
        <v>46525.2376</v>
      </c>
      <c r="C17" s="437">
        <f>+SUMMARY!C15</f>
        <v>42822.04164</v>
      </c>
      <c r="D17" s="437">
        <f>+SUMMARY!D15</f>
        <v>610.334472</v>
      </c>
      <c r="E17" s="437">
        <f>+SUMMARY!E15</f>
        <v>244.2</v>
      </c>
      <c r="F17" s="437">
        <f>+SUMMARY!F15</f>
        <v>1480.120358</v>
      </c>
      <c r="G17" s="437">
        <f>+SUMMARY!G15</f>
        <v>1368.541131</v>
      </c>
      <c r="H17" s="467" t="str">
        <f>+SUMMARY!H15</f>
        <v/>
      </c>
      <c r="I17" s="468">
        <f t="shared" si="1"/>
        <v>0.03181327886</v>
      </c>
      <c r="J17" s="440"/>
      <c r="K17" s="307"/>
      <c r="L17" s="307"/>
      <c r="M17" s="307"/>
      <c r="N17" s="307"/>
      <c r="O17" s="307"/>
      <c r="P17" s="307"/>
      <c r="Q17" s="307"/>
      <c r="R17" s="307"/>
      <c r="S17" s="307"/>
      <c r="T17" s="307"/>
      <c r="U17" s="307"/>
      <c r="V17" s="307"/>
      <c r="W17" s="307"/>
      <c r="X17" s="307"/>
      <c r="Y17" s="307"/>
      <c r="Z17" s="307"/>
      <c r="AA17" s="307"/>
      <c r="AB17" s="307"/>
      <c r="AC17" s="307"/>
      <c r="AD17" s="307"/>
    </row>
    <row r="18" ht="24.0" customHeight="1">
      <c r="A18" s="436">
        <f>+SUMMARY!A16</f>
        <v>44541</v>
      </c>
      <c r="B18" s="437">
        <f>+SUMMARY!B16</f>
        <v>11519.9157</v>
      </c>
      <c r="C18" s="437">
        <f>+SUMMARY!C16</f>
        <v>10249.88662</v>
      </c>
      <c r="D18" s="437">
        <f>+SUMMARY!D16</f>
        <v>199.6899765</v>
      </c>
      <c r="E18" s="437">
        <f>+SUMMARY!E16</f>
        <v>88.8</v>
      </c>
      <c r="F18" s="437">
        <f>+SUMMARY!F16</f>
        <v>893.1945127</v>
      </c>
      <c r="G18" s="437">
        <f>+SUMMARY!G16</f>
        <v>88.34458815</v>
      </c>
      <c r="H18" s="467" t="str">
        <f>+SUMMARY!H16</f>
        <v/>
      </c>
      <c r="I18" s="468">
        <f t="shared" si="1"/>
        <v>0.07753481327</v>
      </c>
      <c r="J18" s="440"/>
      <c r="K18" s="307"/>
      <c r="L18" s="307"/>
      <c r="M18" s="307"/>
      <c r="N18" s="307"/>
      <c r="O18" s="307"/>
      <c r="P18" s="307"/>
      <c r="Q18" s="307"/>
      <c r="R18" s="307"/>
      <c r="S18" s="307"/>
      <c r="T18" s="307"/>
      <c r="U18" s="307"/>
      <c r="V18" s="307"/>
      <c r="W18" s="307"/>
      <c r="X18" s="307"/>
      <c r="Y18" s="307"/>
      <c r="Z18" s="307"/>
      <c r="AA18" s="307"/>
      <c r="AB18" s="307"/>
      <c r="AC18" s="307"/>
      <c r="AD18" s="307"/>
    </row>
    <row r="19" ht="24.0" customHeight="1">
      <c r="A19" s="436">
        <f>+SUMMARY!A17</f>
        <v>44543</v>
      </c>
      <c r="B19" s="437">
        <f>+SUMMARY!B17</f>
        <v>36168.6977</v>
      </c>
      <c r="C19" s="437">
        <f>+SUMMARY!C17</f>
        <v>33701.01894</v>
      </c>
      <c r="D19" s="437">
        <f>+SUMMARY!D17</f>
        <v>1012.816924</v>
      </c>
      <c r="E19" s="437">
        <f>+SUMMARY!E17</f>
        <v>306.6</v>
      </c>
      <c r="F19" s="437">
        <f>+SUMMARY!F17</f>
        <v>1513.728918</v>
      </c>
      <c r="G19" s="437">
        <f>+SUMMARY!G17</f>
        <v>-365.467078</v>
      </c>
      <c r="H19" s="467" t="str">
        <f>+SUMMARY!H17</f>
        <v/>
      </c>
      <c r="I19" s="468">
        <f t="shared" si="1"/>
        <v>0.04185190549</v>
      </c>
      <c r="J19" s="440"/>
      <c r="K19" s="307"/>
      <c r="L19" s="307"/>
      <c r="M19" s="307"/>
      <c r="N19" s="307"/>
      <c r="O19" s="307"/>
      <c r="P19" s="307"/>
      <c r="Q19" s="307"/>
      <c r="R19" s="307"/>
      <c r="S19" s="307"/>
      <c r="T19" s="307"/>
      <c r="U19" s="307"/>
      <c r="V19" s="307"/>
      <c r="W19" s="307"/>
      <c r="X19" s="307"/>
      <c r="Y19" s="307"/>
      <c r="Z19" s="307"/>
      <c r="AA19" s="307"/>
      <c r="AB19" s="307"/>
      <c r="AC19" s="307"/>
      <c r="AD19" s="307"/>
    </row>
    <row r="20" ht="24.0" customHeight="1">
      <c r="A20" s="436">
        <f>+SUMMARY!A18</f>
        <v>44544</v>
      </c>
      <c r="B20" s="437">
        <f>+SUMMARY!B18</f>
        <v>30281.139</v>
      </c>
      <c r="C20" s="437">
        <f>+SUMMARY!C18</f>
        <v>27514.84631</v>
      </c>
      <c r="D20" s="437">
        <f>+SUMMARY!D18</f>
        <v>206.6646195</v>
      </c>
      <c r="E20" s="437">
        <f>+SUMMARY!E18</f>
        <v>75</v>
      </c>
      <c r="F20" s="437">
        <f>+SUMMARY!F18</f>
        <v>1987.77499</v>
      </c>
      <c r="G20" s="437">
        <f>+SUMMARY!G18</f>
        <v>496.8530801</v>
      </c>
      <c r="H20" s="467" t="str">
        <f>+SUMMARY!H18</f>
        <v/>
      </c>
      <c r="I20" s="468">
        <f t="shared" si="1"/>
        <v>0.06564399674</v>
      </c>
      <c r="J20" s="440"/>
      <c r="K20" s="307"/>
      <c r="L20" s="307"/>
      <c r="M20" s="307"/>
      <c r="N20" s="307"/>
      <c r="O20" s="307"/>
      <c r="P20" s="307"/>
      <c r="Q20" s="307"/>
      <c r="R20" s="307"/>
      <c r="S20" s="307"/>
      <c r="T20" s="307"/>
      <c r="U20" s="307"/>
      <c r="V20" s="307"/>
      <c r="W20" s="307"/>
      <c r="X20" s="307"/>
      <c r="Y20" s="307"/>
      <c r="Z20" s="307"/>
      <c r="AA20" s="307"/>
      <c r="AB20" s="307"/>
      <c r="AC20" s="307"/>
      <c r="AD20" s="307"/>
    </row>
    <row r="21" ht="24.0" customHeight="1">
      <c r="A21" s="436">
        <f>+SUMMARY!A19</f>
        <v>44545</v>
      </c>
      <c r="B21" s="437">
        <f>+SUMMARY!B19</f>
        <v>43880.2607</v>
      </c>
      <c r="C21" s="437">
        <f>+SUMMARY!C19</f>
        <v>40592.75102</v>
      </c>
      <c r="D21" s="437">
        <f>+SUMMARY!D19</f>
        <v>635.65626</v>
      </c>
      <c r="E21" s="437">
        <f>+SUMMARY!E19</f>
        <v>216.6</v>
      </c>
      <c r="F21" s="437">
        <f>+SUMMARY!F19</f>
        <v>1311.015018</v>
      </c>
      <c r="G21" s="437">
        <f>+SUMMARY!G19</f>
        <v>1124.238401</v>
      </c>
      <c r="H21" s="467" t="str">
        <f>+SUMMARY!H19</f>
        <v/>
      </c>
      <c r="I21" s="468">
        <f t="shared" si="1"/>
        <v>0.02987710185</v>
      </c>
      <c r="J21" s="440"/>
      <c r="K21" s="307"/>
      <c r="L21" s="307"/>
      <c r="M21" s="307"/>
      <c r="N21" s="307"/>
      <c r="O21" s="307"/>
      <c r="P21" s="307"/>
      <c r="Q21" s="307"/>
      <c r="R21" s="307"/>
      <c r="S21" s="307"/>
      <c r="T21" s="307"/>
      <c r="U21" s="307"/>
      <c r="V21" s="307"/>
      <c r="W21" s="307"/>
      <c r="X21" s="307"/>
      <c r="Y21" s="307"/>
      <c r="Z21" s="307"/>
      <c r="AA21" s="307"/>
      <c r="AB21" s="307"/>
      <c r="AC21" s="307"/>
      <c r="AD21" s="307"/>
    </row>
    <row r="22" ht="24.0" customHeight="1">
      <c r="A22" s="436">
        <f>+SUMMARY!A20</f>
        <v>44547</v>
      </c>
      <c r="B22" s="437">
        <f>+SUMMARY!B20</f>
        <v>59740.1166</v>
      </c>
      <c r="C22" s="437">
        <f>+SUMMARY!C20</f>
        <v>55609.71205</v>
      </c>
      <c r="D22" s="437">
        <f>+SUMMARY!D20</f>
        <v>754.0013955</v>
      </c>
      <c r="E22" s="437">
        <f>+SUMMARY!E20</f>
        <v>277.8</v>
      </c>
      <c r="F22" s="437">
        <f>+SUMMARY!F20</f>
        <v>2190.8064</v>
      </c>
      <c r="G22" s="437">
        <f>+SUMMARY!G20</f>
        <v>907.7967536</v>
      </c>
      <c r="H22" s="467" t="str">
        <f>+SUMMARY!H20</f>
        <v/>
      </c>
      <c r="I22" s="468">
        <f t="shared" si="1"/>
        <v>0.03667228196</v>
      </c>
      <c r="J22" s="440"/>
      <c r="K22" s="307"/>
      <c r="L22" s="307"/>
      <c r="M22" s="307"/>
      <c r="N22" s="307"/>
      <c r="O22" s="307"/>
      <c r="P22" s="307"/>
      <c r="Q22" s="307"/>
      <c r="R22" s="307"/>
      <c r="S22" s="30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</row>
    <row r="23" ht="24.0" customHeight="1">
      <c r="A23" s="436">
        <f>+SUMMARY!A21</f>
        <v>44548</v>
      </c>
      <c r="B23" s="437">
        <f>+SUMMARY!B21</f>
        <v>17552.8779</v>
      </c>
      <c r="C23" s="437">
        <f>+SUMMARY!C21</f>
        <v>16369.64108</v>
      </c>
      <c r="D23" s="437">
        <f>+SUMMARY!D21</f>
        <v>337.073944</v>
      </c>
      <c r="E23" s="437">
        <f>+SUMMARY!E21</f>
        <v>139.8</v>
      </c>
      <c r="F23" s="437">
        <f>+SUMMARY!F21</f>
        <v>398.1750552</v>
      </c>
      <c r="G23" s="437">
        <f>+SUMMARY!G21</f>
        <v>308.1878206</v>
      </c>
      <c r="H23" s="467" t="str">
        <f>+SUMMARY!H21</f>
        <v/>
      </c>
      <c r="I23" s="468">
        <f t="shared" si="1"/>
        <v>0.02268431749</v>
      </c>
      <c r="J23" s="440"/>
      <c r="K23" s="307"/>
      <c r="L23" s="307"/>
      <c r="M23" s="307"/>
      <c r="N23" s="307"/>
      <c r="O23" s="307"/>
      <c r="P23" s="307"/>
      <c r="Q23" s="307"/>
      <c r="R23" s="307"/>
      <c r="S23" s="307"/>
      <c r="T23" s="307"/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</row>
    <row r="24" ht="24.0" customHeight="1">
      <c r="A24" s="436">
        <f>+SUMMARY!A22</f>
        <v>44549</v>
      </c>
      <c r="B24" s="437">
        <f>+SUMMARY!B22</f>
        <v>6959.5194</v>
      </c>
      <c r="C24" s="437">
        <f>+SUMMARY!C22</f>
        <v>6117.789559</v>
      </c>
      <c r="D24" s="437">
        <f>+SUMMARY!D22</f>
        <v>154.331892</v>
      </c>
      <c r="E24" s="437">
        <f>+SUMMARY!E22</f>
        <v>48.6</v>
      </c>
      <c r="F24" s="437">
        <f>+SUMMARY!F22</f>
        <v>592.3052618</v>
      </c>
      <c r="G24" s="437">
        <f>+SUMMARY!G22</f>
        <v>46.49268762</v>
      </c>
      <c r="H24" s="467" t="str">
        <f>+SUMMARY!H22</f>
        <v/>
      </c>
      <c r="I24" s="468">
        <f t="shared" si="1"/>
        <v>0.08510720751</v>
      </c>
      <c r="J24" s="440"/>
      <c r="K24" s="307"/>
      <c r="L24" s="307"/>
      <c r="M24" s="307"/>
      <c r="N24" s="307"/>
      <c r="O24" s="307"/>
      <c r="P24" s="307"/>
      <c r="Q24" s="307"/>
      <c r="R24" s="307"/>
      <c r="S24" s="307"/>
      <c r="T24" s="307"/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</row>
    <row r="25" ht="24.0" customHeight="1">
      <c r="A25" s="436">
        <f>+SUMMARY!A23</f>
        <v>44550</v>
      </c>
      <c r="B25" s="437">
        <f>+SUMMARY!B23</f>
        <v>42498.824</v>
      </c>
      <c r="C25" s="437">
        <f>+SUMMARY!C23</f>
        <v>38599.86759</v>
      </c>
      <c r="D25" s="437">
        <f>+SUMMARY!D23</f>
        <v>0</v>
      </c>
      <c r="E25" s="437">
        <f>+SUMMARY!E23</f>
        <v>192.6</v>
      </c>
      <c r="F25" s="437">
        <f>+SUMMARY!F23</f>
        <v>2211.350853</v>
      </c>
      <c r="G25" s="437">
        <f>+SUMMARY!G23</f>
        <v>1495.005558</v>
      </c>
      <c r="H25" s="467" t="str">
        <f>+SUMMARY!H23</f>
        <v/>
      </c>
      <c r="I25" s="468">
        <f t="shared" si="1"/>
        <v>0.05203322458</v>
      </c>
      <c r="J25" s="440"/>
      <c r="K25" s="470"/>
      <c r="L25" s="470"/>
      <c r="M25" s="470"/>
      <c r="N25" s="470"/>
      <c r="O25" s="470"/>
      <c r="P25" s="470"/>
      <c r="Q25" s="470"/>
      <c r="R25" s="470"/>
      <c r="S25" s="470"/>
      <c r="T25" s="470"/>
      <c r="U25" s="470"/>
      <c r="V25" s="470"/>
      <c r="W25" s="470"/>
      <c r="X25" s="470"/>
      <c r="Y25" s="470"/>
      <c r="Z25" s="470"/>
      <c r="AA25" s="470"/>
      <c r="AB25" s="470"/>
      <c r="AC25" s="470"/>
      <c r="AD25" s="470"/>
    </row>
    <row r="26" ht="24.0" customHeight="1">
      <c r="A26" s="436">
        <f>+SUMMARY!A24</f>
        <v>44551</v>
      </c>
      <c r="B26" s="437">
        <f>+SUMMARY!B24</f>
        <v>51812.5395</v>
      </c>
      <c r="C26" s="437">
        <f>+SUMMARY!C24</f>
        <v>47543.99022</v>
      </c>
      <c r="D26" s="437">
        <f>+SUMMARY!D24</f>
        <v>0</v>
      </c>
      <c r="E26" s="437">
        <f>+SUMMARY!E24</f>
        <v>157.2</v>
      </c>
      <c r="F26" s="437">
        <f>+SUMMARY!F24</f>
        <v>2383.992472</v>
      </c>
      <c r="G26" s="437">
        <f>+SUMMARY!G24</f>
        <v>1727.356804</v>
      </c>
      <c r="H26" s="467" t="str">
        <f>+SUMMARY!H24</f>
        <v/>
      </c>
      <c r="I26" s="468">
        <f t="shared" si="1"/>
        <v>0.04601188235</v>
      </c>
      <c r="J26" s="440"/>
      <c r="K26" s="307"/>
      <c r="L26" s="307"/>
      <c r="M26" s="307"/>
      <c r="N26" s="307"/>
      <c r="O26" s="307"/>
      <c r="P26" s="307"/>
      <c r="Q26" s="307"/>
      <c r="R26" s="307"/>
      <c r="S26" s="30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</row>
    <row r="27" ht="24.0" customHeight="1">
      <c r="A27" s="436">
        <f>+SUMMARY!A25</f>
        <v>44552</v>
      </c>
      <c r="B27" s="437">
        <f>+SUMMARY!B25</f>
        <v>41459.244</v>
      </c>
      <c r="C27" s="437">
        <f>+SUMMARY!C25</f>
        <v>38670.27177</v>
      </c>
      <c r="D27" s="437">
        <f>+SUMMARY!D25</f>
        <v>0</v>
      </c>
      <c r="E27" s="437">
        <f>+SUMMARY!E25</f>
        <v>193.2</v>
      </c>
      <c r="F27" s="437">
        <f>+SUMMARY!F25</f>
        <v>934.4075244</v>
      </c>
      <c r="G27" s="437">
        <f>+SUMMARY!G25</f>
        <v>1661.364709</v>
      </c>
      <c r="H27" s="467" t="str">
        <f>+SUMMARY!H25</f>
        <v/>
      </c>
      <c r="I27" s="468">
        <f t="shared" si="1"/>
        <v>0.02253797788</v>
      </c>
      <c r="J27" s="440"/>
      <c r="K27" s="307"/>
      <c r="L27" s="307"/>
      <c r="M27" s="307"/>
      <c r="N27" s="307"/>
      <c r="O27" s="307"/>
      <c r="P27" s="307"/>
      <c r="Q27" s="307"/>
      <c r="R27" s="307"/>
      <c r="S27" s="307"/>
      <c r="T27" s="307"/>
      <c r="U27" s="307"/>
      <c r="V27" s="307"/>
      <c r="W27" s="307"/>
      <c r="X27" s="307"/>
      <c r="Y27" s="307"/>
      <c r="Z27" s="307"/>
      <c r="AA27" s="307"/>
      <c r="AB27" s="307"/>
      <c r="AC27" s="307"/>
      <c r="AD27" s="307"/>
    </row>
    <row r="28" ht="24.0" customHeight="1">
      <c r="A28" s="436">
        <f>+SUMMARY!A26</f>
        <v>44553</v>
      </c>
      <c r="B28" s="437">
        <f>+SUMMARY!B26</f>
        <v>32416.9951</v>
      </c>
      <c r="C28" s="437">
        <f>+SUMMARY!C26</f>
        <v>30448.34276</v>
      </c>
      <c r="D28" s="437">
        <f>+SUMMARY!D26</f>
        <v>0</v>
      </c>
      <c r="E28" s="437">
        <f>+SUMMARY!E26</f>
        <v>191.4</v>
      </c>
      <c r="F28" s="437">
        <f>+SUMMARY!F26</f>
        <v>970.3027349</v>
      </c>
      <c r="G28" s="437">
        <f>+SUMMARY!G26</f>
        <v>806.9496061</v>
      </c>
      <c r="H28" s="467" t="str">
        <f>+SUMMARY!H26</f>
        <v/>
      </c>
      <c r="I28" s="468">
        <f t="shared" si="1"/>
        <v>0.02993191478</v>
      </c>
      <c r="J28" s="440"/>
      <c r="K28" s="307"/>
      <c r="L28" s="307"/>
      <c r="M28" s="307"/>
      <c r="N28" s="307"/>
      <c r="O28" s="307"/>
      <c r="P28" s="307"/>
      <c r="Q28" s="307"/>
      <c r="R28" s="307"/>
      <c r="S28" s="307"/>
      <c r="T28" s="307"/>
      <c r="U28" s="307"/>
      <c r="V28" s="307"/>
      <c r="W28" s="307"/>
      <c r="X28" s="307"/>
      <c r="Y28" s="307"/>
      <c r="Z28" s="307"/>
      <c r="AA28" s="307"/>
      <c r="AB28" s="307"/>
      <c r="AC28" s="307"/>
      <c r="AD28" s="307"/>
    </row>
    <row r="29" ht="24.0" customHeight="1">
      <c r="A29" s="436">
        <f>+SUMMARY!A27</f>
        <v>44554</v>
      </c>
      <c r="B29" s="437">
        <f>+SUMMARY!B27</f>
        <v>47245.3448</v>
      </c>
      <c r="C29" s="437">
        <f>+SUMMARY!C27</f>
        <v>44537.77476</v>
      </c>
      <c r="D29" s="437">
        <f>+SUMMARY!D27</f>
        <v>0</v>
      </c>
      <c r="E29" s="437">
        <f>+SUMMARY!E27</f>
        <v>163.2</v>
      </c>
      <c r="F29" s="437">
        <f>+SUMMARY!F27</f>
        <v>903.1886236</v>
      </c>
      <c r="G29" s="437">
        <f>+SUMMARY!G27</f>
        <v>1641.181418</v>
      </c>
      <c r="H29" s="469" t="str">
        <f>+SUMMARY!H27</f>
        <v/>
      </c>
      <c r="I29" s="468">
        <f t="shared" si="1"/>
        <v>0.0191169866</v>
      </c>
      <c r="J29" s="440"/>
      <c r="K29" s="307"/>
      <c r="L29" s="307"/>
      <c r="M29" s="307"/>
      <c r="N29" s="307"/>
      <c r="O29" s="307"/>
      <c r="P29" s="307"/>
      <c r="Q29" s="307"/>
      <c r="R29" s="307"/>
      <c r="S29" s="307"/>
      <c r="T29" s="307"/>
      <c r="U29" s="307"/>
      <c r="V29" s="307"/>
      <c r="W29" s="307"/>
      <c r="X29" s="307"/>
      <c r="Y29" s="307"/>
      <c r="Z29" s="307"/>
      <c r="AA29" s="307"/>
      <c r="AB29" s="307"/>
      <c r="AC29" s="307"/>
      <c r="AD29" s="307"/>
    </row>
    <row r="30" ht="24.0" customHeight="1">
      <c r="A30" s="436">
        <f>+SUMMARY!A28</f>
        <v>44555</v>
      </c>
      <c r="B30" s="437">
        <f>+SUMMARY!B28</f>
        <v>40892.6312</v>
      </c>
      <c r="C30" s="437">
        <f>+SUMMARY!C28</f>
        <v>37974.33568</v>
      </c>
      <c r="D30" s="437">
        <f>+SUMMARY!D28</f>
        <v>0</v>
      </c>
      <c r="E30" s="437">
        <f>+SUMMARY!E28</f>
        <v>202.8</v>
      </c>
      <c r="F30" s="437">
        <f>+SUMMARY!F28</f>
        <v>1565.157998</v>
      </c>
      <c r="G30" s="437">
        <f>+SUMMARY!G28</f>
        <v>1150.337527</v>
      </c>
      <c r="H30" s="467" t="str">
        <f>+SUMMARY!H28</f>
        <v/>
      </c>
      <c r="I30" s="468">
        <f t="shared" si="1"/>
        <v>0.03827481753</v>
      </c>
      <c r="J30" s="440"/>
      <c r="K30" s="307"/>
      <c r="L30" s="307"/>
      <c r="M30" s="307"/>
      <c r="N30" s="307"/>
      <c r="O30" s="307"/>
      <c r="P30" s="307"/>
      <c r="Q30" s="307"/>
      <c r="R30" s="307"/>
      <c r="S30" s="307"/>
      <c r="T30" s="307"/>
      <c r="U30" s="307"/>
      <c r="V30" s="307"/>
      <c r="W30" s="307"/>
      <c r="X30" s="307"/>
      <c r="Y30" s="307"/>
      <c r="Z30" s="307"/>
      <c r="AA30" s="307"/>
      <c r="AB30" s="307"/>
      <c r="AC30" s="307"/>
      <c r="AD30" s="307"/>
    </row>
    <row r="31" ht="24.0" customHeight="1">
      <c r="A31" s="436">
        <f>+SUMMARY!A29</f>
        <v>44557</v>
      </c>
      <c r="B31" s="437">
        <f>+SUMMARY!B29</f>
        <v>54168.1505</v>
      </c>
      <c r="C31" s="437">
        <f>+SUMMARY!C29</f>
        <v>49238.03389</v>
      </c>
      <c r="D31" s="437">
        <f>+SUMMARY!D29</f>
        <v>0</v>
      </c>
      <c r="E31" s="437">
        <f>+SUMMARY!E29</f>
        <v>242.4</v>
      </c>
      <c r="F31" s="437">
        <f>+SUMMARY!F29</f>
        <v>2068.939212</v>
      </c>
      <c r="G31" s="437">
        <f>+SUMMARY!G29</f>
        <v>2618.777397</v>
      </c>
      <c r="H31" s="467" t="str">
        <f>+SUMMARY!H29</f>
        <v/>
      </c>
      <c r="I31" s="468">
        <f t="shared" si="1"/>
        <v>0.03819475454</v>
      </c>
      <c r="J31" s="440"/>
      <c r="K31" s="307"/>
      <c r="L31" s="307"/>
      <c r="M31" s="307"/>
      <c r="N31" s="307"/>
      <c r="O31" s="307"/>
      <c r="P31" s="307"/>
      <c r="Q31" s="307"/>
      <c r="R31" s="307"/>
      <c r="S31" s="307"/>
      <c r="T31" s="307"/>
      <c r="U31" s="307"/>
      <c r="V31" s="307"/>
      <c r="W31" s="307"/>
      <c r="X31" s="307"/>
      <c r="Y31" s="307"/>
      <c r="Z31" s="307"/>
      <c r="AA31" s="307"/>
      <c r="AB31" s="307"/>
      <c r="AC31" s="307"/>
      <c r="AD31" s="307"/>
    </row>
    <row r="32" ht="24.0" customHeight="1">
      <c r="A32" s="436">
        <f>+SUMMARY!A30</f>
        <v>44558</v>
      </c>
      <c r="B32" s="437">
        <f>+SUMMARY!B30</f>
        <v>43533.2527</v>
      </c>
      <c r="C32" s="437">
        <f>+SUMMARY!C30</f>
        <v>40565.30544</v>
      </c>
      <c r="D32" s="437">
        <f>+SUMMARY!D30</f>
        <v>0</v>
      </c>
      <c r="E32" s="437">
        <f>+SUMMARY!E30</f>
        <v>244.8</v>
      </c>
      <c r="F32" s="437">
        <f>+SUMMARY!F30</f>
        <v>1442.964291</v>
      </c>
      <c r="G32" s="437">
        <f>+SUMMARY!G30</f>
        <v>1280.182973</v>
      </c>
      <c r="H32" s="469" t="str">
        <f>+SUMMARY!H30</f>
        <v/>
      </c>
      <c r="I32" s="468">
        <f t="shared" si="1"/>
        <v>0.03314625492</v>
      </c>
      <c r="J32" s="440"/>
      <c r="K32" s="307"/>
      <c r="L32" s="307"/>
      <c r="M32" s="307"/>
      <c r="N32" s="307"/>
      <c r="O32" s="307"/>
      <c r="P32" s="307"/>
      <c r="Q32" s="307"/>
      <c r="R32" s="307"/>
      <c r="S32" s="307"/>
      <c r="T32" s="307"/>
      <c r="U32" s="307"/>
      <c r="V32" s="307"/>
      <c r="W32" s="307"/>
      <c r="X32" s="307"/>
      <c r="Y32" s="307"/>
      <c r="Z32" s="307"/>
      <c r="AA32" s="307"/>
      <c r="AB32" s="307"/>
      <c r="AC32" s="307"/>
      <c r="AD32" s="307"/>
    </row>
    <row r="33" ht="24.0" customHeight="1">
      <c r="A33" s="436" t="str">
        <f>+SUMMARY!#REF!</f>
        <v>#ERROR!</v>
      </c>
      <c r="B33" s="437" t="str">
        <f>+SUMMARY!#REF!</f>
        <v>#ERROR!</v>
      </c>
      <c r="C33" s="437" t="str">
        <f>+SUMMARY!#REF!</f>
        <v>#ERROR!</v>
      </c>
      <c r="D33" s="437" t="str">
        <f>+SUMMARY!#REF!</f>
        <v>#ERROR!</v>
      </c>
      <c r="E33" s="437" t="str">
        <f>+SUMMARY!#REF!</f>
        <v>#ERROR!</v>
      </c>
      <c r="F33" s="437" t="str">
        <f>+SUMMARY!#REF!</f>
        <v>#ERROR!</v>
      </c>
      <c r="G33" s="437" t="str">
        <f>+SUMMARY!#REF!</f>
        <v>#ERROR!</v>
      </c>
      <c r="H33" s="467" t="str">
        <f>+SUMMARY!#REF!</f>
        <v>#ERROR!</v>
      </c>
      <c r="I33" s="468" t="str">
        <f t="shared" si="1"/>
        <v>#ERROR!</v>
      </c>
      <c r="J33" s="440"/>
      <c r="K33" s="307"/>
      <c r="L33" s="307"/>
      <c r="M33" s="307"/>
      <c r="N33" s="307"/>
      <c r="O33" s="307"/>
      <c r="P33" s="307"/>
      <c r="Q33" s="307"/>
      <c r="R33" s="307"/>
      <c r="S33" s="307"/>
      <c r="T33" s="307"/>
      <c r="U33" s="307"/>
      <c r="V33" s="307"/>
      <c r="W33" s="307"/>
      <c r="X33" s="307"/>
      <c r="Y33" s="307"/>
      <c r="Z33" s="307"/>
      <c r="AA33" s="307"/>
      <c r="AB33" s="307"/>
      <c r="AC33" s="307"/>
      <c r="AD33" s="307"/>
    </row>
    <row r="34" ht="24.0" customHeight="1">
      <c r="A34" s="436" t="str">
        <f>+SUMMARY!#REF!</f>
        <v>#ERROR!</v>
      </c>
      <c r="B34" s="437" t="str">
        <f>+SUMMARY!#REF!</f>
        <v>#ERROR!</v>
      </c>
      <c r="C34" s="437" t="str">
        <f>+SUMMARY!#REF!</f>
        <v>#ERROR!</v>
      </c>
      <c r="D34" s="437" t="str">
        <f>+SUMMARY!#REF!</f>
        <v>#ERROR!</v>
      </c>
      <c r="E34" s="437" t="str">
        <f>+SUMMARY!#REF!</f>
        <v>#ERROR!</v>
      </c>
      <c r="F34" s="437" t="str">
        <f>+SUMMARY!#REF!</f>
        <v>#ERROR!</v>
      </c>
      <c r="G34" s="437" t="str">
        <f>+SUMMARY!#REF!</f>
        <v>#ERROR!</v>
      </c>
      <c r="H34" s="467" t="str">
        <f>+SUMMARY!#REF!</f>
        <v>#ERROR!</v>
      </c>
      <c r="I34" s="468" t="str">
        <f t="shared" si="1"/>
        <v>#ERROR!</v>
      </c>
      <c r="J34" s="440"/>
      <c r="K34" s="307"/>
      <c r="L34" s="307"/>
      <c r="M34" s="307"/>
      <c r="N34" s="307"/>
      <c r="O34" s="307"/>
      <c r="P34" s="307"/>
      <c r="Q34" s="307"/>
      <c r="R34" s="307"/>
      <c r="S34" s="307"/>
      <c r="T34" s="307"/>
      <c r="U34" s="307"/>
      <c r="V34" s="307"/>
      <c r="W34" s="307"/>
      <c r="X34" s="307"/>
      <c r="Y34" s="307"/>
      <c r="Z34" s="307"/>
      <c r="AA34" s="307"/>
      <c r="AB34" s="307"/>
      <c r="AC34" s="307"/>
      <c r="AD34" s="307"/>
    </row>
    <row r="35" ht="24.0" customHeight="1">
      <c r="A35" s="436" t="str">
        <f>+SUMMARY!#REF!</f>
        <v>#ERROR!</v>
      </c>
      <c r="B35" s="437" t="str">
        <f>+SUMMARY!#REF!</f>
        <v>#ERROR!</v>
      </c>
      <c r="C35" s="437" t="str">
        <f>+SUMMARY!#REF!</f>
        <v>#ERROR!</v>
      </c>
      <c r="D35" s="437" t="str">
        <f>+SUMMARY!#REF!</f>
        <v>#ERROR!</v>
      </c>
      <c r="E35" s="437" t="str">
        <f>+SUMMARY!#REF!</f>
        <v>#ERROR!</v>
      </c>
      <c r="F35" s="437" t="str">
        <f>+SUMMARY!#REF!</f>
        <v>#ERROR!</v>
      </c>
      <c r="G35" s="437" t="str">
        <f>+SUMMARY!#REF!</f>
        <v>#ERROR!</v>
      </c>
      <c r="H35" s="467" t="str">
        <f>+SUMMARY!#REF!</f>
        <v>#ERROR!</v>
      </c>
      <c r="I35" s="468" t="str">
        <f t="shared" si="1"/>
        <v>#ERROR!</v>
      </c>
      <c r="J35" s="440"/>
      <c r="K35" s="307"/>
      <c r="L35" s="307"/>
      <c r="M35" s="307"/>
      <c r="N35" s="307"/>
      <c r="O35" s="307"/>
      <c r="P35" s="307"/>
      <c r="Q35" s="307"/>
      <c r="R35" s="307"/>
      <c r="S35" s="307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</row>
    <row r="36" ht="24.0" customHeight="1">
      <c r="A36" s="436" t="str">
        <f>+SUMMARY!#REF!</f>
        <v>#ERROR!</v>
      </c>
      <c r="B36" s="437" t="str">
        <f>+SUMMARY!#REF!</f>
        <v>#ERROR!</v>
      </c>
      <c r="C36" s="437" t="str">
        <f>+SUMMARY!#REF!</f>
        <v>#ERROR!</v>
      </c>
      <c r="D36" s="437" t="str">
        <f>+SUMMARY!#REF!</f>
        <v>#ERROR!</v>
      </c>
      <c r="E36" s="437" t="str">
        <f>+SUMMARY!#REF!</f>
        <v>#ERROR!</v>
      </c>
      <c r="F36" s="437" t="str">
        <f>+SUMMARY!#REF!</f>
        <v>#ERROR!</v>
      </c>
      <c r="G36" s="437" t="str">
        <f>+SUMMARY!#REF!</f>
        <v>#ERROR!</v>
      </c>
      <c r="H36" s="467" t="str">
        <f>+SUMMARY!#REF!</f>
        <v>#ERROR!</v>
      </c>
      <c r="I36" s="468" t="str">
        <f t="shared" si="1"/>
        <v>#ERROR!</v>
      </c>
      <c r="J36" s="440"/>
      <c r="K36" s="307"/>
      <c r="L36" s="307"/>
      <c r="M36" s="307"/>
      <c r="N36" s="307"/>
      <c r="O36" s="307"/>
      <c r="P36" s="307"/>
      <c r="Q36" s="307"/>
      <c r="R36" s="307"/>
      <c r="S36" s="307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</row>
    <row r="37" ht="24.0" customHeight="1">
      <c r="A37" s="436" t="str">
        <f>+SUMMARY!#REF!</f>
        <v>#ERROR!</v>
      </c>
      <c r="B37" s="437" t="str">
        <f>+SUMMARY!#REF!</f>
        <v>#ERROR!</v>
      </c>
      <c r="C37" s="437" t="str">
        <f>+SUMMARY!#REF!</f>
        <v>#ERROR!</v>
      </c>
      <c r="D37" s="437" t="str">
        <f>+SUMMARY!#REF!</f>
        <v>#ERROR!</v>
      </c>
      <c r="E37" s="437" t="str">
        <f>+SUMMARY!#REF!</f>
        <v>#ERROR!</v>
      </c>
      <c r="F37" s="437" t="str">
        <f>+SUMMARY!#REF!</f>
        <v>#ERROR!</v>
      </c>
      <c r="G37" s="437" t="str">
        <f>+SUMMARY!#REF!</f>
        <v>#ERROR!</v>
      </c>
      <c r="H37" s="467" t="str">
        <f>+SUMMARY!#REF!</f>
        <v>#ERROR!</v>
      </c>
      <c r="I37" s="468" t="str">
        <f t="shared" si="1"/>
        <v>#ERROR!</v>
      </c>
      <c r="J37" s="440"/>
      <c r="K37" s="307"/>
      <c r="L37" s="307"/>
      <c r="M37" s="307"/>
      <c r="N37" s="307"/>
      <c r="O37" s="307"/>
      <c r="P37" s="307"/>
      <c r="Q37" s="307"/>
      <c r="R37" s="307"/>
      <c r="S37" s="307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</row>
    <row r="38" ht="30.0" customHeight="1">
      <c r="A38" s="471" t="s">
        <v>117</v>
      </c>
      <c r="B38" s="472" t="str">
        <f t="shared" ref="B38:G38" si="2">SUM(B8:B37)</f>
        <v>#ERROR!</v>
      </c>
      <c r="C38" s="472" t="str">
        <f t="shared" si="2"/>
        <v>#ERROR!</v>
      </c>
      <c r="D38" s="472" t="str">
        <f t="shared" si="2"/>
        <v>#ERROR!</v>
      </c>
      <c r="E38" s="472" t="str">
        <f t="shared" si="2"/>
        <v>#ERROR!</v>
      </c>
      <c r="F38" s="472" t="str">
        <f t="shared" si="2"/>
        <v>#ERROR!</v>
      </c>
      <c r="G38" s="472" t="str">
        <f t="shared" si="2"/>
        <v>#ERROR!</v>
      </c>
      <c r="H38" s="473" t="str">
        <f>+SUMMARY!H31</f>
        <v/>
      </c>
      <c r="I38" s="474" t="str">
        <f t="shared" si="1"/>
        <v>#ERROR!</v>
      </c>
      <c r="J38" s="450"/>
      <c r="K38" s="307"/>
      <c r="L38" s="307"/>
      <c r="M38" s="307"/>
      <c r="N38" s="307"/>
      <c r="O38" s="307"/>
      <c r="P38" s="307"/>
      <c r="Q38" s="307"/>
      <c r="R38" s="307"/>
      <c r="S38" s="307"/>
      <c r="T38" s="307"/>
      <c r="U38" s="307"/>
      <c r="V38" s="307"/>
      <c r="W38" s="307"/>
      <c r="X38" s="307"/>
      <c r="Y38" s="307"/>
      <c r="Z38" s="307"/>
      <c r="AA38" s="307"/>
      <c r="AB38" s="307"/>
      <c r="AC38" s="307"/>
      <c r="AD38" s="307"/>
    </row>
    <row r="39" ht="24.75" customHeight="1">
      <c r="A39" s="475" t="s">
        <v>49</v>
      </c>
      <c r="B39" s="476"/>
      <c r="C39" s="477" t="str">
        <f>+C38/B38</f>
        <v>#ERROR!</v>
      </c>
      <c r="D39" s="477" t="str">
        <f>+D38/B38</f>
        <v>#ERROR!</v>
      </c>
      <c r="E39" s="477" t="str">
        <f>+E38/B38</f>
        <v>#ERROR!</v>
      </c>
      <c r="F39" s="478" t="str">
        <f>+F38/B38</f>
        <v>#ERROR!</v>
      </c>
      <c r="G39" s="452" t="str">
        <f>+G38/B38</f>
        <v>#ERROR!</v>
      </c>
      <c r="H39" s="473" t="str">
        <f>+SUMMARY!H32</f>
        <v/>
      </c>
      <c r="I39" s="361"/>
      <c r="J39" s="455"/>
      <c r="K39" s="307"/>
      <c r="L39" s="307"/>
      <c r="M39" s="307"/>
      <c r="N39" s="307"/>
      <c r="O39" s="307"/>
      <c r="P39" s="307"/>
      <c r="Q39" s="307"/>
      <c r="R39" s="307"/>
      <c r="S39" s="307"/>
      <c r="T39" s="307"/>
      <c r="U39" s="307"/>
      <c r="V39" s="307"/>
      <c r="W39" s="307"/>
      <c r="X39" s="307"/>
      <c r="Y39" s="307"/>
      <c r="Z39" s="307"/>
      <c r="AA39" s="307"/>
      <c r="AB39" s="307"/>
      <c r="AC39" s="307"/>
      <c r="AD39" s="307"/>
    </row>
    <row r="40" ht="33.75" customHeight="1">
      <c r="A40" s="456" t="s">
        <v>224</v>
      </c>
      <c r="B40" s="457"/>
      <c r="C40" s="458"/>
      <c r="D40" s="458">
        <v>0.0053</v>
      </c>
      <c r="E40" s="458">
        <v>0.0084</v>
      </c>
      <c r="F40" s="458"/>
      <c r="G40" s="479">
        <v>0.0061</v>
      </c>
      <c r="H40" s="460"/>
      <c r="I40" s="307"/>
      <c r="J40" s="307"/>
      <c r="K40" s="307"/>
      <c r="L40" s="307"/>
      <c r="M40" s="307"/>
      <c r="N40" s="307"/>
      <c r="O40" s="307"/>
      <c r="P40" s="307"/>
      <c r="Q40" s="307"/>
      <c r="R40" s="307"/>
      <c r="S40" s="307"/>
      <c r="T40" s="307"/>
      <c r="U40" s="307"/>
      <c r="V40" s="307"/>
      <c r="W40" s="307"/>
      <c r="X40" s="307"/>
      <c r="Y40" s="307"/>
      <c r="Z40" s="307"/>
      <c r="AA40" s="307"/>
      <c r="AB40" s="307"/>
      <c r="AC40" s="307"/>
      <c r="AD40" s="307"/>
    </row>
    <row r="41" ht="40.5" customHeight="1">
      <c r="A41" s="461"/>
      <c r="B41" s="307"/>
      <c r="C41" s="307"/>
      <c r="D41" s="307" t="s">
        <v>225</v>
      </c>
      <c r="E41" s="307"/>
      <c r="F41" s="354" t="str">
        <f>+D38+E38+F38+G38</f>
        <v>#ERROR!</v>
      </c>
      <c r="G41" s="307"/>
      <c r="H41" s="462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307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</row>
    <row r="42" ht="20.25" customHeight="1">
      <c r="A42" s="461"/>
      <c r="B42" s="307"/>
      <c r="C42" s="307"/>
      <c r="D42" s="307" t="s">
        <v>226</v>
      </c>
      <c r="E42" s="307"/>
      <c r="F42" s="356" t="str">
        <f>+F41/B38</f>
        <v>#ERROR!</v>
      </c>
      <c r="G42" s="307"/>
      <c r="H42" s="462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7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</row>
    <row r="43" ht="20.25" customHeight="1">
      <c r="A43" s="461"/>
      <c r="B43" s="307"/>
      <c r="C43" s="307"/>
      <c r="D43" s="307" t="s">
        <v>227</v>
      </c>
      <c r="E43" s="307"/>
      <c r="F43" s="356" t="str">
        <f t="shared" ref="F43:F44" si="3">+D39+E39+G39</f>
        <v>#ERROR!</v>
      </c>
      <c r="G43" s="307"/>
      <c r="H43" s="462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307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</row>
    <row r="44" ht="20.25" customHeight="1">
      <c r="A44" s="461"/>
      <c r="B44" s="307"/>
      <c r="C44" s="310" t="s">
        <v>228</v>
      </c>
      <c r="D44" s="310"/>
      <c r="E44" s="310"/>
      <c r="F44" s="349">
        <f t="shared" si="3"/>
        <v>0.0198</v>
      </c>
      <c r="G44" s="307"/>
      <c r="H44" s="462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07"/>
      <c r="AD44" s="307"/>
    </row>
    <row r="45" ht="20.25" customHeight="1">
      <c r="A45" s="461" t="s">
        <v>229</v>
      </c>
      <c r="B45" s="307"/>
      <c r="C45" s="307"/>
      <c r="D45" s="358">
        <v>9.0</v>
      </c>
      <c r="E45" s="307"/>
      <c r="F45" s="307"/>
      <c r="G45" s="307"/>
      <c r="H45" s="462"/>
      <c r="I45" s="307"/>
      <c r="J45" s="307"/>
      <c r="K45" s="307"/>
      <c r="L45" s="307"/>
      <c r="M45" s="307"/>
      <c r="N45" s="307"/>
      <c r="O45" s="307"/>
      <c r="P45" s="307"/>
      <c r="Q45" s="307"/>
      <c r="R45" s="307"/>
      <c r="S45" s="307"/>
      <c r="T45" s="307"/>
      <c r="U45" s="307"/>
      <c r="V45" s="307"/>
      <c r="W45" s="307"/>
      <c r="X45" s="307"/>
      <c r="Y45" s="307"/>
      <c r="Z45" s="307"/>
      <c r="AA45" s="307"/>
      <c r="AB45" s="307"/>
      <c r="AC45" s="307"/>
      <c r="AD45" s="307"/>
    </row>
    <row r="46" ht="20.25" customHeight="1">
      <c r="A46" s="461"/>
      <c r="B46" s="307"/>
      <c r="C46" s="307" t="s">
        <v>230</v>
      </c>
      <c r="D46" s="359" t="str">
        <f t="shared" ref="D46:E46" si="4">+$D$45*D38</f>
        <v>#ERROR!</v>
      </c>
      <c r="E46" s="359" t="str">
        <f t="shared" si="4"/>
        <v>#ERROR!</v>
      </c>
      <c r="F46" s="359"/>
      <c r="G46" s="359" t="str">
        <f>+$D$45*G38</f>
        <v>#ERROR!</v>
      </c>
      <c r="H46" s="462"/>
      <c r="I46" s="307"/>
      <c r="J46" s="307"/>
      <c r="K46" s="307"/>
      <c r="L46" s="307"/>
      <c r="M46" s="307"/>
      <c r="N46" s="307"/>
      <c r="O46" s="307"/>
      <c r="P46" s="307"/>
      <c r="Q46" s="307"/>
      <c r="R46" s="307"/>
      <c r="S46" s="307"/>
      <c r="T46" s="307"/>
      <c r="U46" s="307"/>
      <c r="V46" s="307"/>
      <c r="W46" s="307"/>
      <c r="X46" s="307"/>
      <c r="Y46" s="307"/>
      <c r="Z46" s="307"/>
      <c r="AA46" s="307"/>
      <c r="AB46" s="307"/>
      <c r="AC46" s="307"/>
      <c r="AD46" s="307"/>
    </row>
    <row r="47" ht="21.0" customHeight="1">
      <c r="A47" s="463"/>
      <c r="B47" s="361"/>
      <c r="C47" s="361"/>
      <c r="D47" s="361"/>
      <c r="E47" s="361"/>
      <c r="F47" s="361"/>
      <c r="G47" s="361"/>
      <c r="H47" s="464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307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</row>
    <row r="48" ht="20.25" customHeight="1">
      <c r="A48" s="307"/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307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</row>
    <row r="49" ht="20.25" customHeight="1">
      <c r="A49" s="307"/>
      <c r="B49" s="307"/>
      <c r="C49" s="307"/>
      <c r="D49" s="307"/>
      <c r="E49" s="307"/>
      <c r="F49" s="441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307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</row>
    <row r="50" ht="20.25" customHeight="1">
      <c r="A50" s="307"/>
      <c r="B50" s="307"/>
      <c r="C50" s="307"/>
      <c r="D50" s="307"/>
      <c r="E50" s="441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</row>
    <row r="51" ht="20.25" customHeight="1">
      <c r="A51" s="307"/>
      <c r="B51" s="307"/>
      <c r="C51" s="307"/>
      <c r="D51" s="307"/>
      <c r="E51" s="307"/>
      <c r="F51" s="307"/>
      <c r="G51" s="307"/>
      <c r="H51" s="307"/>
      <c r="I51" s="307"/>
      <c r="J51" s="307"/>
      <c r="K51" s="307"/>
      <c r="L51" s="307"/>
      <c r="M51" s="307"/>
      <c r="N51" s="307"/>
      <c r="O51" s="307"/>
      <c r="P51" s="307"/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</row>
    <row r="52" ht="20.25" customHeight="1">
      <c r="A52" s="307"/>
      <c r="B52" s="307"/>
      <c r="C52" s="307"/>
      <c r="D52" s="307"/>
      <c r="E52" s="307"/>
      <c r="F52" s="307"/>
      <c r="G52" s="307"/>
      <c r="H52" s="307"/>
      <c r="I52" s="307"/>
      <c r="J52" s="307"/>
      <c r="K52" s="307"/>
      <c r="L52" s="307"/>
      <c r="M52" s="307"/>
      <c r="N52" s="307"/>
      <c r="O52" s="307"/>
      <c r="P52" s="307"/>
      <c r="Q52" s="307"/>
      <c r="R52" s="307"/>
      <c r="S52" s="307"/>
      <c r="T52" s="307"/>
      <c r="U52" s="307"/>
      <c r="V52" s="307"/>
      <c r="W52" s="307"/>
      <c r="X52" s="307"/>
      <c r="Y52" s="307"/>
      <c r="Z52" s="307"/>
      <c r="AA52" s="307"/>
      <c r="AB52" s="307"/>
      <c r="AC52" s="307"/>
      <c r="AD52" s="307"/>
    </row>
    <row r="53" ht="20.25" customHeight="1">
      <c r="A53" s="307"/>
      <c r="B53" s="307"/>
      <c r="C53" s="307"/>
      <c r="D53" s="307"/>
      <c r="E53" s="307"/>
      <c r="F53" s="307"/>
      <c r="G53" s="307"/>
      <c r="H53" s="307"/>
      <c r="I53" s="307"/>
      <c r="J53" s="307"/>
      <c r="K53" s="307"/>
      <c r="L53" s="307"/>
      <c r="M53" s="307"/>
      <c r="N53" s="307"/>
      <c r="O53" s="307"/>
      <c r="P53" s="307"/>
      <c r="Q53" s="307"/>
      <c r="R53" s="307"/>
      <c r="S53" s="307"/>
      <c r="T53" s="307"/>
      <c r="U53" s="307"/>
      <c r="V53" s="307"/>
      <c r="W53" s="307"/>
      <c r="X53" s="307"/>
      <c r="Y53" s="307"/>
      <c r="Z53" s="307"/>
      <c r="AA53" s="307"/>
      <c r="AB53" s="307"/>
      <c r="AC53" s="307"/>
      <c r="AD53" s="307"/>
    </row>
    <row r="54" ht="20.25" customHeight="1">
      <c r="A54" s="307"/>
      <c r="B54" s="307"/>
      <c r="C54" s="307"/>
      <c r="D54" s="307"/>
      <c r="E54" s="307"/>
      <c r="F54" s="307"/>
      <c r="G54" s="307"/>
      <c r="H54" s="307"/>
      <c r="I54" s="307"/>
      <c r="J54" s="307"/>
      <c r="K54" s="307"/>
      <c r="L54" s="307"/>
      <c r="M54" s="307"/>
      <c r="N54" s="307"/>
      <c r="O54" s="307"/>
      <c r="P54" s="307"/>
      <c r="Q54" s="307"/>
      <c r="R54" s="307"/>
      <c r="S54" s="307"/>
      <c r="T54" s="307"/>
      <c r="U54" s="307"/>
      <c r="V54" s="307"/>
      <c r="W54" s="307"/>
      <c r="X54" s="307"/>
      <c r="Y54" s="307"/>
      <c r="Z54" s="307"/>
      <c r="AA54" s="307"/>
      <c r="AB54" s="307"/>
      <c r="AC54" s="307"/>
      <c r="AD54" s="307"/>
    </row>
    <row r="55" ht="20.25" customHeight="1">
      <c r="A55" s="307"/>
      <c r="B55" s="307"/>
      <c r="C55" s="307"/>
      <c r="D55" s="307"/>
      <c r="E55" s="307"/>
      <c r="F55" s="307"/>
      <c r="G55" s="307"/>
      <c r="H55" s="307"/>
      <c r="I55" s="307"/>
      <c r="J55" s="307"/>
      <c r="K55" s="307"/>
      <c r="L55" s="307"/>
      <c r="M55" s="307"/>
      <c r="N55" s="307"/>
      <c r="O55" s="307"/>
      <c r="P55" s="307"/>
      <c r="Q55" s="307"/>
      <c r="R55" s="307"/>
      <c r="S55" s="307"/>
      <c r="T55" s="307"/>
      <c r="U55" s="307"/>
      <c r="V55" s="307"/>
      <c r="W55" s="307"/>
      <c r="X55" s="307"/>
      <c r="Y55" s="307"/>
      <c r="Z55" s="307"/>
      <c r="AA55" s="307"/>
      <c r="AB55" s="307"/>
      <c r="AC55" s="307"/>
      <c r="AD55" s="307"/>
    </row>
    <row r="56" ht="20.25" customHeight="1">
      <c r="A56" s="307"/>
      <c r="B56" s="307"/>
      <c r="C56" s="307"/>
      <c r="D56" s="307"/>
      <c r="E56" s="307"/>
      <c r="F56" s="307"/>
      <c r="G56" s="307"/>
      <c r="H56" s="307"/>
      <c r="I56" s="307"/>
      <c r="J56" s="307"/>
      <c r="K56" s="307"/>
      <c r="L56" s="307"/>
      <c r="M56" s="307"/>
      <c r="N56" s="307"/>
      <c r="O56" s="307"/>
      <c r="P56" s="307"/>
      <c r="Q56" s="307"/>
      <c r="R56" s="307"/>
      <c r="S56" s="307"/>
      <c r="T56" s="307"/>
      <c r="U56" s="307"/>
      <c r="V56" s="307"/>
      <c r="W56" s="307"/>
      <c r="X56" s="307"/>
      <c r="Y56" s="307"/>
      <c r="Z56" s="307"/>
      <c r="AA56" s="307"/>
      <c r="AB56" s="307"/>
      <c r="AC56" s="307"/>
      <c r="AD56" s="307"/>
    </row>
    <row r="57" ht="20.25" customHeight="1">
      <c r="A57" s="307"/>
      <c r="B57" s="307"/>
      <c r="C57" s="307"/>
      <c r="D57" s="307"/>
      <c r="E57" s="307"/>
      <c r="F57" s="307"/>
      <c r="G57" s="307"/>
      <c r="H57" s="307"/>
      <c r="I57" s="307"/>
      <c r="J57" s="307"/>
      <c r="K57" s="307"/>
      <c r="L57" s="307"/>
      <c r="M57" s="307"/>
      <c r="N57" s="307"/>
      <c r="O57" s="307"/>
      <c r="P57" s="307"/>
      <c r="Q57" s="307"/>
      <c r="R57" s="307"/>
      <c r="S57" s="307"/>
      <c r="T57" s="307"/>
      <c r="U57" s="307"/>
      <c r="V57" s="307"/>
      <c r="W57" s="307"/>
      <c r="X57" s="307"/>
      <c r="Y57" s="307"/>
      <c r="Z57" s="307"/>
      <c r="AA57" s="307"/>
      <c r="AB57" s="307"/>
      <c r="AC57" s="307"/>
      <c r="AD57" s="307"/>
    </row>
    <row r="58" ht="20.25" customHeight="1">
      <c r="A58" s="307"/>
      <c r="B58" s="307"/>
      <c r="C58" s="307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7"/>
      <c r="T58" s="307"/>
      <c r="U58" s="307"/>
      <c r="V58" s="307"/>
      <c r="W58" s="307"/>
      <c r="X58" s="307"/>
      <c r="Y58" s="307"/>
      <c r="Z58" s="307"/>
      <c r="AA58" s="307"/>
      <c r="AB58" s="307"/>
      <c r="AC58" s="307"/>
      <c r="AD58" s="307"/>
    </row>
    <row r="59" ht="20.25" customHeight="1">
      <c r="A59" s="307"/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307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</row>
    <row r="60" ht="20.25" customHeight="1">
      <c r="A60" s="307"/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307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</row>
    <row r="61" ht="20.25" customHeight="1">
      <c r="A61" s="307"/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307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</row>
    <row r="62" ht="20.25" customHeight="1">
      <c r="A62" s="307"/>
      <c r="B62" s="307"/>
      <c r="C62" s="307"/>
      <c r="D62" s="307"/>
      <c r="E62" s="307"/>
      <c r="F62" s="307"/>
      <c r="G62" s="307"/>
      <c r="H62" s="307"/>
      <c r="I62" s="307"/>
      <c r="J62" s="307"/>
      <c r="K62" s="307"/>
      <c r="L62" s="307"/>
      <c r="M62" s="307"/>
      <c r="N62" s="307"/>
      <c r="O62" s="307"/>
      <c r="P62" s="307"/>
      <c r="Q62" s="307"/>
      <c r="R62" s="307"/>
      <c r="S62" s="30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</row>
    <row r="63" ht="20.25" customHeight="1">
      <c r="A63" s="307"/>
      <c r="B63" s="307"/>
      <c r="C63" s="307"/>
      <c r="D63" s="307"/>
      <c r="E63" s="307"/>
      <c r="F63" s="307"/>
      <c r="G63" s="307"/>
      <c r="H63" s="307"/>
      <c r="I63" s="307"/>
      <c r="J63" s="307"/>
      <c r="K63" s="307"/>
      <c r="L63" s="307"/>
      <c r="M63" s="307"/>
      <c r="N63" s="307"/>
      <c r="O63" s="307"/>
      <c r="P63" s="307"/>
      <c r="Q63" s="307"/>
      <c r="R63" s="307"/>
      <c r="S63" s="307"/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</row>
    <row r="64" ht="20.25" customHeight="1">
      <c r="A64" s="307"/>
      <c r="B64" s="307"/>
      <c r="C64" s="307"/>
      <c r="D64" s="307"/>
      <c r="E64" s="307"/>
      <c r="F64" s="307"/>
      <c r="G64" s="307"/>
      <c r="H64" s="307"/>
      <c r="I64" s="307"/>
      <c r="J64" s="307"/>
      <c r="K64" s="307"/>
      <c r="L64" s="307"/>
      <c r="M64" s="307"/>
      <c r="N64" s="307"/>
      <c r="O64" s="307"/>
      <c r="P64" s="307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</row>
    <row r="65" ht="20.25" customHeight="1">
      <c r="A65" s="307"/>
      <c r="B65" s="307"/>
      <c r="C65" s="307"/>
      <c r="D65" s="307"/>
      <c r="E65" s="307"/>
      <c r="F65" s="307"/>
      <c r="G65" s="307"/>
      <c r="H65" s="307"/>
      <c r="I65" s="307"/>
      <c r="J65" s="307"/>
      <c r="K65" s="307"/>
      <c r="L65" s="307"/>
      <c r="M65" s="307"/>
      <c r="N65" s="307"/>
      <c r="O65" s="307"/>
      <c r="P65" s="307"/>
      <c r="Q65" s="307"/>
      <c r="R65" s="307"/>
      <c r="S65" s="307"/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</row>
    <row r="66" ht="20.25" customHeight="1">
      <c r="A66" s="307"/>
      <c r="B66" s="307"/>
      <c r="C66" s="307"/>
      <c r="D66" s="307"/>
      <c r="E66" s="307"/>
      <c r="F66" s="307"/>
      <c r="G66" s="307"/>
      <c r="H66" s="307"/>
      <c r="I66" s="307"/>
      <c r="J66" s="307"/>
      <c r="K66" s="307"/>
      <c r="L66" s="307"/>
      <c r="M66" s="307"/>
      <c r="N66" s="307"/>
      <c r="O66" s="307"/>
      <c r="P66" s="307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</row>
    <row r="67" ht="20.25" customHeight="1">
      <c r="A67" s="307"/>
      <c r="B67" s="307"/>
      <c r="C67" s="307"/>
      <c r="D67" s="307"/>
      <c r="E67" s="307"/>
      <c r="F67" s="307"/>
      <c r="G67" s="307"/>
      <c r="H67" s="307"/>
      <c r="I67" s="307"/>
      <c r="J67" s="307"/>
      <c r="K67" s="307"/>
      <c r="L67" s="307"/>
      <c r="M67" s="307"/>
      <c r="N67" s="307"/>
      <c r="O67" s="307"/>
      <c r="P67" s="307"/>
      <c r="Q67" s="307"/>
      <c r="R67" s="307"/>
      <c r="S67" s="307"/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</row>
    <row r="68" ht="20.25" customHeight="1">
      <c r="A68" s="307"/>
      <c r="B68" s="307"/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</row>
    <row r="69" ht="20.25" customHeight="1">
      <c r="A69" s="307"/>
      <c r="B69" s="307"/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307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</row>
    <row r="70" ht="20.25" customHeight="1">
      <c r="A70" s="307"/>
      <c r="B70" s="307"/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</row>
    <row r="71" ht="20.25" customHeight="1">
      <c r="A71" s="307"/>
      <c r="B71" s="307"/>
      <c r="C71" s="307"/>
      <c r="D71" s="307"/>
      <c r="E71" s="307"/>
      <c r="F71" s="307"/>
      <c r="G71" s="307"/>
      <c r="H71" s="307"/>
      <c r="I71" s="307"/>
      <c r="J71" s="307"/>
      <c r="K71" s="307"/>
      <c r="L71" s="307"/>
      <c r="M71" s="307"/>
      <c r="N71" s="307"/>
      <c r="O71" s="307"/>
      <c r="P71" s="307"/>
      <c r="Q71" s="307"/>
      <c r="R71" s="307"/>
      <c r="S71" s="307"/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</row>
    <row r="72" ht="20.25" customHeight="1">
      <c r="A72" s="307"/>
      <c r="B72" s="307"/>
      <c r="C72" s="307"/>
      <c r="D72" s="307"/>
      <c r="E72" s="307"/>
      <c r="F72" s="307"/>
      <c r="G72" s="307"/>
      <c r="H72" s="307"/>
      <c r="I72" s="307"/>
      <c r="J72" s="307"/>
      <c r="K72" s="307"/>
      <c r="L72" s="307"/>
      <c r="M72" s="307"/>
      <c r="N72" s="307"/>
      <c r="O72" s="307"/>
      <c r="P72" s="307"/>
      <c r="Q72" s="307"/>
      <c r="R72" s="307"/>
      <c r="S72" s="307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</row>
    <row r="73" ht="20.25" customHeight="1">
      <c r="A73" s="307"/>
      <c r="B73" s="307"/>
      <c r="C73" s="307"/>
      <c r="D73" s="307"/>
      <c r="E73" s="307"/>
      <c r="F73" s="307"/>
      <c r="G73" s="307"/>
      <c r="H73" s="307"/>
      <c r="I73" s="307"/>
      <c r="J73" s="307"/>
      <c r="K73" s="307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307"/>
      <c r="AB73" s="307"/>
      <c r="AC73" s="307"/>
      <c r="AD73" s="307"/>
    </row>
    <row r="74" ht="20.25" customHeight="1">
      <c r="A74" s="307"/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</row>
    <row r="75" ht="20.25" customHeight="1">
      <c r="A75" s="307"/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307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</row>
    <row r="76" ht="20.25" customHeight="1">
      <c r="A76" s="307"/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</row>
    <row r="77" ht="20.25" customHeight="1">
      <c r="A77" s="307"/>
      <c r="B77" s="307"/>
      <c r="C77" s="307"/>
      <c r="D77" s="307"/>
      <c r="E77" s="307"/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</row>
    <row r="78" ht="20.25" customHeight="1">
      <c r="A78" s="307"/>
      <c r="B78" s="307"/>
      <c r="C78" s="307"/>
      <c r="D78" s="307"/>
      <c r="E78" s="307"/>
      <c r="F78" s="307"/>
      <c r="G78" s="307"/>
      <c r="H78" s="307"/>
      <c r="I78" s="307"/>
      <c r="J78" s="307"/>
      <c r="K78" s="307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</row>
    <row r="79" ht="20.25" customHeight="1">
      <c r="A79" s="307"/>
      <c r="B79" s="307"/>
      <c r="C79" s="307"/>
      <c r="D79" s="307"/>
      <c r="E79" s="307"/>
      <c r="F79" s="307"/>
      <c r="G79" s="307"/>
      <c r="H79" s="307"/>
      <c r="I79" s="307"/>
      <c r="J79" s="307"/>
      <c r="K79" s="307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</row>
    <row r="80" ht="20.25" customHeight="1">
      <c r="A80" s="307"/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</row>
    <row r="81" ht="20.25" customHeight="1">
      <c r="A81" s="307"/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</row>
    <row r="82" ht="20.25" customHeight="1">
      <c r="A82" s="307"/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307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</row>
    <row r="83" ht="20.25" customHeight="1">
      <c r="A83" s="307"/>
      <c r="B83" s="307"/>
      <c r="C83" s="307"/>
      <c r="D83" s="307"/>
      <c r="E83" s="307"/>
      <c r="F83" s="307"/>
      <c r="G83" s="307"/>
      <c r="H83" s="307"/>
      <c r="I83" s="307"/>
      <c r="J83" s="307"/>
      <c r="K83" s="307"/>
      <c r="L83" s="307"/>
      <c r="M83" s="307"/>
      <c r="N83" s="307"/>
      <c r="O83" s="307"/>
      <c r="P83" s="307"/>
      <c r="Q83" s="307"/>
      <c r="R83" s="307"/>
      <c r="S83" s="307"/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</row>
    <row r="84" ht="20.25" customHeight="1">
      <c r="A84" s="307"/>
      <c r="B84" s="307"/>
      <c r="C84" s="307"/>
      <c r="D84" s="307"/>
      <c r="E84" s="307"/>
      <c r="F84" s="307"/>
      <c r="G84" s="307"/>
      <c r="H84" s="307"/>
      <c r="I84" s="307"/>
      <c r="J84" s="307"/>
      <c r="K84" s="307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</row>
    <row r="85" ht="20.25" customHeight="1">
      <c r="A85" s="307"/>
      <c r="B85" s="307"/>
      <c r="C85" s="307"/>
      <c r="D85" s="307"/>
      <c r="E85" s="307"/>
      <c r="F85" s="307"/>
      <c r="G85" s="307"/>
      <c r="H85" s="307"/>
      <c r="I85" s="307"/>
      <c r="J85" s="307"/>
      <c r="K85" s="307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</row>
    <row r="86" ht="20.25" customHeight="1">
      <c r="A86" s="307"/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307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</row>
    <row r="87" ht="20.25" customHeight="1">
      <c r="A87" s="307"/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307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</row>
    <row r="88" ht="20.25" customHeight="1">
      <c r="A88" s="307"/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307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</row>
    <row r="89" ht="20.25" customHeight="1">
      <c r="A89" s="307"/>
      <c r="B89" s="307"/>
      <c r="C89" s="307"/>
      <c r="D89" s="307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</row>
    <row r="90" ht="20.25" customHeight="1">
      <c r="A90" s="307"/>
      <c r="B90" s="307"/>
      <c r="C90" s="307"/>
      <c r="D90" s="307"/>
      <c r="E90" s="307"/>
      <c r="F90" s="307"/>
      <c r="G90" s="307"/>
      <c r="H90" s="307"/>
      <c r="I90" s="307"/>
      <c r="J90" s="307"/>
      <c r="K90" s="307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</row>
    <row r="91" ht="20.25" customHeight="1">
      <c r="A91" s="307"/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U91" s="307"/>
      <c r="V91" s="307"/>
      <c r="W91" s="307"/>
      <c r="X91" s="307"/>
      <c r="Y91" s="307"/>
      <c r="Z91" s="307"/>
      <c r="AA91" s="307"/>
      <c r="AB91" s="307"/>
      <c r="AC91" s="307"/>
      <c r="AD91" s="307"/>
    </row>
    <row r="92" ht="20.25" customHeight="1">
      <c r="A92" s="307"/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</row>
    <row r="93" ht="20.25" customHeight="1">
      <c r="A93" s="307"/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</row>
    <row r="94" ht="20.25" customHeight="1">
      <c r="A94" s="307"/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</row>
    <row r="95" ht="20.25" customHeight="1">
      <c r="A95" s="307"/>
      <c r="B95" s="307"/>
      <c r="C95" s="307"/>
      <c r="D95" s="307"/>
      <c r="E95" s="307"/>
      <c r="F95" s="307"/>
      <c r="G95" s="307"/>
      <c r="H95" s="307"/>
      <c r="I95" s="307"/>
      <c r="J95" s="307"/>
      <c r="K95" s="307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</row>
    <row r="96" ht="20.25" customHeight="1">
      <c r="A96" s="307"/>
      <c r="B96" s="307"/>
      <c r="C96" s="307"/>
      <c r="D96" s="307"/>
      <c r="E96" s="307"/>
      <c r="F96" s="307"/>
      <c r="G96" s="307"/>
      <c r="H96" s="307"/>
      <c r="I96" s="307"/>
      <c r="J96" s="307"/>
      <c r="K96" s="307"/>
      <c r="L96" s="307"/>
      <c r="M96" s="307"/>
      <c r="N96" s="307"/>
      <c r="O96" s="307"/>
      <c r="P96" s="307"/>
      <c r="Q96" s="307"/>
      <c r="R96" s="307"/>
      <c r="S96" s="307"/>
      <c r="T96" s="307"/>
      <c r="U96" s="307"/>
      <c r="V96" s="307"/>
      <c r="W96" s="307"/>
      <c r="X96" s="307"/>
      <c r="Y96" s="307"/>
      <c r="Z96" s="307"/>
      <c r="AA96" s="307"/>
      <c r="AB96" s="307"/>
      <c r="AC96" s="307"/>
      <c r="AD96" s="307"/>
    </row>
    <row r="97" ht="20.25" customHeight="1">
      <c r="A97" s="307"/>
      <c r="B97" s="307"/>
      <c r="C97" s="307"/>
      <c r="D97" s="307"/>
      <c r="E97" s="307"/>
      <c r="F97" s="307"/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</row>
    <row r="98" ht="20.25" customHeight="1">
      <c r="A98" s="307"/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</row>
    <row r="99" ht="20.25" customHeight="1">
      <c r="A99" s="307"/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</row>
    <row r="100" ht="20.25" customHeight="1">
      <c r="A100" s="307"/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</row>
    <row r="101" ht="20.25" customHeight="1">
      <c r="A101" s="307"/>
      <c r="B101" s="307"/>
      <c r="C101" s="307"/>
      <c r="D101" s="307"/>
      <c r="E101" s="307"/>
      <c r="F101" s="307"/>
      <c r="G101" s="307"/>
      <c r="H101" s="307"/>
      <c r="I101" s="307"/>
      <c r="J101" s="307"/>
      <c r="K101" s="307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</row>
    <row r="102" ht="20.25" customHeight="1">
      <c r="A102" s="307"/>
      <c r="B102" s="307"/>
      <c r="C102" s="307"/>
      <c r="D102" s="307"/>
      <c r="E102" s="307"/>
      <c r="F102" s="307"/>
      <c r="G102" s="307"/>
      <c r="H102" s="307"/>
      <c r="I102" s="307"/>
      <c r="J102" s="307"/>
      <c r="K102" s="307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</row>
    <row r="103" ht="20.25" customHeight="1">
      <c r="A103" s="307"/>
      <c r="B103" s="307"/>
      <c r="C103" s="307"/>
      <c r="D103" s="307"/>
      <c r="E103" s="307"/>
      <c r="F103" s="307"/>
      <c r="G103" s="307"/>
      <c r="H103" s="307"/>
      <c r="I103" s="307"/>
      <c r="J103" s="307"/>
      <c r="K103" s="307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</row>
    <row r="104" ht="20.25" customHeight="1">
      <c r="A104" s="307"/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</row>
    <row r="105" ht="20.25" customHeight="1">
      <c r="A105" s="307"/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</row>
    <row r="106" ht="20.25" customHeight="1">
      <c r="A106" s="307"/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</row>
    <row r="107" ht="20.25" customHeight="1">
      <c r="A107" s="307"/>
      <c r="B107" s="307"/>
      <c r="C107" s="307"/>
      <c r="D107" s="307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</row>
    <row r="108" ht="20.25" customHeight="1">
      <c r="A108" s="307"/>
      <c r="B108" s="307"/>
      <c r="C108" s="307"/>
      <c r="D108" s="307"/>
      <c r="E108" s="307"/>
      <c r="F108" s="307"/>
      <c r="G108" s="307"/>
      <c r="H108" s="307"/>
      <c r="I108" s="307"/>
      <c r="J108" s="307"/>
      <c r="K108" s="307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</row>
    <row r="109" ht="20.25" customHeight="1">
      <c r="A109" s="307"/>
      <c r="B109" s="307"/>
      <c r="C109" s="307"/>
      <c r="D109" s="307"/>
      <c r="E109" s="307"/>
      <c r="F109" s="307"/>
      <c r="G109" s="307"/>
      <c r="H109" s="307"/>
      <c r="I109" s="307"/>
      <c r="J109" s="307"/>
      <c r="K109" s="307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</row>
    <row r="110" ht="20.25" customHeight="1">
      <c r="A110" s="307"/>
      <c r="B110" s="307"/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</row>
    <row r="111" ht="20.25" customHeight="1">
      <c r="A111" s="307"/>
      <c r="B111" s="307"/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</row>
    <row r="112" ht="20.25" customHeight="1">
      <c r="A112" s="307"/>
      <c r="B112" s="307"/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</row>
    <row r="113" ht="20.25" customHeight="1">
      <c r="A113" s="307"/>
      <c r="B113" s="307"/>
      <c r="C113" s="307"/>
      <c r="D113" s="307"/>
      <c r="E113" s="307"/>
      <c r="F113" s="307"/>
      <c r="G113" s="307"/>
      <c r="H113" s="307"/>
      <c r="I113" s="307"/>
      <c r="J113" s="307"/>
      <c r="K113" s="307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</row>
    <row r="114" ht="20.25" customHeight="1">
      <c r="A114" s="307"/>
      <c r="B114" s="307"/>
      <c r="C114" s="307"/>
      <c r="D114" s="307"/>
      <c r="E114" s="307"/>
      <c r="F114" s="307"/>
      <c r="G114" s="307"/>
      <c r="H114" s="307"/>
      <c r="I114" s="307"/>
      <c r="J114" s="307"/>
      <c r="K114" s="307"/>
      <c r="L114" s="307"/>
      <c r="M114" s="307"/>
      <c r="N114" s="307"/>
      <c r="O114" s="307"/>
      <c r="P114" s="307"/>
      <c r="Q114" s="307"/>
      <c r="R114" s="307"/>
      <c r="S114" s="307"/>
      <c r="T114" s="307"/>
      <c r="U114" s="307"/>
      <c r="V114" s="307"/>
      <c r="W114" s="307"/>
      <c r="X114" s="307"/>
      <c r="Y114" s="307"/>
      <c r="Z114" s="307"/>
      <c r="AA114" s="307"/>
      <c r="AB114" s="307"/>
      <c r="AC114" s="307"/>
      <c r="AD114" s="307"/>
    </row>
    <row r="115" ht="20.25" customHeight="1">
      <c r="A115" s="307"/>
      <c r="B115" s="307"/>
      <c r="C115" s="307"/>
      <c r="D115" s="307"/>
      <c r="E115" s="307"/>
      <c r="F115" s="307"/>
      <c r="G115" s="307"/>
      <c r="H115" s="307"/>
      <c r="I115" s="307"/>
      <c r="J115" s="307"/>
      <c r="K115" s="307"/>
      <c r="L115" s="307"/>
      <c r="M115" s="307"/>
      <c r="N115" s="307"/>
      <c r="O115" s="307"/>
      <c r="P115" s="307"/>
      <c r="Q115" s="307"/>
      <c r="R115" s="307"/>
      <c r="S115" s="307"/>
      <c r="T115" s="307"/>
      <c r="U115" s="307"/>
      <c r="V115" s="307"/>
      <c r="W115" s="307"/>
      <c r="X115" s="307"/>
      <c r="Y115" s="307"/>
      <c r="Z115" s="307"/>
      <c r="AA115" s="307"/>
      <c r="AB115" s="307"/>
      <c r="AC115" s="307"/>
      <c r="AD115" s="307"/>
    </row>
    <row r="116" ht="20.25" customHeight="1">
      <c r="A116" s="307"/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</row>
    <row r="117" ht="20.25" customHeight="1">
      <c r="A117" s="307"/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</row>
    <row r="118" ht="20.25" customHeight="1">
      <c r="A118" s="307"/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</row>
    <row r="119" ht="20.25" customHeight="1">
      <c r="A119" s="307"/>
      <c r="B119" s="307"/>
      <c r="C119" s="307"/>
      <c r="D119" s="307"/>
      <c r="E119" s="307"/>
      <c r="F119" s="307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</row>
    <row r="120" ht="20.25" customHeight="1">
      <c r="A120" s="307"/>
      <c r="B120" s="307"/>
      <c r="C120" s="307"/>
      <c r="D120" s="307"/>
      <c r="E120" s="307"/>
      <c r="F120" s="307"/>
      <c r="G120" s="307"/>
      <c r="H120" s="307"/>
      <c r="I120" s="307"/>
      <c r="J120" s="307"/>
      <c r="K120" s="307"/>
      <c r="L120" s="307"/>
      <c r="M120" s="307"/>
      <c r="N120" s="307"/>
      <c r="O120" s="307"/>
      <c r="P120" s="307"/>
      <c r="Q120" s="307"/>
      <c r="R120" s="307"/>
      <c r="S120" s="307"/>
      <c r="T120" s="307"/>
      <c r="U120" s="307"/>
      <c r="V120" s="307"/>
      <c r="W120" s="307"/>
      <c r="X120" s="307"/>
      <c r="Y120" s="307"/>
      <c r="Z120" s="307"/>
      <c r="AA120" s="307"/>
      <c r="AB120" s="307"/>
      <c r="AC120" s="307"/>
      <c r="AD120" s="307"/>
    </row>
    <row r="121" ht="20.25" customHeight="1">
      <c r="A121" s="307"/>
      <c r="B121" s="307"/>
      <c r="C121" s="307"/>
      <c r="D121" s="307"/>
      <c r="E121" s="307"/>
      <c r="F121" s="307"/>
      <c r="G121" s="307"/>
      <c r="H121" s="307"/>
      <c r="I121" s="307"/>
      <c r="J121" s="307"/>
      <c r="K121" s="307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</row>
    <row r="122" ht="20.25" customHeight="1">
      <c r="A122" s="307"/>
      <c r="B122" s="307"/>
      <c r="C122" s="307"/>
      <c r="D122" s="307"/>
      <c r="E122" s="307"/>
      <c r="F122" s="307"/>
      <c r="G122" s="307"/>
      <c r="H122" s="307"/>
      <c r="I122" s="307"/>
      <c r="J122" s="307"/>
      <c r="K122" s="307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</row>
    <row r="123" ht="20.25" customHeight="1">
      <c r="A123" s="307"/>
      <c r="B123" s="307"/>
      <c r="C123" s="307"/>
      <c r="D123" s="307"/>
      <c r="E123" s="307"/>
      <c r="F123" s="307"/>
      <c r="G123" s="307"/>
      <c r="H123" s="307"/>
      <c r="I123" s="307"/>
      <c r="J123" s="307"/>
      <c r="K123" s="307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</row>
    <row r="124" ht="20.25" customHeight="1">
      <c r="A124" s="307"/>
      <c r="B124" s="307"/>
      <c r="C124" s="307"/>
      <c r="D124" s="307"/>
      <c r="E124" s="307"/>
      <c r="F124" s="307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</row>
    <row r="125" ht="20.25" customHeight="1">
      <c r="A125" s="307"/>
      <c r="B125" s="307"/>
      <c r="C125" s="307"/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7"/>
      <c r="X125" s="307"/>
      <c r="Y125" s="307"/>
      <c r="Z125" s="307"/>
      <c r="AA125" s="307"/>
      <c r="AB125" s="307"/>
      <c r="AC125" s="307"/>
      <c r="AD125" s="307"/>
    </row>
    <row r="126" ht="20.25" customHeight="1">
      <c r="A126" s="307"/>
      <c r="B126" s="307"/>
      <c r="C126" s="307"/>
      <c r="D126" s="307"/>
      <c r="E126" s="307"/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07"/>
      <c r="X126" s="307"/>
      <c r="Y126" s="307"/>
      <c r="Z126" s="307"/>
      <c r="AA126" s="307"/>
      <c r="AB126" s="307"/>
      <c r="AC126" s="307"/>
      <c r="AD126" s="307"/>
    </row>
    <row r="127" ht="20.25" customHeight="1">
      <c r="A127" s="307"/>
      <c r="B127" s="307"/>
      <c r="C127" s="307"/>
      <c r="D127" s="307"/>
      <c r="E127" s="307"/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07"/>
      <c r="X127" s="307"/>
      <c r="Y127" s="307"/>
      <c r="Z127" s="307"/>
      <c r="AA127" s="307"/>
      <c r="AB127" s="307"/>
      <c r="AC127" s="307"/>
      <c r="AD127" s="307"/>
    </row>
    <row r="128" ht="20.25" customHeight="1">
      <c r="A128" s="307"/>
      <c r="B128" s="307"/>
      <c r="C128" s="307"/>
      <c r="D128" s="307"/>
      <c r="E128" s="307"/>
      <c r="F128" s="307"/>
      <c r="G128" s="307"/>
      <c r="H128" s="307"/>
      <c r="I128" s="307"/>
      <c r="J128" s="307"/>
      <c r="K128" s="307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07"/>
      <c r="X128" s="307"/>
      <c r="Y128" s="307"/>
      <c r="Z128" s="307"/>
      <c r="AA128" s="307"/>
      <c r="AB128" s="307"/>
      <c r="AC128" s="307"/>
      <c r="AD128" s="307"/>
    </row>
    <row r="129" ht="20.25" customHeight="1">
      <c r="A129" s="307"/>
      <c r="B129" s="307"/>
      <c r="C129" s="307"/>
      <c r="D129" s="307"/>
      <c r="E129" s="307"/>
      <c r="F129" s="307"/>
      <c r="G129" s="307"/>
      <c r="H129" s="307"/>
      <c r="I129" s="307"/>
      <c r="J129" s="307"/>
      <c r="K129" s="307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07"/>
      <c r="X129" s="307"/>
      <c r="Y129" s="307"/>
      <c r="Z129" s="307"/>
      <c r="AA129" s="307"/>
      <c r="AB129" s="307"/>
      <c r="AC129" s="307"/>
      <c r="AD129" s="307"/>
    </row>
    <row r="130" ht="20.25" customHeight="1">
      <c r="A130" s="307"/>
      <c r="B130" s="307"/>
      <c r="C130" s="307"/>
      <c r="D130" s="307"/>
      <c r="E130" s="307"/>
      <c r="F130" s="307"/>
      <c r="G130" s="307"/>
      <c r="H130" s="307"/>
      <c r="I130" s="307"/>
      <c r="J130" s="307"/>
      <c r="K130" s="307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07"/>
      <c r="X130" s="307"/>
      <c r="Y130" s="307"/>
      <c r="Z130" s="307"/>
      <c r="AA130" s="307"/>
      <c r="AB130" s="307"/>
      <c r="AC130" s="307"/>
      <c r="AD130" s="307"/>
    </row>
    <row r="131" ht="20.25" customHeight="1">
      <c r="A131" s="307"/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07"/>
      <c r="X131" s="307"/>
      <c r="Y131" s="307"/>
      <c r="Z131" s="307"/>
      <c r="AA131" s="307"/>
      <c r="AB131" s="307"/>
      <c r="AC131" s="307"/>
      <c r="AD131" s="307"/>
    </row>
    <row r="132" ht="20.25" customHeight="1">
      <c r="A132" s="307"/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07"/>
      <c r="X132" s="307"/>
      <c r="Y132" s="307"/>
      <c r="Z132" s="307"/>
      <c r="AA132" s="307"/>
      <c r="AB132" s="307"/>
      <c r="AC132" s="307"/>
      <c r="AD132" s="307"/>
    </row>
    <row r="133" ht="20.25" customHeight="1">
      <c r="A133" s="307"/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07"/>
      <c r="X133" s="307"/>
      <c r="Y133" s="307"/>
      <c r="Z133" s="307"/>
      <c r="AA133" s="307"/>
      <c r="AB133" s="307"/>
      <c r="AC133" s="307"/>
      <c r="AD133" s="307"/>
    </row>
    <row r="134" ht="20.25" customHeight="1">
      <c r="A134" s="307"/>
      <c r="B134" s="307"/>
      <c r="C134" s="307"/>
      <c r="D134" s="307"/>
      <c r="E134" s="307"/>
      <c r="F134" s="307"/>
      <c r="G134" s="307"/>
      <c r="H134" s="307"/>
      <c r="I134" s="307"/>
      <c r="J134" s="307"/>
      <c r="K134" s="307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07"/>
      <c r="X134" s="307"/>
      <c r="Y134" s="307"/>
      <c r="Z134" s="307"/>
      <c r="AA134" s="307"/>
      <c r="AB134" s="307"/>
      <c r="AC134" s="307"/>
      <c r="AD134" s="307"/>
    </row>
    <row r="135" ht="20.25" customHeight="1">
      <c r="A135" s="307"/>
      <c r="B135" s="307"/>
      <c r="C135" s="307"/>
      <c r="D135" s="307"/>
      <c r="E135" s="307"/>
      <c r="F135" s="307"/>
      <c r="G135" s="307"/>
      <c r="H135" s="307"/>
      <c r="I135" s="307"/>
      <c r="J135" s="307"/>
      <c r="K135" s="307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07"/>
      <c r="X135" s="307"/>
      <c r="Y135" s="307"/>
      <c r="Z135" s="307"/>
      <c r="AA135" s="307"/>
      <c r="AB135" s="307"/>
      <c r="AC135" s="307"/>
      <c r="AD135" s="307"/>
    </row>
    <row r="136" ht="20.25" customHeight="1">
      <c r="A136" s="307"/>
      <c r="B136" s="307"/>
      <c r="C136" s="307"/>
      <c r="D136" s="307"/>
      <c r="E136" s="307"/>
      <c r="F136" s="307"/>
      <c r="G136" s="307"/>
      <c r="H136" s="307"/>
      <c r="I136" s="307"/>
      <c r="J136" s="307"/>
      <c r="K136" s="307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07"/>
      <c r="X136" s="307"/>
      <c r="Y136" s="307"/>
      <c r="Z136" s="307"/>
      <c r="AA136" s="307"/>
      <c r="AB136" s="307"/>
      <c r="AC136" s="307"/>
      <c r="AD136" s="307"/>
    </row>
    <row r="137" ht="20.25" customHeight="1">
      <c r="A137" s="307"/>
      <c r="B137" s="307"/>
      <c r="C137" s="307"/>
      <c r="D137" s="307"/>
      <c r="E137" s="307"/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</row>
    <row r="138" ht="20.25" customHeight="1">
      <c r="A138" s="307"/>
      <c r="B138" s="307"/>
      <c r="C138" s="307"/>
      <c r="D138" s="307"/>
      <c r="E138" s="307"/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</row>
    <row r="139" ht="20.25" customHeight="1">
      <c r="A139" s="307"/>
      <c r="B139" s="307"/>
      <c r="C139" s="307"/>
      <c r="D139" s="307"/>
      <c r="E139" s="307"/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</row>
    <row r="140" ht="20.25" customHeight="1">
      <c r="A140" s="307"/>
      <c r="B140" s="307"/>
      <c r="C140" s="307"/>
      <c r="D140" s="307"/>
      <c r="E140" s="307"/>
      <c r="F140" s="307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07"/>
      <c r="X140" s="307"/>
      <c r="Y140" s="307"/>
      <c r="Z140" s="307"/>
      <c r="AA140" s="307"/>
      <c r="AB140" s="307"/>
      <c r="AC140" s="307"/>
      <c r="AD140" s="307"/>
    </row>
    <row r="141" ht="20.25" customHeight="1">
      <c r="A141" s="307"/>
      <c r="B141" s="307"/>
      <c r="C141" s="307"/>
      <c r="D141" s="307"/>
      <c r="E141" s="307"/>
      <c r="F141" s="307"/>
      <c r="G141" s="307"/>
      <c r="H141" s="307"/>
      <c r="I141" s="307"/>
      <c r="J141" s="307"/>
      <c r="K141" s="307"/>
      <c r="L141" s="307"/>
      <c r="M141" s="307"/>
      <c r="N141" s="307"/>
      <c r="O141" s="307"/>
      <c r="P141" s="307"/>
      <c r="Q141" s="307"/>
      <c r="R141" s="307"/>
      <c r="S141" s="307"/>
      <c r="T141" s="307"/>
      <c r="U141" s="307"/>
      <c r="V141" s="307"/>
      <c r="W141" s="307"/>
      <c r="X141" s="307"/>
      <c r="Y141" s="307"/>
      <c r="Z141" s="307"/>
      <c r="AA141" s="307"/>
      <c r="AB141" s="307"/>
      <c r="AC141" s="307"/>
      <c r="AD141" s="307"/>
    </row>
    <row r="142" ht="20.25" customHeight="1">
      <c r="A142" s="307"/>
      <c r="B142" s="307"/>
      <c r="C142" s="307"/>
      <c r="D142" s="307"/>
      <c r="E142" s="307"/>
      <c r="F142" s="307"/>
      <c r="G142" s="307"/>
      <c r="H142" s="307"/>
      <c r="I142" s="307"/>
      <c r="J142" s="307"/>
      <c r="K142" s="307"/>
      <c r="L142" s="307"/>
      <c r="M142" s="307"/>
      <c r="N142" s="307"/>
      <c r="O142" s="307"/>
      <c r="P142" s="307"/>
      <c r="Q142" s="307"/>
      <c r="R142" s="307"/>
      <c r="S142" s="307"/>
      <c r="T142" s="307"/>
      <c r="U142" s="307"/>
      <c r="V142" s="307"/>
      <c r="W142" s="307"/>
      <c r="X142" s="307"/>
      <c r="Y142" s="307"/>
      <c r="Z142" s="307"/>
      <c r="AA142" s="307"/>
      <c r="AB142" s="307"/>
      <c r="AC142" s="307"/>
      <c r="AD142" s="307"/>
    </row>
    <row r="143" ht="20.25" customHeight="1">
      <c r="A143" s="307"/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307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</row>
    <row r="144" ht="20.25" customHeight="1">
      <c r="A144" s="307"/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307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</row>
    <row r="145" ht="20.25" customHeight="1">
      <c r="A145" s="307"/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307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</row>
    <row r="146" ht="20.25" customHeight="1">
      <c r="A146" s="307"/>
      <c r="B146" s="307"/>
      <c r="C146" s="307"/>
      <c r="D146" s="307"/>
      <c r="E146" s="307"/>
      <c r="F146" s="307"/>
      <c r="G146" s="307"/>
      <c r="H146" s="307"/>
      <c r="I146" s="307"/>
      <c r="J146" s="307"/>
      <c r="K146" s="307"/>
      <c r="L146" s="307"/>
      <c r="M146" s="307"/>
      <c r="N146" s="307"/>
      <c r="O146" s="307"/>
      <c r="P146" s="307"/>
      <c r="Q146" s="307"/>
      <c r="R146" s="307"/>
      <c r="S146" s="307"/>
      <c r="T146" s="307"/>
      <c r="U146" s="307"/>
      <c r="V146" s="307"/>
      <c r="W146" s="307"/>
      <c r="X146" s="307"/>
      <c r="Y146" s="307"/>
      <c r="Z146" s="307"/>
      <c r="AA146" s="307"/>
      <c r="AB146" s="307"/>
      <c r="AC146" s="307"/>
      <c r="AD146" s="307"/>
    </row>
    <row r="147" ht="20.25" customHeight="1">
      <c r="A147" s="307"/>
      <c r="B147" s="307"/>
      <c r="C147" s="307"/>
      <c r="D147" s="307"/>
      <c r="E147" s="307"/>
      <c r="F147" s="307"/>
      <c r="G147" s="307"/>
      <c r="H147" s="307"/>
      <c r="I147" s="307"/>
      <c r="J147" s="307"/>
      <c r="K147" s="307"/>
      <c r="L147" s="307"/>
      <c r="M147" s="307"/>
      <c r="N147" s="307"/>
      <c r="O147" s="307"/>
      <c r="P147" s="307"/>
      <c r="Q147" s="307"/>
      <c r="R147" s="307"/>
      <c r="S147" s="307"/>
      <c r="T147" s="307"/>
      <c r="U147" s="307"/>
      <c r="V147" s="307"/>
      <c r="W147" s="307"/>
      <c r="X147" s="307"/>
      <c r="Y147" s="307"/>
      <c r="Z147" s="307"/>
      <c r="AA147" s="307"/>
      <c r="AB147" s="307"/>
      <c r="AC147" s="307"/>
      <c r="AD147" s="307"/>
    </row>
    <row r="148" ht="20.25" customHeight="1">
      <c r="A148" s="307"/>
      <c r="B148" s="307"/>
      <c r="C148" s="307"/>
      <c r="D148" s="307"/>
      <c r="E148" s="307"/>
      <c r="F148" s="307"/>
      <c r="G148" s="307"/>
      <c r="H148" s="307"/>
      <c r="I148" s="307"/>
      <c r="J148" s="307"/>
      <c r="K148" s="307"/>
      <c r="L148" s="307"/>
      <c r="M148" s="307"/>
      <c r="N148" s="307"/>
      <c r="O148" s="307"/>
      <c r="P148" s="307"/>
      <c r="Q148" s="307"/>
      <c r="R148" s="307"/>
      <c r="S148" s="307"/>
      <c r="T148" s="307"/>
      <c r="U148" s="307"/>
      <c r="V148" s="307"/>
      <c r="W148" s="307"/>
      <c r="X148" s="307"/>
      <c r="Y148" s="307"/>
      <c r="Z148" s="307"/>
      <c r="AA148" s="307"/>
      <c r="AB148" s="307"/>
      <c r="AC148" s="307"/>
      <c r="AD148" s="307"/>
    </row>
    <row r="149" ht="20.25" customHeight="1">
      <c r="A149" s="307"/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307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</row>
    <row r="150" ht="20.25" customHeight="1">
      <c r="A150" s="307"/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307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</row>
    <row r="151" ht="20.25" customHeight="1">
      <c r="A151" s="307"/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307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</row>
    <row r="152" ht="20.25" customHeight="1">
      <c r="A152" s="307"/>
      <c r="B152" s="307"/>
      <c r="C152" s="307"/>
      <c r="D152" s="307"/>
      <c r="E152" s="307"/>
      <c r="F152" s="307"/>
      <c r="G152" s="307"/>
      <c r="H152" s="307"/>
      <c r="I152" s="307"/>
      <c r="J152" s="307"/>
      <c r="K152" s="307"/>
      <c r="L152" s="307"/>
      <c r="M152" s="307"/>
      <c r="N152" s="307"/>
      <c r="O152" s="307"/>
      <c r="P152" s="307"/>
      <c r="Q152" s="307"/>
      <c r="R152" s="307"/>
      <c r="S152" s="307"/>
      <c r="T152" s="307"/>
      <c r="U152" s="307"/>
      <c r="V152" s="307"/>
      <c r="W152" s="307"/>
      <c r="X152" s="307"/>
      <c r="Y152" s="307"/>
      <c r="Z152" s="307"/>
      <c r="AA152" s="307"/>
      <c r="AB152" s="307"/>
      <c r="AC152" s="307"/>
      <c r="AD152" s="307"/>
    </row>
    <row r="153" ht="20.25" customHeight="1">
      <c r="A153" s="307"/>
      <c r="B153" s="307"/>
      <c r="C153" s="307"/>
      <c r="D153" s="307"/>
      <c r="E153" s="307"/>
      <c r="F153" s="307"/>
      <c r="G153" s="307"/>
      <c r="H153" s="307"/>
      <c r="I153" s="307"/>
      <c r="J153" s="307"/>
      <c r="K153" s="307"/>
      <c r="L153" s="307"/>
      <c r="M153" s="307"/>
      <c r="N153" s="307"/>
      <c r="O153" s="307"/>
      <c r="P153" s="307"/>
      <c r="Q153" s="307"/>
      <c r="R153" s="307"/>
      <c r="S153" s="307"/>
      <c r="T153" s="307"/>
      <c r="U153" s="307"/>
      <c r="V153" s="307"/>
      <c r="W153" s="307"/>
      <c r="X153" s="307"/>
      <c r="Y153" s="307"/>
      <c r="Z153" s="307"/>
      <c r="AA153" s="307"/>
      <c r="AB153" s="307"/>
      <c r="AC153" s="307"/>
      <c r="AD153" s="307"/>
    </row>
    <row r="154" ht="20.25" customHeight="1">
      <c r="A154" s="307"/>
      <c r="B154" s="307"/>
      <c r="C154" s="307"/>
      <c r="D154" s="307"/>
      <c r="E154" s="307"/>
      <c r="F154" s="307"/>
      <c r="G154" s="307"/>
      <c r="H154" s="307"/>
      <c r="I154" s="307"/>
      <c r="J154" s="307"/>
      <c r="K154" s="307"/>
      <c r="L154" s="307"/>
      <c r="M154" s="307"/>
      <c r="N154" s="307"/>
      <c r="O154" s="307"/>
      <c r="P154" s="307"/>
      <c r="Q154" s="307"/>
      <c r="R154" s="307"/>
      <c r="S154" s="307"/>
      <c r="T154" s="307"/>
      <c r="U154" s="307"/>
      <c r="V154" s="307"/>
      <c r="W154" s="307"/>
      <c r="X154" s="307"/>
      <c r="Y154" s="307"/>
      <c r="Z154" s="307"/>
      <c r="AA154" s="307"/>
      <c r="AB154" s="307"/>
      <c r="AC154" s="307"/>
      <c r="AD154" s="307"/>
    </row>
    <row r="155" ht="20.25" customHeight="1">
      <c r="A155" s="307"/>
      <c r="B155" s="307"/>
      <c r="C155" s="307"/>
      <c r="D155" s="307"/>
      <c r="E155" s="307"/>
      <c r="F155" s="307"/>
      <c r="G155" s="307"/>
      <c r="H155" s="307"/>
      <c r="I155" s="307"/>
      <c r="J155" s="307"/>
      <c r="K155" s="307"/>
      <c r="L155" s="307"/>
      <c r="M155" s="307"/>
      <c r="N155" s="307"/>
      <c r="O155" s="307"/>
      <c r="P155" s="307"/>
      <c r="Q155" s="307"/>
      <c r="R155" s="307"/>
      <c r="S155" s="307"/>
      <c r="T155" s="307"/>
      <c r="U155" s="307"/>
      <c r="V155" s="307"/>
      <c r="W155" s="307"/>
      <c r="X155" s="307"/>
      <c r="Y155" s="307"/>
      <c r="Z155" s="307"/>
      <c r="AA155" s="307"/>
      <c r="AB155" s="307"/>
      <c r="AC155" s="307"/>
      <c r="AD155" s="307"/>
    </row>
    <row r="156" ht="20.25" customHeight="1">
      <c r="A156" s="307"/>
      <c r="B156" s="307"/>
      <c r="C156" s="307"/>
      <c r="D156" s="307"/>
      <c r="E156" s="307"/>
      <c r="F156" s="307"/>
      <c r="G156" s="307"/>
      <c r="H156" s="307"/>
      <c r="I156" s="307"/>
      <c r="J156" s="307"/>
      <c r="K156" s="307"/>
      <c r="L156" s="307"/>
      <c r="M156" s="307"/>
      <c r="N156" s="307"/>
      <c r="O156" s="307"/>
      <c r="P156" s="307"/>
      <c r="Q156" s="307"/>
      <c r="R156" s="307"/>
      <c r="S156" s="307"/>
      <c r="T156" s="307"/>
      <c r="U156" s="307"/>
      <c r="V156" s="307"/>
      <c r="W156" s="307"/>
      <c r="X156" s="307"/>
      <c r="Y156" s="307"/>
      <c r="Z156" s="307"/>
      <c r="AA156" s="307"/>
      <c r="AB156" s="307"/>
      <c r="AC156" s="307"/>
      <c r="AD156" s="307"/>
    </row>
    <row r="157" ht="20.25" customHeight="1">
      <c r="A157" s="307"/>
      <c r="B157" s="307"/>
      <c r="C157" s="307"/>
      <c r="D157" s="307"/>
      <c r="E157" s="307"/>
      <c r="F157" s="307"/>
      <c r="G157" s="307"/>
      <c r="H157" s="307"/>
      <c r="I157" s="307"/>
      <c r="J157" s="307"/>
      <c r="K157" s="307"/>
      <c r="L157" s="307"/>
      <c r="M157" s="307"/>
      <c r="N157" s="307"/>
      <c r="O157" s="307"/>
      <c r="P157" s="307"/>
      <c r="Q157" s="307"/>
      <c r="R157" s="307"/>
      <c r="S157" s="307"/>
      <c r="T157" s="307"/>
      <c r="U157" s="307"/>
      <c r="V157" s="307"/>
      <c r="W157" s="307"/>
      <c r="X157" s="307"/>
      <c r="Y157" s="307"/>
      <c r="Z157" s="307"/>
      <c r="AA157" s="307"/>
      <c r="AB157" s="307"/>
      <c r="AC157" s="307"/>
      <c r="AD157" s="307"/>
    </row>
    <row r="158" ht="20.25" customHeight="1">
      <c r="A158" s="307"/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307"/>
      <c r="T158" s="307"/>
      <c r="U158" s="307"/>
      <c r="V158" s="307"/>
      <c r="W158" s="307"/>
      <c r="X158" s="307"/>
      <c r="Y158" s="307"/>
      <c r="Z158" s="307"/>
      <c r="AA158" s="307"/>
      <c r="AB158" s="307"/>
      <c r="AC158" s="307"/>
      <c r="AD158" s="307"/>
    </row>
    <row r="159" ht="20.25" customHeight="1">
      <c r="A159" s="307"/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307"/>
      <c r="T159" s="307"/>
      <c r="U159" s="307"/>
      <c r="V159" s="307"/>
      <c r="W159" s="307"/>
      <c r="X159" s="307"/>
      <c r="Y159" s="307"/>
      <c r="Z159" s="307"/>
      <c r="AA159" s="307"/>
      <c r="AB159" s="307"/>
      <c r="AC159" s="307"/>
      <c r="AD159" s="307"/>
    </row>
    <row r="160" ht="20.25" customHeight="1">
      <c r="A160" s="307"/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307"/>
      <c r="T160" s="307"/>
      <c r="U160" s="307"/>
      <c r="V160" s="307"/>
      <c r="W160" s="307"/>
      <c r="X160" s="307"/>
      <c r="Y160" s="307"/>
      <c r="Z160" s="307"/>
      <c r="AA160" s="307"/>
      <c r="AB160" s="307"/>
      <c r="AC160" s="307"/>
      <c r="AD160" s="307"/>
    </row>
    <row r="161" ht="20.25" customHeight="1">
      <c r="A161" s="307"/>
      <c r="B161" s="307"/>
      <c r="C161" s="307"/>
      <c r="D161" s="307"/>
      <c r="E161" s="307"/>
      <c r="F161" s="307"/>
      <c r="G161" s="307"/>
      <c r="H161" s="307"/>
      <c r="I161" s="307"/>
      <c r="J161" s="307"/>
      <c r="K161" s="307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</row>
    <row r="162" ht="20.25" customHeight="1">
      <c r="A162" s="307"/>
      <c r="B162" s="307"/>
      <c r="C162" s="307"/>
      <c r="D162" s="307"/>
      <c r="E162" s="307"/>
      <c r="F162" s="307"/>
      <c r="G162" s="307"/>
      <c r="H162" s="307"/>
      <c r="I162" s="307"/>
      <c r="J162" s="307"/>
      <c r="K162" s="307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</row>
    <row r="163" ht="20.25" customHeight="1">
      <c r="A163" s="307"/>
      <c r="B163" s="307"/>
      <c r="C163" s="307"/>
      <c r="D163" s="307"/>
      <c r="E163" s="307"/>
      <c r="F163" s="307"/>
      <c r="G163" s="307"/>
      <c r="H163" s="307"/>
      <c r="I163" s="307"/>
      <c r="J163" s="307"/>
      <c r="K163" s="307"/>
      <c r="L163" s="307"/>
      <c r="M163" s="307"/>
      <c r="N163" s="307"/>
      <c r="O163" s="307"/>
      <c r="P163" s="307"/>
      <c r="Q163" s="307"/>
      <c r="R163" s="307"/>
      <c r="S163" s="307"/>
      <c r="T163" s="307"/>
      <c r="U163" s="307"/>
      <c r="V163" s="307"/>
      <c r="W163" s="307"/>
      <c r="X163" s="307"/>
      <c r="Y163" s="307"/>
      <c r="Z163" s="307"/>
      <c r="AA163" s="307"/>
      <c r="AB163" s="307"/>
      <c r="AC163" s="307"/>
      <c r="AD163" s="307"/>
    </row>
    <row r="164" ht="20.25" customHeight="1">
      <c r="A164" s="307"/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</row>
    <row r="165" ht="20.25" customHeight="1">
      <c r="A165" s="307"/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</row>
    <row r="166" ht="20.25" customHeight="1">
      <c r="A166" s="307"/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</row>
    <row r="167" ht="20.25" customHeight="1">
      <c r="A167" s="307"/>
      <c r="B167" s="307"/>
      <c r="C167" s="307"/>
      <c r="D167" s="307"/>
      <c r="E167" s="307"/>
      <c r="F167" s="307"/>
      <c r="G167" s="307"/>
      <c r="H167" s="307"/>
      <c r="I167" s="307"/>
      <c r="J167" s="307"/>
      <c r="K167" s="307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</row>
    <row r="168" ht="20.25" customHeight="1">
      <c r="A168" s="307"/>
      <c r="B168" s="307"/>
      <c r="C168" s="307"/>
      <c r="D168" s="307"/>
      <c r="E168" s="307"/>
      <c r="F168" s="307"/>
      <c r="G168" s="307"/>
      <c r="H168" s="307"/>
      <c r="I168" s="307"/>
      <c r="J168" s="307"/>
      <c r="K168" s="307"/>
      <c r="L168" s="307"/>
      <c r="M168" s="307"/>
      <c r="N168" s="307"/>
      <c r="O168" s="307"/>
      <c r="P168" s="307"/>
      <c r="Q168" s="307"/>
      <c r="R168" s="307"/>
      <c r="S168" s="307"/>
      <c r="T168" s="307"/>
      <c r="U168" s="307"/>
      <c r="V168" s="307"/>
      <c r="W168" s="307"/>
      <c r="X168" s="307"/>
      <c r="Y168" s="307"/>
      <c r="Z168" s="307"/>
      <c r="AA168" s="307"/>
      <c r="AB168" s="307"/>
      <c r="AC168" s="307"/>
      <c r="AD168" s="307"/>
    </row>
    <row r="169" ht="20.25" customHeight="1">
      <c r="A169" s="307"/>
      <c r="B169" s="307"/>
      <c r="C169" s="307"/>
      <c r="D169" s="307"/>
      <c r="E169" s="307"/>
      <c r="F169" s="307"/>
      <c r="G169" s="307"/>
      <c r="H169" s="307"/>
      <c r="I169" s="307"/>
      <c r="J169" s="307"/>
      <c r="K169" s="307"/>
      <c r="L169" s="307"/>
      <c r="M169" s="307"/>
      <c r="N169" s="307"/>
      <c r="O169" s="307"/>
      <c r="P169" s="307"/>
      <c r="Q169" s="307"/>
      <c r="R169" s="307"/>
      <c r="S169" s="307"/>
      <c r="T169" s="307"/>
      <c r="U169" s="307"/>
      <c r="V169" s="307"/>
      <c r="W169" s="307"/>
      <c r="X169" s="307"/>
      <c r="Y169" s="307"/>
      <c r="Z169" s="307"/>
      <c r="AA169" s="307"/>
      <c r="AB169" s="307"/>
      <c r="AC169" s="307"/>
      <c r="AD169" s="307"/>
    </row>
    <row r="170" ht="20.25" customHeight="1">
      <c r="A170" s="307"/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307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</row>
    <row r="171" ht="20.25" customHeight="1">
      <c r="A171" s="307"/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307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</row>
    <row r="172" ht="20.25" customHeight="1">
      <c r="A172" s="307"/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</row>
    <row r="173" ht="20.25" customHeight="1">
      <c r="A173" s="307"/>
      <c r="B173" s="307"/>
      <c r="C173" s="307"/>
      <c r="D173" s="307"/>
      <c r="E173" s="307"/>
      <c r="F173" s="307"/>
      <c r="G173" s="307"/>
      <c r="H173" s="307"/>
      <c r="I173" s="307"/>
      <c r="J173" s="307"/>
      <c r="K173" s="307"/>
      <c r="L173" s="307"/>
      <c r="M173" s="307"/>
      <c r="N173" s="307"/>
      <c r="O173" s="307"/>
      <c r="P173" s="307"/>
      <c r="Q173" s="307"/>
      <c r="R173" s="307"/>
      <c r="S173" s="307"/>
      <c r="T173" s="307"/>
      <c r="U173" s="307"/>
      <c r="V173" s="307"/>
      <c r="W173" s="307"/>
      <c r="X173" s="307"/>
      <c r="Y173" s="307"/>
      <c r="Z173" s="307"/>
      <c r="AA173" s="307"/>
      <c r="AB173" s="307"/>
      <c r="AC173" s="307"/>
      <c r="AD173" s="307"/>
    </row>
    <row r="174" ht="20.25" customHeight="1">
      <c r="A174" s="307"/>
      <c r="B174" s="307"/>
      <c r="C174" s="307"/>
      <c r="D174" s="307"/>
      <c r="E174" s="307"/>
      <c r="F174" s="307"/>
      <c r="G174" s="307"/>
      <c r="H174" s="307"/>
      <c r="I174" s="307"/>
      <c r="J174" s="307"/>
      <c r="K174" s="307"/>
      <c r="L174" s="307"/>
      <c r="M174" s="307"/>
      <c r="N174" s="307"/>
      <c r="O174" s="307"/>
      <c r="P174" s="307"/>
      <c r="Q174" s="307"/>
      <c r="R174" s="307"/>
      <c r="S174" s="307"/>
      <c r="T174" s="307"/>
      <c r="U174" s="307"/>
      <c r="V174" s="307"/>
      <c r="W174" s="307"/>
      <c r="X174" s="307"/>
      <c r="Y174" s="307"/>
      <c r="Z174" s="307"/>
      <c r="AA174" s="307"/>
      <c r="AB174" s="307"/>
      <c r="AC174" s="307"/>
      <c r="AD174" s="307"/>
    </row>
    <row r="175" ht="20.25" customHeight="1">
      <c r="A175" s="307"/>
      <c r="B175" s="307"/>
      <c r="C175" s="307"/>
      <c r="D175" s="307"/>
      <c r="E175" s="307"/>
      <c r="F175" s="307"/>
      <c r="G175" s="307"/>
      <c r="H175" s="307"/>
      <c r="I175" s="307"/>
      <c r="J175" s="307"/>
      <c r="K175" s="307"/>
      <c r="L175" s="307"/>
      <c r="M175" s="307"/>
      <c r="N175" s="307"/>
      <c r="O175" s="307"/>
      <c r="P175" s="307"/>
      <c r="Q175" s="307"/>
      <c r="R175" s="307"/>
      <c r="S175" s="307"/>
      <c r="T175" s="307"/>
      <c r="U175" s="307"/>
      <c r="V175" s="307"/>
      <c r="W175" s="307"/>
      <c r="X175" s="307"/>
      <c r="Y175" s="307"/>
      <c r="Z175" s="307"/>
      <c r="AA175" s="307"/>
      <c r="AB175" s="307"/>
      <c r="AC175" s="307"/>
      <c r="AD175" s="307"/>
    </row>
    <row r="176" ht="20.25" customHeight="1">
      <c r="A176" s="307"/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307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</row>
    <row r="177" ht="20.25" customHeight="1">
      <c r="A177" s="307"/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307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</row>
    <row r="178" ht="20.25" customHeight="1">
      <c r="A178" s="307"/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307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</row>
    <row r="179" ht="20.25" customHeight="1">
      <c r="A179" s="307"/>
      <c r="B179" s="307"/>
      <c r="C179" s="307"/>
      <c r="D179" s="307"/>
      <c r="E179" s="307"/>
      <c r="F179" s="307"/>
      <c r="G179" s="307"/>
      <c r="H179" s="307"/>
      <c r="I179" s="307"/>
      <c r="J179" s="307"/>
      <c r="K179" s="307"/>
      <c r="L179" s="307"/>
      <c r="M179" s="307"/>
      <c r="N179" s="307"/>
      <c r="O179" s="307"/>
      <c r="P179" s="307"/>
      <c r="Q179" s="307"/>
      <c r="R179" s="307"/>
      <c r="S179" s="307"/>
      <c r="T179" s="307"/>
      <c r="U179" s="307"/>
      <c r="V179" s="307"/>
      <c r="W179" s="307"/>
      <c r="X179" s="307"/>
      <c r="Y179" s="307"/>
      <c r="Z179" s="307"/>
      <c r="AA179" s="307"/>
      <c r="AB179" s="307"/>
      <c r="AC179" s="307"/>
      <c r="AD179" s="307"/>
    </row>
    <row r="180" ht="20.25" customHeight="1">
      <c r="A180" s="307"/>
      <c r="B180" s="307"/>
      <c r="C180" s="307"/>
      <c r="D180" s="307"/>
      <c r="E180" s="307"/>
      <c r="F180" s="307"/>
      <c r="G180" s="307"/>
      <c r="H180" s="307"/>
      <c r="I180" s="307"/>
      <c r="J180" s="307"/>
      <c r="K180" s="307"/>
      <c r="L180" s="307"/>
      <c r="M180" s="307"/>
      <c r="N180" s="307"/>
      <c r="O180" s="307"/>
      <c r="P180" s="307"/>
      <c r="Q180" s="307"/>
      <c r="R180" s="307"/>
      <c r="S180" s="307"/>
      <c r="T180" s="307"/>
      <c r="U180" s="307"/>
      <c r="V180" s="307"/>
      <c r="W180" s="307"/>
      <c r="X180" s="307"/>
      <c r="Y180" s="307"/>
      <c r="Z180" s="307"/>
      <c r="AA180" s="307"/>
      <c r="AB180" s="307"/>
      <c r="AC180" s="307"/>
      <c r="AD180" s="307"/>
    </row>
    <row r="181" ht="20.25" customHeight="1">
      <c r="A181" s="307"/>
      <c r="B181" s="307"/>
      <c r="C181" s="307"/>
      <c r="D181" s="307"/>
      <c r="E181" s="307"/>
      <c r="F181" s="307"/>
      <c r="G181" s="307"/>
      <c r="H181" s="307"/>
      <c r="I181" s="307"/>
      <c r="J181" s="307"/>
      <c r="K181" s="307"/>
      <c r="L181" s="307"/>
      <c r="M181" s="307"/>
      <c r="N181" s="307"/>
      <c r="O181" s="307"/>
      <c r="P181" s="307"/>
      <c r="Q181" s="307"/>
      <c r="R181" s="307"/>
      <c r="S181" s="307"/>
      <c r="T181" s="307"/>
      <c r="U181" s="307"/>
      <c r="V181" s="307"/>
      <c r="W181" s="307"/>
      <c r="X181" s="307"/>
      <c r="Y181" s="307"/>
      <c r="Z181" s="307"/>
      <c r="AA181" s="307"/>
      <c r="AB181" s="307"/>
      <c r="AC181" s="307"/>
      <c r="AD181" s="307"/>
    </row>
    <row r="182" ht="20.25" customHeight="1">
      <c r="A182" s="307"/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307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</row>
    <row r="183" ht="20.25" customHeight="1">
      <c r="A183" s="307"/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307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</row>
    <row r="184" ht="20.25" customHeight="1">
      <c r="A184" s="307"/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307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</row>
    <row r="185" ht="20.25" customHeight="1">
      <c r="A185" s="307"/>
      <c r="B185" s="307"/>
      <c r="C185" s="307"/>
      <c r="D185" s="307"/>
      <c r="E185" s="307"/>
      <c r="F185" s="307"/>
      <c r="G185" s="307"/>
      <c r="H185" s="307"/>
      <c r="I185" s="307"/>
      <c r="J185" s="307"/>
      <c r="K185" s="307"/>
      <c r="L185" s="307"/>
      <c r="M185" s="307"/>
      <c r="N185" s="307"/>
      <c r="O185" s="307"/>
      <c r="P185" s="307"/>
      <c r="Q185" s="307"/>
      <c r="R185" s="307"/>
      <c r="S185" s="307"/>
      <c r="T185" s="307"/>
      <c r="U185" s="307"/>
      <c r="V185" s="307"/>
      <c r="W185" s="307"/>
      <c r="X185" s="307"/>
      <c r="Y185" s="307"/>
      <c r="Z185" s="307"/>
      <c r="AA185" s="307"/>
      <c r="AB185" s="307"/>
      <c r="AC185" s="307"/>
      <c r="AD185" s="307"/>
    </row>
    <row r="186" ht="20.25" customHeight="1">
      <c r="A186" s="307"/>
      <c r="B186" s="307"/>
      <c r="C186" s="307"/>
      <c r="D186" s="307"/>
      <c r="E186" s="307"/>
      <c r="F186" s="307"/>
      <c r="G186" s="307"/>
      <c r="H186" s="307"/>
      <c r="I186" s="307"/>
      <c r="J186" s="307"/>
      <c r="K186" s="307"/>
      <c r="L186" s="307"/>
      <c r="M186" s="307"/>
      <c r="N186" s="307"/>
      <c r="O186" s="307"/>
      <c r="P186" s="307"/>
      <c r="Q186" s="307"/>
      <c r="R186" s="307"/>
      <c r="S186" s="307"/>
      <c r="T186" s="307"/>
      <c r="U186" s="307"/>
      <c r="V186" s="307"/>
      <c r="W186" s="307"/>
      <c r="X186" s="307"/>
      <c r="Y186" s="307"/>
      <c r="Z186" s="307"/>
      <c r="AA186" s="307"/>
      <c r="AB186" s="307"/>
      <c r="AC186" s="307"/>
      <c r="AD186" s="307"/>
    </row>
    <row r="187" ht="20.25" customHeight="1">
      <c r="A187" s="307"/>
      <c r="B187" s="307"/>
      <c r="C187" s="307"/>
      <c r="D187" s="307"/>
      <c r="E187" s="307"/>
      <c r="F187" s="307"/>
      <c r="G187" s="307"/>
      <c r="H187" s="307"/>
      <c r="I187" s="307"/>
      <c r="J187" s="307"/>
      <c r="K187" s="307"/>
      <c r="L187" s="307"/>
      <c r="M187" s="307"/>
      <c r="N187" s="307"/>
      <c r="O187" s="307"/>
      <c r="P187" s="307"/>
      <c r="Q187" s="307"/>
      <c r="R187" s="307"/>
      <c r="S187" s="307"/>
      <c r="T187" s="307"/>
      <c r="U187" s="307"/>
      <c r="V187" s="307"/>
      <c r="W187" s="307"/>
      <c r="X187" s="307"/>
      <c r="Y187" s="307"/>
      <c r="Z187" s="307"/>
      <c r="AA187" s="307"/>
      <c r="AB187" s="307"/>
      <c r="AC187" s="307"/>
      <c r="AD187" s="307"/>
    </row>
    <row r="188" ht="20.25" customHeight="1">
      <c r="A188" s="307"/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307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</row>
    <row r="189" ht="20.25" customHeight="1">
      <c r="A189" s="307"/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307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</row>
    <row r="190" ht="20.25" customHeight="1">
      <c r="A190" s="307"/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307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</row>
    <row r="191" ht="20.25" customHeight="1">
      <c r="A191" s="307"/>
      <c r="B191" s="307"/>
      <c r="C191" s="307"/>
      <c r="D191" s="307"/>
      <c r="E191" s="307"/>
      <c r="F191" s="307"/>
      <c r="G191" s="307"/>
      <c r="H191" s="307"/>
      <c r="I191" s="307"/>
      <c r="J191" s="307"/>
      <c r="K191" s="307"/>
      <c r="L191" s="307"/>
      <c r="M191" s="307"/>
      <c r="N191" s="307"/>
      <c r="O191" s="307"/>
      <c r="P191" s="307"/>
      <c r="Q191" s="307"/>
      <c r="R191" s="307"/>
      <c r="S191" s="307"/>
      <c r="T191" s="307"/>
      <c r="U191" s="307"/>
      <c r="V191" s="307"/>
      <c r="W191" s="307"/>
      <c r="X191" s="307"/>
      <c r="Y191" s="307"/>
      <c r="Z191" s="307"/>
      <c r="AA191" s="307"/>
      <c r="AB191" s="307"/>
      <c r="AC191" s="307"/>
      <c r="AD191" s="307"/>
    </row>
    <row r="192" ht="20.25" customHeight="1">
      <c r="A192" s="307"/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307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</row>
    <row r="193" ht="20.25" customHeight="1">
      <c r="A193" s="307"/>
      <c r="B193" s="307"/>
      <c r="C193" s="307"/>
      <c r="D193" s="307"/>
      <c r="E193" s="307"/>
      <c r="F193" s="307"/>
      <c r="G193" s="307"/>
      <c r="H193" s="307"/>
      <c r="I193" s="307"/>
      <c r="J193" s="307"/>
      <c r="K193" s="307"/>
      <c r="L193" s="307"/>
      <c r="M193" s="307"/>
      <c r="N193" s="307"/>
      <c r="O193" s="307"/>
      <c r="P193" s="307"/>
      <c r="Q193" s="307"/>
      <c r="R193" s="307"/>
      <c r="S193" s="307"/>
      <c r="T193" s="307"/>
      <c r="U193" s="307"/>
      <c r="V193" s="307"/>
      <c r="W193" s="307"/>
      <c r="X193" s="307"/>
      <c r="Y193" s="307"/>
      <c r="Z193" s="307"/>
      <c r="AA193" s="307"/>
      <c r="AB193" s="307"/>
      <c r="AC193" s="307"/>
      <c r="AD193" s="307"/>
    </row>
    <row r="194" ht="20.25" customHeight="1">
      <c r="A194" s="307"/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307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</row>
    <row r="195" ht="20.25" customHeight="1">
      <c r="A195" s="307"/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307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</row>
    <row r="196" ht="20.25" customHeight="1">
      <c r="A196" s="307"/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307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</row>
    <row r="197" ht="20.25" customHeight="1">
      <c r="A197" s="307"/>
      <c r="B197" s="307"/>
      <c r="C197" s="307"/>
      <c r="D197" s="307"/>
      <c r="E197" s="307"/>
      <c r="F197" s="307"/>
      <c r="G197" s="307"/>
      <c r="H197" s="307"/>
      <c r="I197" s="307"/>
      <c r="J197" s="307"/>
      <c r="K197" s="307"/>
      <c r="L197" s="307"/>
      <c r="M197" s="307"/>
      <c r="N197" s="307"/>
      <c r="O197" s="307"/>
      <c r="P197" s="307"/>
      <c r="Q197" s="307"/>
      <c r="R197" s="307"/>
      <c r="S197" s="307"/>
      <c r="T197" s="307"/>
      <c r="U197" s="307"/>
      <c r="V197" s="307"/>
      <c r="W197" s="307"/>
      <c r="X197" s="307"/>
      <c r="Y197" s="307"/>
      <c r="Z197" s="307"/>
      <c r="AA197" s="307"/>
      <c r="AB197" s="307"/>
      <c r="AC197" s="307"/>
      <c r="AD197" s="307"/>
    </row>
    <row r="198" ht="20.25" customHeight="1">
      <c r="A198" s="307"/>
      <c r="B198" s="307"/>
      <c r="C198" s="307"/>
      <c r="D198" s="307"/>
      <c r="E198" s="307"/>
      <c r="F198" s="307"/>
      <c r="G198" s="307"/>
      <c r="H198" s="307"/>
      <c r="I198" s="307"/>
      <c r="J198" s="307"/>
      <c r="K198" s="307"/>
      <c r="L198" s="307"/>
      <c r="M198" s="307"/>
      <c r="N198" s="307"/>
      <c r="O198" s="307"/>
      <c r="P198" s="307"/>
      <c r="Q198" s="307"/>
      <c r="R198" s="307"/>
      <c r="S198" s="307"/>
      <c r="T198" s="307"/>
      <c r="U198" s="307"/>
      <c r="V198" s="307"/>
      <c r="W198" s="307"/>
      <c r="X198" s="307"/>
      <c r="Y198" s="307"/>
      <c r="Z198" s="307"/>
      <c r="AA198" s="307"/>
      <c r="AB198" s="307"/>
      <c r="AC198" s="307"/>
      <c r="AD198" s="307"/>
    </row>
    <row r="199" ht="20.25" customHeight="1">
      <c r="A199" s="307"/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307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</row>
    <row r="200" ht="20.25" customHeight="1">
      <c r="A200" s="307"/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307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</row>
    <row r="201" ht="20.25" customHeight="1">
      <c r="A201" s="307"/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307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</row>
    <row r="202" ht="20.25" customHeight="1">
      <c r="A202" s="307"/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307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</row>
    <row r="203" ht="20.25" customHeight="1">
      <c r="A203" s="307"/>
      <c r="B203" s="307"/>
      <c r="C203" s="307"/>
      <c r="D203" s="307"/>
      <c r="E203" s="307"/>
      <c r="F203" s="307"/>
      <c r="G203" s="307"/>
      <c r="H203" s="307"/>
      <c r="I203" s="307"/>
      <c r="J203" s="307"/>
      <c r="K203" s="307"/>
      <c r="L203" s="307"/>
      <c r="M203" s="307"/>
      <c r="N203" s="307"/>
      <c r="O203" s="307"/>
      <c r="P203" s="307"/>
      <c r="Q203" s="307"/>
      <c r="R203" s="307"/>
      <c r="S203" s="307"/>
      <c r="T203" s="307"/>
      <c r="U203" s="307"/>
      <c r="V203" s="307"/>
      <c r="W203" s="307"/>
      <c r="X203" s="307"/>
      <c r="Y203" s="307"/>
      <c r="Z203" s="307"/>
      <c r="AA203" s="307"/>
      <c r="AB203" s="307"/>
      <c r="AC203" s="307"/>
      <c r="AD203" s="307"/>
    </row>
    <row r="204" ht="20.25" customHeight="1">
      <c r="A204" s="307"/>
      <c r="B204" s="307"/>
      <c r="C204" s="307"/>
      <c r="D204" s="307"/>
      <c r="E204" s="307"/>
      <c r="F204" s="307"/>
      <c r="G204" s="307"/>
      <c r="H204" s="307"/>
      <c r="I204" s="307"/>
      <c r="J204" s="307"/>
      <c r="K204" s="307"/>
      <c r="L204" s="307"/>
      <c r="M204" s="307"/>
      <c r="N204" s="307"/>
      <c r="O204" s="307"/>
      <c r="P204" s="307"/>
      <c r="Q204" s="307"/>
      <c r="R204" s="307"/>
      <c r="S204" s="307"/>
      <c r="T204" s="307"/>
      <c r="U204" s="307"/>
      <c r="V204" s="307"/>
      <c r="W204" s="307"/>
      <c r="X204" s="307"/>
      <c r="Y204" s="307"/>
      <c r="Z204" s="307"/>
      <c r="AA204" s="307"/>
      <c r="AB204" s="307"/>
      <c r="AC204" s="307"/>
      <c r="AD204" s="307"/>
    </row>
    <row r="205" ht="20.25" customHeight="1">
      <c r="A205" s="307"/>
      <c r="B205" s="307"/>
      <c r="C205" s="307"/>
      <c r="D205" s="307"/>
      <c r="E205" s="307"/>
      <c r="F205" s="307"/>
      <c r="G205" s="307"/>
      <c r="H205" s="307"/>
      <c r="I205" s="307"/>
      <c r="J205" s="307"/>
      <c r="K205" s="307"/>
      <c r="L205" s="307"/>
      <c r="M205" s="307"/>
      <c r="N205" s="307"/>
      <c r="O205" s="307"/>
      <c r="P205" s="307"/>
      <c r="Q205" s="307"/>
      <c r="R205" s="307"/>
      <c r="S205" s="307"/>
      <c r="T205" s="307"/>
      <c r="U205" s="307"/>
      <c r="V205" s="307"/>
      <c r="W205" s="307"/>
      <c r="X205" s="307"/>
      <c r="Y205" s="307"/>
      <c r="Z205" s="307"/>
      <c r="AA205" s="307"/>
      <c r="AB205" s="307"/>
      <c r="AC205" s="307"/>
      <c r="AD205" s="307"/>
    </row>
    <row r="206" ht="20.25" customHeight="1">
      <c r="A206" s="307"/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307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</row>
    <row r="207" ht="20.25" customHeight="1">
      <c r="A207" s="307"/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307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</row>
    <row r="208" ht="20.25" customHeight="1">
      <c r="A208" s="307"/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307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</row>
    <row r="209" ht="20.25" customHeight="1">
      <c r="A209" s="307"/>
      <c r="B209" s="307"/>
      <c r="C209" s="307"/>
      <c r="D209" s="307"/>
      <c r="E209" s="307"/>
      <c r="F209" s="307"/>
      <c r="G209" s="307"/>
      <c r="H209" s="307"/>
      <c r="I209" s="307"/>
      <c r="J209" s="307"/>
      <c r="K209" s="307"/>
      <c r="L209" s="307"/>
      <c r="M209" s="307"/>
      <c r="N209" s="307"/>
      <c r="O209" s="307"/>
      <c r="P209" s="307"/>
      <c r="Q209" s="307"/>
      <c r="R209" s="307"/>
      <c r="S209" s="307"/>
      <c r="T209" s="307"/>
      <c r="U209" s="307"/>
      <c r="V209" s="307"/>
      <c r="W209" s="307"/>
      <c r="X209" s="307"/>
      <c r="Y209" s="307"/>
      <c r="Z209" s="307"/>
      <c r="AA209" s="307"/>
      <c r="AB209" s="307"/>
      <c r="AC209" s="307"/>
      <c r="AD209" s="307"/>
    </row>
    <row r="210" ht="20.25" customHeight="1">
      <c r="A210" s="307"/>
      <c r="B210" s="307"/>
      <c r="C210" s="307"/>
      <c r="D210" s="307"/>
      <c r="E210" s="307"/>
      <c r="F210" s="307"/>
      <c r="G210" s="307"/>
      <c r="H210" s="307"/>
      <c r="I210" s="307"/>
      <c r="J210" s="307"/>
      <c r="K210" s="307"/>
      <c r="L210" s="307"/>
      <c r="M210" s="307"/>
      <c r="N210" s="307"/>
      <c r="O210" s="307"/>
      <c r="P210" s="307"/>
      <c r="Q210" s="307"/>
      <c r="R210" s="307"/>
      <c r="S210" s="307"/>
      <c r="T210" s="307"/>
      <c r="U210" s="307"/>
      <c r="V210" s="307"/>
      <c r="W210" s="307"/>
      <c r="X210" s="307"/>
      <c r="Y210" s="307"/>
      <c r="Z210" s="307"/>
      <c r="AA210" s="307"/>
      <c r="AB210" s="307"/>
      <c r="AC210" s="307"/>
      <c r="AD210" s="307"/>
    </row>
    <row r="211" ht="20.25" customHeight="1">
      <c r="A211" s="307"/>
      <c r="B211" s="307"/>
      <c r="C211" s="307"/>
      <c r="D211" s="307"/>
      <c r="E211" s="307"/>
      <c r="F211" s="307"/>
      <c r="G211" s="307"/>
      <c r="H211" s="307"/>
      <c r="I211" s="307"/>
      <c r="J211" s="307"/>
      <c r="K211" s="307"/>
      <c r="L211" s="307"/>
      <c r="M211" s="307"/>
      <c r="N211" s="307"/>
      <c r="O211" s="307"/>
      <c r="P211" s="307"/>
      <c r="Q211" s="307"/>
      <c r="R211" s="307"/>
      <c r="S211" s="307"/>
      <c r="T211" s="307"/>
      <c r="U211" s="307"/>
      <c r="V211" s="307"/>
      <c r="W211" s="307"/>
      <c r="X211" s="307"/>
      <c r="Y211" s="307"/>
      <c r="Z211" s="307"/>
      <c r="AA211" s="307"/>
      <c r="AB211" s="307"/>
      <c r="AC211" s="307"/>
      <c r="AD211" s="307"/>
    </row>
    <row r="212" ht="20.25" customHeight="1">
      <c r="A212" s="307"/>
      <c r="B212" s="307"/>
      <c r="C212" s="307"/>
      <c r="D212" s="307"/>
      <c r="E212" s="307"/>
      <c r="F212" s="307"/>
      <c r="G212" s="307"/>
      <c r="H212" s="307"/>
      <c r="I212" s="307"/>
      <c r="J212" s="307"/>
      <c r="K212" s="307"/>
      <c r="L212" s="307"/>
      <c r="M212" s="307"/>
      <c r="N212" s="307"/>
      <c r="O212" s="307"/>
      <c r="P212" s="307"/>
      <c r="Q212" s="307"/>
      <c r="R212" s="307"/>
      <c r="S212" s="307"/>
      <c r="T212" s="307"/>
      <c r="U212" s="307"/>
      <c r="V212" s="307"/>
      <c r="W212" s="307"/>
      <c r="X212" s="307"/>
      <c r="Y212" s="307"/>
      <c r="Z212" s="307"/>
      <c r="AA212" s="307"/>
      <c r="AB212" s="307"/>
      <c r="AC212" s="307"/>
      <c r="AD212" s="307"/>
    </row>
    <row r="213" ht="20.25" customHeight="1">
      <c r="A213" s="307"/>
      <c r="B213" s="307"/>
      <c r="C213" s="307"/>
      <c r="D213" s="307"/>
      <c r="E213" s="307"/>
      <c r="F213" s="307"/>
      <c r="G213" s="307"/>
      <c r="H213" s="307"/>
      <c r="I213" s="307"/>
      <c r="J213" s="307"/>
      <c r="K213" s="307"/>
      <c r="L213" s="307"/>
      <c r="M213" s="307"/>
      <c r="N213" s="307"/>
      <c r="O213" s="307"/>
      <c r="P213" s="307"/>
      <c r="Q213" s="307"/>
      <c r="R213" s="307"/>
      <c r="S213" s="307"/>
      <c r="T213" s="307"/>
      <c r="U213" s="307"/>
      <c r="V213" s="307"/>
      <c r="W213" s="307"/>
      <c r="X213" s="307"/>
      <c r="Y213" s="307"/>
      <c r="Z213" s="307"/>
      <c r="AA213" s="307"/>
      <c r="AB213" s="307"/>
      <c r="AC213" s="307"/>
      <c r="AD213" s="307"/>
    </row>
    <row r="214" ht="20.25" customHeight="1">
      <c r="A214" s="307"/>
      <c r="B214" s="307"/>
      <c r="C214" s="307"/>
      <c r="D214" s="307"/>
      <c r="E214" s="307"/>
      <c r="F214" s="307"/>
      <c r="G214" s="307"/>
      <c r="H214" s="307"/>
      <c r="I214" s="307"/>
      <c r="J214" s="307"/>
      <c r="K214" s="307"/>
      <c r="L214" s="307"/>
      <c r="M214" s="307"/>
      <c r="N214" s="307"/>
      <c r="O214" s="307"/>
      <c r="P214" s="307"/>
      <c r="Q214" s="307"/>
      <c r="R214" s="307"/>
      <c r="S214" s="307"/>
      <c r="T214" s="307"/>
      <c r="U214" s="307"/>
      <c r="V214" s="307"/>
      <c r="W214" s="307"/>
      <c r="X214" s="307"/>
      <c r="Y214" s="307"/>
      <c r="Z214" s="307"/>
      <c r="AA214" s="307"/>
      <c r="AB214" s="307"/>
      <c r="AC214" s="307"/>
      <c r="AD214" s="307"/>
    </row>
    <row r="215" ht="20.25" customHeight="1">
      <c r="A215" s="307"/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307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</row>
    <row r="216" ht="20.25" customHeight="1">
      <c r="A216" s="307"/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30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</row>
    <row r="217" ht="20.25" customHeight="1">
      <c r="A217" s="307"/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307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</row>
    <row r="218" ht="20.25" customHeight="1">
      <c r="A218" s="307"/>
      <c r="B218" s="307"/>
      <c r="C218" s="307"/>
      <c r="D218" s="307"/>
      <c r="E218" s="307"/>
      <c r="F218" s="307"/>
      <c r="G218" s="307"/>
      <c r="H218" s="307"/>
      <c r="I218" s="307"/>
      <c r="J218" s="307"/>
      <c r="K218" s="307"/>
      <c r="L218" s="307"/>
      <c r="M218" s="307"/>
      <c r="N218" s="307"/>
      <c r="O218" s="307"/>
      <c r="P218" s="307"/>
      <c r="Q218" s="307"/>
      <c r="R218" s="307"/>
      <c r="S218" s="307"/>
      <c r="T218" s="307"/>
      <c r="U218" s="307"/>
      <c r="V218" s="307"/>
      <c r="W218" s="307"/>
      <c r="X218" s="307"/>
      <c r="Y218" s="307"/>
      <c r="Z218" s="307"/>
      <c r="AA218" s="307"/>
      <c r="AB218" s="307"/>
      <c r="AC218" s="307"/>
      <c r="AD218" s="307"/>
    </row>
    <row r="219" ht="20.25" customHeight="1">
      <c r="A219" s="307"/>
      <c r="B219" s="307"/>
      <c r="C219" s="307"/>
      <c r="D219" s="307"/>
      <c r="E219" s="307"/>
      <c r="F219" s="307"/>
      <c r="G219" s="307"/>
      <c r="H219" s="307"/>
      <c r="I219" s="307"/>
      <c r="J219" s="307"/>
      <c r="K219" s="307"/>
      <c r="L219" s="307"/>
      <c r="M219" s="307"/>
      <c r="N219" s="307"/>
      <c r="O219" s="307"/>
      <c r="P219" s="307"/>
      <c r="Q219" s="307"/>
      <c r="R219" s="307"/>
      <c r="S219" s="307"/>
      <c r="T219" s="307"/>
      <c r="U219" s="307"/>
      <c r="V219" s="307"/>
      <c r="W219" s="307"/>
      <c r="X219" s="307"/>
      <c r="Y219" s="307"/>
      <c r="Z219" s="307"/>
      <c r="AA219" s="307"/>
      <c r="AB219" s="307"/>
      <c r="AC219" s="307"/>
      <c r="AD219" s="307"/>
    </row>
    <row r="220" ht="20.25" customHeight="1">
      <c r="A220" s="307"/>
      <c r="B220" s="307"/>
      <c r="C220" s="307"/>
      <c r="D220" s="307"/>
      <c r="E220" s="307"/>
      <c r="F220" s="307"/>
      <c r="G220" s="307"/>
      <c r="H220" s="307"/>
      <c r="I220" s="307"/>
      <c r="J220" s="307"/>
      <c r="K220" s="307"/>
      <c r="L220" s="307"/>
      <c r="M220" s="307"/>
      <c r="N220" s="307"/>
      <c r="O220" s="307"/>
      <c r="P220" s="307"/>
      <c r="Q220" s="307"/>
      <c r="R220" s="307"/>
      <c r="S220" s="307"/>
      <c r="T220" s="307"/>
      <c r="U220" s="307"/>
      <c r="V220" s="307"/>
      <c r="W220" s="307"/>
      <c r="X220" s="307"/>
      <c r="Y220" s="307"/>
      <c r="Z220" s="307"/>
      <c r="AA220" s="307"/>
      <c r="AB220" s="307"/>
      <c r="AC220" s="307"/>
      <c r="AD220" s="307"/>
    </row>
    <row r="221" ht="20.25" customHeight="1">
      <c r="A221" s="307"/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307"/>
      <c r="R221" s="307"/>
      <c r="S221" s="307"/>
      <c r="T221" s="307"/>
      <c r="U221" s="307"/>
      <c r="V221" s="307"/>
      <c r="W221" s="307"/>
      <c r="X221" s="307"/>
      <c r="Y221" s="307"/>
      <c r="Z221" s="307"/>
      <c r="AA221" s="307"/>
      <c r="AB221" s="307"/>
      <c r="AC221" s="307"/>
      <c r="AD221" s="307"/>
    </row>
    <row r="222" ht="20.25" customHeight="1">
      <c r="A222" s="307"/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307"/>
      <c r="R222" s="307"/>
      <c r="S222" s="307"/>
      <c r="T222" s="307"/>
      <c r="U222" s="307"/>
      <c r="V222" s="307"/>
      <c r="W222" s="307"/>
      <c r="X222" s="307"/>
      <c r="Y222" s="307"/>
      <c r="Z222" s="307"/>
      <c r="AA222" s="307"/>
      <c r="AB222" s="307"/>
      <c r="AC222" s="307"/>
      <c r="AD222" s="307"/>
    </row>
    <row r="223" ht="20.25" customHeight="1">
      <c r="A223" s="307"/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307"/>
      <c r="R223" s="307"/>
      <c r="S223" s="307"/>
      <c r="T223" s="307"/>
      <c r="U223" s="307"/>
      <c r="V223" s="307"/>
      <c r="W223" s="307"/>
      <c r="X223" s="307"/>
      <c r="Y223" s="307"/>
      <c r="Z223" s="307"/>
      <c r="AA223" s="307"/>
      <c r="AB223" s="307"/>
      <c r="AC223" s="307"/>
      <c r="AD223" s="307"/>
    </row>
    <row r="224" ht="20.25" customHeight="1">
      <c r="A224" s="307"/>
      <c r="B224" s="307"/>
      <c r="C224" s="307"/>
      <c r="D224" s="307"/>
      <c r="E224" s="307"/>
      <c r="F224" s="307"/>
      <c r="G224" s="307"/>
      <c r="H224" s="307"/>
      <c r="I224" s="307"/>
      <c r="J224" s="307"/>
      <c r="K224" s="307"/>
      <c r="L224" s="307"/>
      <c r="M224" s="307"/>
      <c r="N224" s="307"/>
      <c r="O224" s="307"/>
      <c r="P224" s="307"/>
      <c r="Q224" s="307"/>
      <c r="R224" s="307"/>
      <c r="S224" s="307"/>
      <c r="T224" s="307"/>
      <c r="U224" s="307"/>
      <c r="V224" s="307"/>
      <c r="W224" s="307"/>
      <c r="X224" s="307"/>
      <c r="Y224" s="307"/>
      <c r="Z224" s="307"/>
      <c r="AA224" s="307"/>
      <c r="AB224" s="307"/>
      <c r="AC224" s="307"/>
      <c r="AD224" s="307"/>
    </row>
    <row r="225" ht="20.25" customHeight="1">
      <c r="A225" s="307"/>
      <c r="B225" s="307"/>
      <c r="C225" s="307"/>
      <c r="D225" s="307"/>
      <c r="E225" s="307"/>
      <c r="F225" s="307"/>
      <c r="G225" s="307"/>
      <c r="H225" s="307"/>
      <c r="I225" s="307"/>
      <c r="J225" s="307"/>
      <c r="K225" s="307"/>
      <c r="L225" s="307"/>
      <c r="M225" s="307"/>
      <c r="N225" s="307"/>
      <c r="O225" s="307"/>
      <c r="P225" s="307"/>
      <c r="Q225" s="307"/>
      <c r="R225" s="307"/>
      <c r="S225" s="307"/>
      <c r="T225" s="307"/>
      <c r="U225" s="307"/>
      <c r="V225" s="307"/>
      <c r="W225" s="307"/>
      <c r="X225" s="307"/>
      <c r="Y225" s="307"/>
      <c r="Z225" s="307"/>
      <c r="AA225" s="307"/>
      <c r="AB225" s="307"/>
      <c r="AC225" s="307"/>
      <c r="AD225" s="307"/>
    </row>
    <row r="226" ht="20.25" customHeight="1">
      <c r="A226" s="307"/>
      <c r="B226" s="307"/>
      <c r="C226" s="307"/>
      <c r="D226" s="307"/>
      <c r="E226" s="307"/>
      <c r="F226" s="307"/>
      <c r="G226" s="307"/>
      <c r="H226" s="307"/>
      <c r="I226" s="307"/>
      <c r="J226" s="307"/>
      <c r="K226" s="307"/>
      <c r="L226" s="307"/>
      <c r="M226" s="307"/>
      <c r="N226" s="307"/>
      <c r="O226" s="307"/>
      <c r="P226" s="307"/>
      <c r="Q226" s="307"/>
      <c r="R226" s="307"/>
      <c r="S226" s="307"/>
      <c r="T226" s="307"/>
      <c r="U226" s="307"/>
      <c r="V226" s="307"/>
      <c r="W226" s="307"/>
      <c r="X226" s="307"/>
      <c r="Y226" s="307"/>
      <c r="Z226" s="307"/>
      <c r="AA226" s="307"/>
      <c r="AB226" s="307"/>
      <c r="AC226" s="307"/>
      <c r="AD226" s="307"/>
    </row>
    <row r="227" ht="20.25" customHeight="1">
      <c r="A227" s="307"/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307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</row>
    <row r="228" ht="20.25" customHeight="1">
      <c r="A228" s="307"/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307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</row>
    <row r="229" ht="20.25" customHeight="1">
      <c r="A229" s="307"/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307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</row>
    <row r="230" ht="20.25" customHeight="1">
      <c r="A230" s="307"/>
      <c r="B230" s="307"/>
      <c r="C230" s="307"/>
      <c r="D230" s="307"/>
      <c r="E230" s="307"/>
      <c r="F230" s="307"/>
      <c r="G230" s="307"/>
      <c r="H230" s="307"/>
      <c r="I230" s="307"/>
      <c r="J230" s="307"/>
      <c r="K230" s="307"/>
      <c r="L230" s="307"/>
      <c r="M230" s="307"/>
      <c r="N230" s="307"/>
      <c r="O230" s="307"/>
      <c r="P230" s="307"/>
      <c r="Q230" s="307"/>
      <c r="R230" s="307"/>
      <c r="S230" s="307"/>
      <c r="T230" s="307"/>
      <c r="U230" s="307"/>
      <c r="V230" s="307"/>
      <c r="W230" s="307"/>
      <c r="X230" s="307"/>
      <c r="Y230" s="307"/>
      <c r="Z230" s="307"/>
      <c r="AA230" s="307"/>
      <c r="AB230" s="307"/>
      <c r="AC230" s="307"/>
      <c r="AD230" s="307"/>
    </row>
    <row r="231" ht="20.25" customHeight="1">
      <c r="A231" s="307"/>
      <c r="B231" s="307"/>
      <c r="C231" s="307"/>
      <c r="D231" s="307"/>
      <c r="E231" s="307"/>
      <c r="F231" s="307"/>
      <c r="G231" s="307"/>
      <c r="H231" s="307"/>
      <c r="I231" s="307"/>
      <c r="J231" s="307"/>
      <c r="K231" s="307"/>
      <c r="L231" s="307"/>
      <c r="M231" s="307"/>
      <c r="N231" s="307"/>
      <c r="O231" s="307"/>
      <c r="P231" s="307"/>
      <c r="Q231" s="307"/>
      <c r="R231" s="307"/>
      <c r="S231" s="307"/>
      <c r="T231" s="307"/>
      <c r="U231" s="307"/>
      <c r="V231" s="307"/>
      <c r="W231" s="307"/>
      <c r="X231" s="307"/>
      <c r="Y231" s="307"/>
      <c r="Z231" s="307"/>
      <c r="AA231" s="307"/>
      <c r="AB231" s="307"/>
      <c r="AC231" s="307"/>
      <c r="AD231" s="307"/>
    </row>
    <row r="232" ht="20.25" customHeight="1">
      <c r="A232" s="307"/>
      <c r="B232" s="307"/>
      <c r="C232" s="307"/>
      <c r="D232" s="307"/>
      <c r="E232" s="307"/>
      <c r="F232" s="307"/>
      <c r="G232" s="307"/>
      <c r="H232" s="307"/>
      <c r="I232" s="307"/>
      <c r="J232" s="307"/>
      <c r="K232" s="307"/>
      <c r="L232" s="307"/>
      <c r="M232" s="307"/>
      <c r="N232" s="307"/>
      <c r="O232" s="307"/>
      <c r="P232" s="307"/>
      <c r="Q232" s="307"/>
      <c r="R232" s="307"/>
      <c r="S232" s="307"/>
      <c r="T232" s="307"/>
      <c r="U232" s="307"/>
      <c r="V232" s="307"/>
      <c r="W232" s="307"/>
      <c r="X232" s="307"/>
      <c r="Y232" s="307"/>
      <c r="Z232" s="307"/>
      <c r="AA232" s="307"/>
      <c r="AB232" s="307"/>
      <c r="AC232" s="307"/>
      <c r="AD232" s="307"/>
    </row>
    <row r="233" ht="20.25" customHeight="1">
      <c r="A233" s="307"/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307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</row>
    <row r="234" ht="20.25" customHeight="1">
      <c r="A234" s="307"/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307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</row>
    <row r="235" ht="20.25" customHeight="1">
      <c r="A235" s="307"/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307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</row>
    <row r="236" ht="20.25" customHeight="1">
      <c r="A236" s="307"/>
      <c r="B236" s="307"/>
      <c r="C236" s="307"/>
      <c r="D236" s="307"/>
      <c r="E236" s="307"/>
      <c r="F236" s="307"/>
      <c r="G236" s="307"/>
      <c r="H236" s="307"/>
      <c r="I236" s="307"/>
      <c r="J236" s="307"/>
      <c r="K236" s="307"/>
      <c r="L236" s="307"/>
      <c r="M236" s="307"/>
      <c r="N236" s="307"/>
      <c r="O236" s="307"/>
      <c r="P236" s="307"/>
      <c r="Q236" s="307"/>
      <c r="R236" s="307"/>
      <c r="S236" s="307"/>
      <c r="T236" s="307"/>
      <c r="U236" s="307"/>
      <c r="V236" s="307"/>
      <c r="W236" s="307"/>
      <c r="X236" s="307"/>
      <c r="Y236" s="307"/>
      <c r="Z236" s="307"/>
      <c r="AA236" s="307"/>
      <c r="AB236" s="307"/>
      <c r="AC236" s="307"/>
      <c r="AD236" s="307"/>
    </row>
    <row r="237" ht="20.25" customHeight="1">
      <c r="A237" s="307"/>
      <c r="B237" s="307"/>
      <c r="C237" s="307"/>
      <c r="D237" s="307"/>
      <c r="E237" s="307"/>
      <c r="F237" s="307"/>
      <c r="G237" s="307"/>
      <c r="H237" s="307"/>
      <c r="I237" s="307"/>
      <c r="J237" s="307"/>
      <c r="K237" s="307"/>
      <c r="L237" s="307"/>
      <c r="M237" s="307"/>
      <c r="N237" s="307"/>
      <c r="O237" s="307"/>
      <c r="P237" s="307"/>
      <c r="Q237" s="307"/>
      <c r="R237" s="307"/>
      <c r="S237" s="307"/>
      <c r="T237" s="307"/>
      <c r="U237" s="307"/>
      <c r="V237" s="307"/>
      <c r="W237" s="307"/>
      <c r="X237" s="307"/>
      <c r="Y237" s="307"/>
      <c r="Z237" s="307"/>
      <c r="AA237" s="307"/>
      <c r="AB237" s="307"/>
      <c r="AC237" s="307"/>
      <c r="AD237" s="307"/>
    </row>
    <row r="238" ht="20.25" customHeight="1">
      <c r="A238" s="307"/>
      <c r="B238" s="307"/>
      <c r="C238" s="307"/>
      <c r="D238" s="307"/>
      <c r="E238" s="307"/>
      <c r="F238" s="307"/>
      <c r="G238" s="307"/>
      <c r="H238" s="307"/>
      <c r="I238" s="307"/>
      <c r="J238" s="307"/>
      <c r="K238" s="307"/>
      <c r="L238" s="307"/>
      <c r="M238" s="307"/>
      <c r="N238" s="307"/>
      <c r="O238" s="307"/>
      <c r="P238" s="307"/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</row>
    <row r="239" ht="20.25" customHeight="1">
      <c r="A239" s="307"/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</row>
    <row r="240" ht="20.25" customHeight="1">
      <c r="A240" s="307"/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307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</row>
    <row r="241" ht="20.25" customHeight="1">
      <c r="A241" s="307"/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</row>
    <row r="242" ht="20.25" customHeight="1">
      <c r="A242" s="307"/>
      <c r="B242" s="307"/>
      <c r="C242" s="307"/>
      <c r="D242" s="307"/>
      <c r="E242" s="307"/>
      <c r="F242" s="307"/>
      <c r="G242" s="307"/>
      <c r="H242" s="307"/>
      <c r="I242" s="307"/>
      <c r="J242" s="307"/>
      <c r="K242" s="307"/>
      <c r="L242" s="307"/>
      <c r="M242" s="307"/>
      <c r="N242" s="307"/>
      <c r="O242" s="307"/>
      <c r="P242" s="307"/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</row>
    <row r="243" ht="20.25" customHeight="1">
      <c r="A243" s="307"/>
      <c r="B243" s="307"/>
      <c r="C243" s="307"/>
      <c r="D243" s="307"/>
      <c r="E243" s="307"/>
      <c r="F243" s="307"/>
      <c r="G243" s="307"/>
      <c r="H243" s="307"/>
      <c r="I243" s="307"/>
      <c r="J243" s="307"/>
      <c r="K243" s="307"/>
      <c r="L243" s="307"/>
      <c r="M243" s="307"/>
      <c r="N243" s="307"/>
      <c r="O243" s="307"/>
      <c r="P243" s="307"/>
      <c r="Q243" s="307"/>
      <c r="R243" s="307"/>
      <c r="S243" s="307"/>
      <c r="T243" s="307"/>
      <c r="U243" s="307"/>
      <c r="V243" s="307"/>
      <c r="W243" s="307"/>
      <c r="X243" s="307"/>
      <c r="Y243" s="307"/>
      <c r="Z243" s="307"/>
      <c r="AA243" s="307"/>
      <c r="AB243" s="307"/>
      <c r="AC243" s="307"/>
      <c r="AD243" s="307"/>
    </row>
    <row r="244" ht="20.25" customHeight="1">
      <c r="A244" s="307"/>
      <c r="B244" s="307"/>
      <c r="C244" s="307"/>
      <c r="D244" s="307"/>
      <c r="E244" s="307"/>
      <c r="F244" s="307"/>
      <c r="G244" s="307"/>
      <c r="H244" s="307"/>
      <c r="I244" s="307"/>
      <c r="J244" s="307"/>
      <c r="K244" s="307"/>
      <c r="L244" s="307"/>
      <c r="M244" s="307"/>
      <c r="N244" s="307"/>
      <c r="O244" s="307"/>
      <c r="P244" s="307"/>
      <c r="Q244" s="307"/>
      <c r="R244" s="307"/>
      <c r="S244" s="307"/>
      <c r="T244" s="307"/>
      <c r="U244" s="307"/>
      <c r="V244" s="307"/>
      <c r="W244" s="307"/>
      <c r="X244" s="307"/>
      <c r="Y244" s="307"/>
      <c r="Z244" s="307"/>
      <c r="AA244" s="307"/>
      <c r="AB244" s="307"/>
      <c r="AC244" s="307"/>
      <c r="AD244" s="307"/>
    </row>
    <row r="245" ht="20.25" customHeight="1">
      <c r="A245" s="307"/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307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</row>
    <row r="246" ht="20.25" customHeight="1">
      <c r="A246" s="307"/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307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1.14"/>
    <col customWidth="1" min="3" max="5" width="19.86"/>
    <col customWidth="1" min="6" max="6" width="98.43"/>
    <col customWidth="1" min="7" max="7" width="27.14"/>
    <col customWidth="1" min="8" max="11" width="19.86"/>
    <col customWidth="1" min="12" max="22" width="8.0"/>
  </cols>
  <sheetData>
    <row r="1" ht="18.0" customHeight="1">
      <c r="A1" s="480" t="s">
        <v>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ht="18.0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ht="18.0" customHeight="1">
      <c r="A3" s="480" t="s">
        <v>184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ht="18.0" customHeight="1">
      <c r="A4" s="7"/>
      <c r="B4" s="7"/>
      <c r="C4" s="7"/>
      <c r="D4" s="7"/>
      <c r="E4" s="7"/>
      <c r="F4" s="481"/>
      <c r="G4" s="481"/>
      <c r="H4" s="481"/>
      <c r="I4" s="481"/>
      <c r="J4" s="481"/>
      <c r="K4" s="481"/>
      <c r="L4" s="7"/>
      <c r="M4" s="7"/>
      <c r="N4" s="7"/>
      <c r="O4" s="7"/>
      <c r="P4" s="7"/>
      <c r="Q4" s="7"/>
      <c r="R4" s="7"/>
      <c r="S4" s="7"/>
      <c r="T4" s="7"/>
      <c r="U4" s="7"/>
      <c r="V4" s="7"/>
    </row>
    <row r="5" ht="20.25" customHeight="1">
      <c r="A5" s="480" t="s">
        <v>185</v>
      </c>
      <c r="B5" s="369" t="s">
        <v>233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</row>
    <row r="6" ht="18.75" customHeight="1">
      <c r="A6" s="7"/>
      <c r="B6" s="7"/>
      <c r="C6" s="7"/>
      <c r="D6" s="7"/>
      <c r="E6" s="7"/>
      <c r="F6" s="7"/>
      <c r="G6" s="482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</row>
    <row r="7" ht="33.0" customHeight="1">
      <c r="A7" s="483"/>
      <c r="B7" s="484"/>
      <c r="C7" s="485"/>
      <c r="D7" s="486"/>
      <c r="E7" s="487"/>
      <c r="F7" s="487"/>
      <c r="G7" s="487"/>
      <c r="H7" s="487"/>
      <c r="I7" s="487"/>
      <c r="J7" s="487"/>
      <c r="K7" s="487"/>
      <c r="L7" s="487"/>
      <c r="M7" s="487"/>
      <c r="N7" s="487"/>
      <c r="O7" s="487"/>
      <c r="P7" s="487"/>
      <c r="Q7" s="487"/>
      <c r="R7" s="487"/>
      <c r="S7" s="487"/>
      <c r="T7" s="487"/>
      <c r="U7" s="487"/>
      <c r="V7" s="487"/>
    </row>
    <row r="8" ht="33.0" customHeight="1">
      <c r="A8" s="488"/>
      <c r="B8" s="489"/>
      <c r="C8" s="485"/>
      <c r="D8" s="486"/>
      <c r="E8" s="487"/>
      <c r="F8" s="487"/>
      <c r="G8" s="487"/>
      <c r="H8" s="487"/>
      <c r="I8" s="487"/>
      <c r="J8" s="487"/>
      <c r="K8" s="487"/>
      <c r="L8" s="487"/>
      <c r="M8" s="487"/>
      <c r="N8" s="487"/>
      <c r="O8" s="487"/>
      <c r="P8" s="487"/>
      <c r="Q8" s="487"/>
      <c r="R8" s="487"/>
      <c r="S8" s="487"/>
      <c r="T8" s="487"/>
      <c r="U8" s="487"/>
      <c r="V8" s="487"/>
    </row>
    <row r="9" ht="33.0" customHeight="1">
      <c r="A9" s="483"/>
      <c r="B9" s="484"/>
      <c r="C9" s="485"/>
      <c r="D9" s="486"/>
      <c r="E9" s="490"/>
      <c r="F9" s="490"/>
      <c r="G9" s="490"/>
      <c r="H9" s="490"/>
      <c r="I9" s="490"/>
      <c r="J9" s="490"/>
      <c r="K9" s="490"/>
      <c r="L9" s="490"/>
      <c r="M9" s="490"/>
      <c r="N9" s="490"/>
      <c r="O9" s="490"/>
      <c r="P9" s="490"/>
      <c r="Q9" s="490"/>
      <c r="R9" s="490"/>
      <c r="S9" s="490"/>
      <c r="T9" s="490"/>
      <c r="U9" s="490"/>
      <c r="V9" s="490"/>
    </row>
    <row r="10" ht="33.0" customHeight="1">
      <c r="A10" s="483"/>
      <c r="B10" s="484"/>
      <c r="C10" s="485"/>
      <c r="D10" s="486"/>
      <c r="E10" s="487"/>
      <c r="F10" s="487"/>
      <c r="G10" s="487"/>
      <c r="H10" s="487"/>
      <c r="I10" s="487"/>
      <c r="J10" s="487"/>
      <c r="K10" s="487"/>
      <c r="L10" s="487"/>
      <c r="M10" s="487"/>
      <c r="N10" s="487"/>
      <c r="O10" s="487"/>
      <c r="P10" s="487"/>
      <c r="Q10" s="487"/>
      <c r="R10" s="487"/>
      <c r="S10" s="487"/>
      <c r="T10" s="487"/>
      <c r="U10" s="487"/>
      <c r="V10" s="487"/>
    </row>
    <row r="11" ht="33.0" customHeight="1">
      <c r="A11" s="483"/>
      <c r="B11" s="484"/>
      <c r="C11" s="485"/>
      <c r="D11" s="486"/>
      <c r="E11" s="487"/>
      <c r="F11" s="487"/>
      <c r="G11" s="487"/>
      <c r="H11" s="487"/>
      <c r="I11" s="487"/>
      <c r="J11" s="487"/>
      <c r="K11" s="487"/>
      <c r="L11" s="487"/>
      <c r="M11" s="487"/>
      <c r="N11" s="487"/>
      <c r="O11" s="487"/>
      <c r="P11" s="487"/>
      <c r="Q11" s="487"/>
      <c r="R11" s="487"/>
      <c r="S11" s="487"/>
      <c r="T11" s="487"/>
      <c r="U11" s="487"/>
      <c r="V11" s="487"/>
    </row>
    <row r="12" ht="33.0" customHeight="1">
      <c r="A12" s="483"/>
      <c r="B12" s="484"/>
      <c r="C12" s="485"/>
      <c r="D12" s="486"/>
      <c r="E12" s="487"/>
      <c r="F12" s="487"/>
      <c r="G12" s="487"/>
      <c r="H12" s="487"/>
      <c r="I12" s="487"/>
      <c r="J12" s="487"/>
      <c r="K12" s="487"/>
      <c r="L12" s="487"/>
      <c r="M12" s="487"/>
      <c r="N12" s="487"/>
      <c r="O12" s="487"/>
      <c r="P12" s="487"/>
      <c r="Q12" s="487"/>
      <c r="R12" s="487"/>
      <c r="S12" s="487"/>
      <c r="T12" s="487"/>
      <c r="U12" s="487"/>
      <c r="V12" s="487"/>
    </row>
    <row r="13" ht="33.0" customHeight="1">
      <c r="A13" s="483"/>
      <c r="B13" s="484"/>
      <c r="C13" s="485"/>
      <c r="D13" s="486"/>
      <c r="E13" s="487"/>
      <c r="F13" s="487"/>
      <c r="G13" s="487"/>
      <c r="H13" s="487"/>
      <c r="I13" s="487"/>
      <c r="J13" s="487"/>
      <c r="K13" s="487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</row>
    <row r="14" ht="33.0" customHeight="1">
      <c r="A14" s="483"/>
      <c r="B14" s="484"/>
      <c r="C14" s="483"/>
      <c r="D14" s="486"/>
      <c r="E14" s="487"/>
      <c r="F14" s="487"/>
      <c r="G14" s="487"/>
      <c r="H14" s="487"/>
      <c r="I14" s="487"/>
      <c r="J14" s="487"/>
      <c r="K14" s="487"/>
      <c r="L14" s="487"/>
      <c r="M14" s="487"/>
      <c r="N14" s="487"/>
      <c r="O14" s="487"/>
      <c r="P14" s="487"/>
      <c r="Q14" s="487"/>
      <c r="R14" s="487"/>
      <c r="S14" s="487"/>
      <c r="T14" s="487"/>
      <c r="U14" s="487"/>
      <c r="V14" s="487"/>
    </row>
    <row r="15" ht="33.0" customHeight="1">
      <c r="A15" s="483"/>
      <c r="B15" s="484"/>
      <c r="C15" s="485"/>
      <c r="D15" s="486"/>
      <c r="E15" s="487"/>
      <c r="F15" s="487"/>
      <c r="G15" s="487"/>
      <c r="H15" s="487"/>
      <c r="I15" s="487"/>
      <c r="J15" s="487"/>
      <c r="K15" s="487"/>
      <c r="L15" s="487"/>
      <c r="M15" s="487"/>
      <c r="N15" s="487"/>
      <c r="O15" s="487"/>
      <c r="P15" s="487"/>
      <c r="Q15" s="487"/>
      <c r="R15" s="487"/>
      <c r="S15" s="487"/>
      <c r="T15" s="487"/>
      <c r="U15" s="487"/>
      <c r="V15" s="487"/>
    </row>
    <row r="16" ht="33.0" customHeight="1">
      <c r="A16" s="483"/>
      <c r="B16" s="484"/>
      <c r="C16" s="485"/>
      <c r="D16" s="486"/>
      <c r="E16" s="490"/>
      <c r="F16" s="490"/>
      <c r="G16" s="490"/>
      <c r="H16" s="490"/>
      <c r="I16" s="490"/>
      <c r="J16" s="490"/>
      <c r="K16" s="490"/>
      <c r="L16" s="490"/>
      <c r="M16" s="490"/>
      <c r="N16" s="490"/>
      <c r="O16" s="490"/>
      <c r="P16" s="490"/>
      <c r="Q16" s="490"/>
      <c r="R16" s="490"/>
      <c r="S16" s="490"/>
      <c r="T16" s="490"/>
      <c r="U16" s="490"/>
      <c r="V16" s="490"/>
    </row>
    <row r="17" ht="33.0" customHeight="1">
      <c r="A17" s="483"/>
      <c r="B17" s="484"/>
      <c r="C17" s="485"/>
      <c r="D17" s="486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487"/>
      <c r="R17" s="487"/>
      <c r="S17" s="487"/>
      <c r="T17" s="487"/>
      <c r="U17" s="487"/>
      <c r="V17" s="487"/>
    </row>
    <row r="18" ht="33.0" customHeight="1">
      <c r="A18" s="483"/>
      <c r="B18" s="484"/>
      <c r="C18" s="485"/>
      <c r="D18" s="486"/>
      <c r="E18" s="490"/>
      <c r="F18" s="490"/>
      <c r="G18" s="490"/>
      <c r="H18" s="490"/>
      <c r="I18" s="490"/>
      <c r="J18" s="490"/>
      <c r="K18" s="490"/>
      <c r="L18" s="490"/>
      <c r="M18" s="490"/>
      <c r="N18" s="490"/>
      <c r="O18" s="490"/>
      <c r="P18" s="490"/>
      <c r="Q18" s="490"/>
      <c r="R18" s="490"/>
      <c r="S18" s="490"/>
      <c r="T18" s="490"/>
      <c r="U18" s="490"/>
      <c r="V18" s="490"/>
    </row>
    <row r="19" ht="33.0" customHeight="1">
      <c r="A19" s="483"/>
      <c r="B19" s="484"/>
      <c r="C19" s="485"/>
      <c r="D19" s="486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  <c r="Q19" s="487"/>
      <c r="R19" s="487"/>
      <c r="S19" s="487"/>
      <c r="T19" s="487"/>
      <c r="U19" s="487"/>
      <c r="V19" s="487"/>
    </row>
    <row r="20" ht="33.0" customHeight="1">
      <c r="A20" s="483"/>
      <c r="B20" s="484"/>
      <c r="C20" s="485"/>
      <c r="D20" s="486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  <c r="Q20" s="487"/>
      <c r="R20" s="487"/>
      <c r="S20" s="487"/>
      <c r="T20" s="487"/>
      <c r="U20" s="487"/>
      <c r="V20" s="487"/>
    </row>
    <row r="21" ht="33.0" customHeight="1">
      <c r="A21" s="483"/>
      <c r="B21" s="484"/>
      <c r="C21" s="485"/>
      <c r="D21" s="486"/>
      <c r="E21" s="487"/>
      <c r="F21" s="487"/>
      <c r="G21" s="487"/>
      <c r="H21" s="487"/>
      <c r="I21" s="487"/>
      <c r="J21" s="487"/>
      <c r="K21" s="487"/>
      <c r="L21" s="487"/>
      <c r="M21" s="487"/>
      <c r="N21" s="487"/>
      <c r="O21" s="487"/>
      <c r="P21" s="487"/>
      <c r="Q21" s="487"/>
      <c r="R21" s="487"/>
      <c r="S21" s="487"/>
      <c r="T21" s="487"/>
      <c r="U21" s="487"/>
      <c r="V21" s="487"/>
    </row>
    <row r="22" ht="33.0" customHeight="1">
      <c r="A22" s="483"/>
      <c r="B22" s="484"/>
      <c r="C22" s="485"/>
      <c r="D22" s="486"/>
      <c r="E22" s="487"/>
      <c r="F22" s="487"/>
      <c r="G22" s="487"/>
      <c r="H22" s="487"/>
      <c r="I22" s="487"/>
      <c r="J22" s="487"/>
      <c r="K22" s="487"/>
      <c r="L22" s="487"/>
      <c r="M22" s="487"/>
      <c r="N22" s="487"/>
      <c r="O22" s="487"/>
      <c r="P22" s="487"/>
      <c r="Q22" s="487"/>
      <c r="R22" s="487"/>
      <c r="S22" s="487"/>
      <c r="T22" s="487"/>
      <c r="U22" s="487"/>
      <c r="V22" s="487"/>
    </row>
    <row r="23" ht="33.0" customHeight="1">
      <c r="A23" s="483"/>
      <c r="B23" s="484"/>
      <c r="C23" s="485"/>
      <c r="D23" s="486"/>
      <c r="E23" s="487"/>
      <c r="F23" s="487"/>
      <c r="G23" s="487"/>
      <c r="H23" s="487"/>
      <c r="I23" s="487"/>
      <c r="J23" s="487"/>
      <c r="K23" s="487"/>
      <c r="L23" s="487"/>
      <c r="M23" s="487"/>
      <c r="N23" s="487"/>
      <c r="O23" s="487"/>
      <c r="P23" s="487"/>
      <c r="Q23" s="487"/>
      <c r="R23" s="487"/>
      <c r="S23" s="487"/>
      <c r="T23" s="487"/>
      <c r="U23" s="487"/>
      <c r="V23" s="487"/>
    </row>
    <row r="24" ht="33.0" customHeight="1">
      <c r="A24" s="483"/>
      <c r="B24" s="484"/>
      <c r="C24" s="485"/>
      <c r="D24" s="491"/>
      <c r="E24" s="487"/>
      <c r="F24" s="487"/>
      <c r="G24" s="487"/>
      <c r="H24" s="487"/>
      <c r="I24" s="487"/>
      <c r="J24" s="487"/>
      <c r="K24" s="487"/>
      <c r="L24" s="487"/>
      <c r="M24" s="487"/>
      <c r="N24" s="487"/>
      <c r="O24" s="487"/>
      <c r="P24" s="487"/>
      <c r="Q24" s="487"/>
      <c r="R24" s="487"/>
      <c r="S24" s="487"/>
      <c r="T24" s="487"/>
      <c r="U24" s="487"/>
      <c r="V24" s="487"/>
    </row>
    <row r="25" ht="33.0" customHeight="1">
      <c r="A25" s="483"/>
      <c r="B25" s="484"/>
      <c r="C25" s="485"/>
      <c r="D25" s="491"/>
      <c r="E25" s="487"/>
      <c r="F25" s="487"/>
      <c r="G25" s="487"/>
      <c r="H25" s="487"/>
      <c r="I25" s="487"/>
      <c r="J25" s="487"/>
      <c r="K25" s="487"/>
      <c r="L25" s="487"/>
      <c r="M25" s="487"/>
      <c r="N25" s="487"/>
      <c r="O25" s="487"/>
      <c r="P25" s="487"/>
      <c r="Q25" s="487"/>
      <c r="R25" s="487"/>
      <c r="S25" s="487"/>
      <c r="T25" s="487"/>
      <c r="U25" s="487"/>
      <c r="V25" s="487"/>
    </row>
    <row r="26" ht="33.0" customHeight="1">
      <c r="A26" s="483"/>
      <c r="B26" s="484"/>
      <c r="C26" s="485"/>
      <c r="D26" s="491"/>
      <c r="E26" s="487"/>
      <c r="F26" s="487"/>
      <c r="G26" s="487"/>
      <c r="H26" s="487"/>
      <c r="I26" s="487"/>
      <c r="J26" s="487"/>
      <c r="K26" s="487"/>
      <c r="L26" s="487"/>
      <c r="M26" s="487"/>
      <c r="N26" s="487"/>
      <c r="O26" s="487"/>
      <c r="P26" s="487"/>
      <c r="Q26" s="487"/>
      <c r="R26" s="487"/>
      <c r="S26" s="487"/>
      <c r="T26" s="487"/>
      <c r="U26" s="487"/>
      <c r="V26" s="487"/>
    </row>
    <row r="27" ht="33.0" customHeight="1">
      <c r="A27" s="483"/>
      <c r="B27" s="484"/>
      <c r="C27" s="485"/>
      <c r="D27" s="491"/>
      <c r="E27" s="487"/>
      <c r="F27" s="487"/>
      <c r="G27" s="487"/>
      <c r="H27" s="487"/>
      <c r="I27" s="487"/>
      <c r="J27" s="487"/>
      <c r="K27" s="487"/>
      <c r="L27" s="487"/>
      <c r="M27" s="487"/>
      <c r="N27" s="487"/>
      <c r="O27" s="487"/>
      <c r="P27" s="487"/>
      <c r="Q27" s="487"/>
      <c r="R27" s="487"/>
      <c r="S27" s="487"/>
      <c r="T27" s="487"/>
      <c r="U27" s="487"/>
      <c r="V27" s="487"/>
    </row>
    <row r="28" ht="33.0" customHeight="1">
      <c r="A28" s="483"/>
      <c r="B28" s="484"/>
      <c r="C28" s="485"/>
      <c r="D28" s="491"/>
      <c r="E28" s="487"/>
      <c r="F28" s="487"/>
      <c r="G28" s="487"/>
      <c r="H28" s="487"/>
      <c r="I28" s="487"/>
      <c r="J28" s="487"/>
      <c r="K28" s="487"/>
      <c r="L28" s="487"/>
      <c r="M28" s="487"/>
      <c r="N28" s="487"/>
      <c r="O28" s="487"/>
      <c r="P28" s="487"/>
      <c r="Q28" s="487"/>
      <c r="R28" s="487"/>
      <c r="S28" s="487"/>
      <c r="T28" s="487"/>
      <c r="U28" s="487"/>
      <c r="V28" s="487"/>
    </row>
    <row r="29" ht="33.0" customHeight="1">
      <c r="A29" s="483"/>
      <c r="B29" s="484"/>
      <c r="C29" s="485"/>
      <c r="D29" s="486"/>
      <c r="E29" s="487"/>
      <c r="F29" s="487"/>
      <c r="G29" s="487"/>
      <c r="H29" s="487"/>
      <c r="I29" s="487"/>
      <c r="J29" s="487"/>
      <c r="K29" s="487"/>
      <c r="L29" s="487"/>
      <c r="M29" s="487"/>
      <c r="N29" s="487"/>
      <c r="O29" s="487"/>
      <c r="P29" s="487"/>
      <c r="Q29" s="487"/>
      <c r="R29" s="487"/>
      <c r="S29" s="487"/>
      <c r="T29" s="487"/>
      <c r="U29" s="487"/>
      <c r="V29" s="487"/>
    </row>
    <row r="30" ht="33.0" customHeight="1">
      <c r="A30" s="492"/>
      <c r="B30" s="369"/>
      <c r="C30" s="486"/>
      <c r="D30" s="486"/>
      <c r="E30" s="487"/>
      <c r="F30" s="487"/>
      <c r="G30" s="487"/>
      <c r="H30" s="487"/>
      <c r="I30" s="487"/>
      <c r="J30" s="487"/>
      <c r="K30" s="487"/>
      <c r="L30" s="487"/>
      <c r="M30" s="487"/>
      <c r="N30" s="487"/>
      <c r="O30" s="487"/>
      <c r="P30" s="487"/>
      <c r="Q30" s="487"/>
      <c r="R30" s="487"/>
      <c r="S30" s="487"/>
      <c r="T30" s="487"/>
      <c r="U30" s="487"/>
      <c r="V30" s="487"/>
    </row>
    <row r="31" ht="23.25" customHeight="1">
      <c r="A31" s="487"/>
      <c r="B31" s="487"/>
      <c r="C31" s="487"/>
      <c r="D31" s="487"/>
      <c r="E31" s="487"/>
      <c r="F31" s="487"/>
      <c r="G31" s="487"/>
      <c r="H31" s="487"/>
      <c r="I31" s="487"/>
      <c r="J31" s="487"/>
      <c r="K31" s="487"/>
      <c r="L31" s="487"/>
      <c r="M31" s="487"/>
      <c r="N31" s="487"/>
      <c r="O31" s="487"/>
      <c r="P31" s="487"/>
      <c r="Q31" s="487"/>
      <c r="R31" s="487"/>
      <c r="S31" s="487"/>
      <c r="T31" s="487"/>
      <c r="U31" s="487"/>
      <c r="V31" s="487"/>
    </row>
    <row r="32" ht="23.25" customHeight="1">
      <c r="A32" s="487"/>
      <c r="B32" s="487"/>
      <c r="C32" s="487"/>
      <c r="D32" s="487"/>
      <c r="E32" s="487"/>
      <c r="F32" s="487"/>
      <c r="G32" s="487"/>
      <c r="H32" s="487"/>
      <c r="I32" s="487"/>
      <c r="J32" s="487"/>
      <c r="K32" s="487"/>
      <c r="L32" s="487"/>
      <c r="M32" s="487"/>
      <c r="N32" s="487"/>
      <c r="O32" s="487"/>
      <c r="P32" s="487"/>
      <c r="Q32" s="487"/>
      <c r="R32" s="487"/>
      <c r="S32" s="487"/>
      <c r="T32" s="487"/>
      <c r="U32" s="487"/>
      <c r="V32" s="487"/>
    </row>
    <row r="33" ht="23.25" customHeight="1">
      <c r="A33" s="487"/>
      <c r="B33" s="487"/>
      <c r="C33" s="487"/>
      <c r="D33" s="487"/>
      <c r="E33" s="487"/>
      <c r="F33" s="487"/>
      <c r="G33" s="487"/>
      <c r="H33" s="487"/>
      <c r="I33" s="487"/>
      <c r="J33" s="487"/>
      <c r="K33" s="487"/>
      <c r="L33" s="487"/>
      <c r="M33" s="487"/>
      <c r="N33" s="487"/>
      <c r="O33" s="487"/>
      <c r="P33" s="487"/>
      <c r="Q33" s="487"/>
      <c r="R33" s="487"/>
      <c r="S33" s="487"/>
      <c r="T33" s="487"/>
      <c r="U33" s="487"/>
      <c r="V33" s="487"/>
    </row>
    <row r="34" ht="23.25" customHeight="1">
      <c r="A34" s="487"/>
      <c r="B34" s="487"/>
      <c r="C34" s="487"/>
      <c r="D34" s="487"/>
      <c r="E34" s="487"/>
      <c r="F34" s="487"/>
      <c r="G34" s="487"/>
      <c r="H34" s="487"/>
      <c r="I34" s="487"/>
      <c r="J34" s="487"/>
      <c r="K34" s="487"/>
      <c r="L34" s="487"/>
      <c r="M34" s="487"/>
      <c r="N34" s="487"/>
      <c r="O34" s="487"/>
      <c r="P34" s="487"/>
      <c r="Q34" s="487"/>
      <c r="R34" s="487"/>
      <c r="S34" s="487"/>
      <c r="T34" s="487"/>
      <c r="U34" s="487"/>
      <c r="V34" s="487"/>
    </row>
    <row r="35" ht="23.25" customHeight="1">
      <c r="A35" s="487"/>
      <c r="B35" s="487"/>
      <c r="C35" s="487"/>
      <c r="D35" s="487"/>
      <c r="E35" s="487"/>
      <c r="F35" s="487"/>
      <c r="G35" s="487"/>
      <c r="H35" s="487"/>
      <c r="I35" s="487"/>
      <c r="J35" s="487"/>
      <c r="K35" s="487"/>
      <c r="L35" s="487"/>
      <c r="M35" s="487"/>
      <c r="N35" s="487"/>
      <c r="O35" s="487"/>
      <c r="P35" s="487"/>
      <c r="Q35" s="487"/>
      <c r="R35" s="487"/>
      <c r="S35" s="487"/>
      <c r="T35" s="487"/>
      <c r="U35" s="487"/>
      <c r="V35" s="487"/>
    </row>
    <row r="36" ht="23.25" customHeight="1">
      <c r="A36" s="487"/>
      <c r="B36" s="487"/>
      <c r="C36" s="487"/>
      <c r="D36" s="487"/>
      <c r="E36" s="487"/>
      <c r="F36" s="487"/>
      <c r="G36" s="487"/>
      <c r="H36" s="487"/>
      <c r="I36" s="487"/>
      <c r="J36" s="487"/>
      <c r="K36" s="487"/>
      <c r="L36" s="487"/>
      <c r="M36" s="487"/>
      <c r="N36" s="487"/>
      <c r="O36" s="487"/>
      <c r="P36" s="487"/>
      <c r="Q36" s="487"/>
      <c r="R36" s="487"/>
      <c r="S36" s="487"/>
      <c r="T36" s="487"/>
      <c r="U36" s="487"/>
      <c r="V36" s="487"/>
    </row>
    <row r="37" ht="23.25" customHeight="1">
      <c r="A37" s="487"/>
      <c r="B37" s="487"/>
      <c r="C37" s="487"/>
      <c r="D37" s="487"/>
      <c r="E37" s="487"/>
      <c r="F37" s="487"/>
      <c r="G37" s="487"/>
      <c r="H37" s="487"/>
      <c r="I37" s="487"/>
      <c r="J37" s="487"/>
      <c r="K37" s="487"/>
      <c r="L37" s="487"/>
      <c r="M37" s="487"/>
      <c r="N37" s="487"/>
      <c r="O37" s="487"/>
      <c r="P37" s="487"/>
      <c r="Q37" s="487"/>
      <c r="R37" s="487"/>
      <c r="S37" s="487"/>
      <c r="T37" s="487"/>
      <c r="U37" s="487"/>
      <c r="V37" s="487"/>
    </row>
    <row r="38" ht="23.25" customHeight="1">
      <c r="A38" s="487"/>
      <c r="B38" s="487"/>
      <c r="C38" s="487"/>
      <c r="D38" s="487"/>
      <c r="E38" s="487"/>
      <c r="F38" s="487"/>
      <c r="G38" s="487"/>
      <c r="H38" s="487"/>
      <c r="I38" s="487"/>
      <c r="J38" s="487"/>
      <c r="K38" s="487"/>
      <c r="L38" s="487"/>
      <c r="M38" s="487"/>
      <c r="N38" s="487"/>
      <c r="O38" s="487"/>
      <c r="P38" s="487"/>
      <c r="Q38" s="487"/>
      <c r="R38" s="487"/>
      <c r="S38" s="487"/>
      <c r="T38" s="487"/>
      <c r="U38" s="487"/>
      <c r="V38" s="487"/>
    </row>
    <row r="39" ht="23.25" customHeight="1">
      <c r="A39" s="487"/>
      <c r="B39" s="487"/>
      <c r="C39" s="487"/>
      <c r="D39" s="487"/>
      <c r="E39" s="487"/>
      <c r="F39" s="487"/>
      <c r="G39" s="487"/>
      <c r="H39" s="487"/>
      <c r="I39" s="487"/>
      <c r="J39" s="487"/>
      <c r="K39" s="487"/>
      <c r="L39" s="487"/>
      <c r="M39" s="487"/>
      <c r="N39" s="487"/>
      <c r="O39" s="487"/>
      <c r="P39" s="487"/>
      <c r="Q39" s="487"/>
      <c r="R39" s="487"/>
      <c r="S39" s="487"/>
      <c r="T39" s="487"/>
      <c r="U39" s="487"/>
      <c r="V39" s="487"/>
    </row>
    <row r="40" ht="23.25" customHeight="1">
      <c r="A40" s="487"/>
      <c r="B40" s="487"/>
      <c r="C40" s="487"/>
      <c r="D40" s="487"/>
      <c r="E40" s="487"/>
      <c r="F40" s="487"/>
      <c r="G40" s="487"/>
      <c r="H40" s="487"/>
      <c r="I40" s="487"/>
      <c r="J40" s="487"/>
      <c r="K40" s="487"/>
      <c r="L40" s="487"/>
      <c r="M40" s="487"/>
      <c r="N40" s="487"/>
      <c r="O40" s="487"/>
      <c r="P40" s="487"/>
      <c r="Q40" s="487"/>
      <c r="R40" s="487"/>
      <c r="S40" s="487"/>
      <c r="T40" s="487"/>
      <c r="U40" s="487"/>
      <c r="V40" s="487"/>
    </row>
    <row r="41" ht="23.25" customHeight="1">
      <c r="A41" s="487"/>
      <c r="B41" s="487"/>
      <c r="C41" s="487"/>
      <c r="D41" s="487"/>
      <c r="E41" s="487"/>
      <c r="F41" s="487"/>
      <c r="G41" s="487"/>
      <c r="H41" s="487"/>
      <c r="I41" s="487"/>
      <c r="J41" s="487"/>
      <c r="K41" s="487"/>
      <c r="L41" s="487"/>
      <c r="M41" s="487"/>
      <c r="N41" s="487"/>
      <c r="O41" s="487"/>
      <c r="P41" s="487"/>
      <c r="Q41" s="487"/>
      <c r="R41" s="487"/>
      <c r="S41" s="487"/>
      <c r="T41" s="487"/>
      <c r="U41" s="487"/>
      <c r="V41" s="487"/>
    </row>
    <row r="42" ht="23.25" customHeight="1">
      <c r="A42" s="487"/>
      <c r="B42" s="487"/>
      <c r="C42" s="487"/>
      <c r="D42" s="487"/>
      <c r="E42" s="487"/>
      <c r="F42" s="487"/>
      <c r="G42" s="487"/>
      <c r="H42" s="487"/>
      <c r="I42" s="487"/>
      <c r="J42" s="487"/>
      <c r="K42" s="487"/>
      <c r="L42" s="487"/>
      <c r="M42" s="487"/>
      <c r="N42" s="487"/>
      <c r="O42" s="487"/>
      <c r="P42" s="487"/>
      <c r="Q42" s="487"/>
      <c r="R42" s="487"/>
      <c r="S42" s="487"/>
      <c r="T42" s="487"/>
      <c r="U42" s="487"/>
      <c r="V42" s="487"/>
    </row>
    <row r="43" ht="23.25" customHeight="1">
      <c r="A43" s="487"/>
      <c r="B43" s="487"/>
      <c r="C43" s="487"/>
      <c r="D43" s="487"/>
      <c r="E43" s="487"/>
      <c r="F43" s="487"/>
      <c r="G43" s="487"/>
      <c r="H43" s="487"/>
      <c r="I43" s="487"/>
      <c r="J43" s="487"/>
      <c r="K43" s="487"/>
      <c r="L43" s="487"/>
      <c r="M43" s="487"/>
      <c r="N43" s="487"/>
      <c r="O43" s="487"/>
      <c r="P43" s="487"/>
      <c r="Q43" s="487"/>
      <c r="R43" s="487"/>
      <c r="S43" s="487"/>
      <c r="T43" s="487"/>
      <c r="U43" s="487"/>
      <c r="V43" s="487"/>
    </row>
    <row r="44" ht="23.25" customHeight="1">
      <c r="A44" s="487"/>
      <c r="B44" s="487"/>
      <c r="C44" s="487"/>
      <c r="D44" s="487"/>
      <c r="E44" s="487"/>
      <c r="F44" s="487"/>
      <c r="G44" s="487"/>
      <c r="H44" s="487"/>
      <c r="I44" s="487"/>
      <c r="J44" s="487"/>
      <c r="K44" s="487"/>
      <c r="L44" s="487"/>
      <c r="M44" s="487"/>
      <c r="N44" s="487"/>
      <c r="O44" s="487"/>
      <c r="P44" s="487"/>
      <c r="Q44" s="487"/>
      <c r="R44" s="487"/>
      <c r="S44" s="487"/>
      <c r="T44" s="487"/>
      <c r="U44" s="487"/>
      <c r="V44" s="487"/>
    </row>
    <row r="45" ht="23.25" customHeight="1">
      <c r="A45" s="487"/>
      <c r="B45" s="487"/>
      <c r="C45" s="487"/>
      <c r="D45" s="487"/>
      <c r="E45" s="487"/>
      <c r="F45" s="487"/>
      <c r="G45" s="487"/>
      <c r="H45" s="487"/>
      <c r="I45" s="487"/>
      <c r="J45" s="487"/>
      <c r="K45" s="487"/>
      <c r="L45" s="487"/>
      <c r="M45" s="487"/>
      <c r="N45" s="487"/>
      <c r="O45" s="487"/>
      <c r="P45" s="487"/>
      <c r="Q45" s="487"/>
      <c r="R45" s="487"/>
      <c r="S45" s="487"/>
      <c r="T45" s="487"/>
      <c r="U45" s="487"/>
      <c r="V45" s="487"/>
    </row>
    <row r="46" ht="23.25" customHeight="1">
      <c r="A46" s="487"/>
      <c r="B46" s="487"/>
      <c r="C46" s="487"/>
      <c r="D46" s="487"/>
      <c r="E46" s="487"/>
      <c r="F46" s="487"/>
      <c r="G46" s="487"/>
      <c r="H46" s="487"/>
      <c r="I46" s="487"/>
      <c r="J46" s="487"/>
      <c r="K46" s="487"/>
      <c r="L46" s="487"/>
      <c r="M46" s="487"/>
      <c r="N46" s="487"/>
      <c r="O46" s="487"/>
      <c r="P46" s="487"/>
      <c r="Q46" s="487"/>
      <c r="R46" s="487"/>
      <c r="S46" s="487"/>
      <c r="T46" s="487"/>
      <c r="U46" s="487"/>
      <c r="V46" s="487"/>
    </row>
    <row r="47" ht="23.25" customHeight="1">
      <c r="A47" s="487"/>
      <c r="B47" s="487"/>
      <c r="C47" s="487"/>
      <c r="D47" s="487"/>
      <c r="E47" s="487"/>
      <c r="F47" s="487"/>
      <c r="G47" s="487"/>
      <c r="H47" s="487"/>
      <c r="I47" s="487"/>
      <c r="J47" s="487"/>
      <c r="K47" s="487"/>
      <c r="L47" s="487"/>
      <c r="M47" s="487"/>
      <c r="N47" s="487"/>
      <c r="O47" s="487"/>
      <c r="P47" s="487"/>
      <c r="Q47" s="487"/>
      <c r="R47" s="487"/>
      <c r="S47" s="487"/>
      <c r="T47" s="487"/>
      <c r="U47" s="487"/>
      <c r="V47" s="487"/>
    </row>
    <row r="48" ht="23.25" customHeight="1">
      <c r="A48" s="487"/>
      <c r="B48" s="487"/>
      <c r="C48" s="487"/>
      <c r="D48" s="487"/>
      <c r="E48" s="487"/>
      <c r="F48" s="487"/>
      <c r="G48" s="487"/>
      <c r="H48" s="487"/>
      <c r="I48" s="487"/>
      <c r="J48" s="487"/>
      <c r="K48" s="487"/>
      <c r="L48" s="487"/>
      <c r="M48" s="487"/>
      <c r="N48" s="487"/>
      <c r="O48" s="487"/>
      <c r="P48" s="487"/>
      <c r="Q48" s="487"/>
      <c r="R48" s="487"/>
      <c r="S48" s="487"/>
      <c r="T48" s="487"/>
      <c r="U48" s="487"/>
      <c r="V48" s="487"/>
    </row>
    <row r="49" ht="23.25" customHeight="1">
      <c r="A49" s="487"/>
      <c r="B49" s="487"/>
      <c r="C49" s="487"/>
      <c r="D49" s="487"/>
      <c r="E49" s="487"/>
      <c r="F49" s="487"/>
      <c r="G49" s="487"/>
      <c r="H49" s="487"/>
      <c r="I49" s="487"/>
      <c r="J49" s="487"/>
      <c r="K49" s="487"/>
      <c r="L49" s="487"/>
      <c r="M49" s="487"/>
      <c r="N49" s="487"/>
      <c r="O49" s="487"/>
      <c r="P49" s="487"/>
      <c r="Q49" s="487"/>
      <c r="R49" s="487"/>
      <c r="S49" s="487"/>
      <c r="T49" s="487"/>
      <c r="U49" s="487"/>
      <c r="V49" s="487"/>
    </row>
    <row r="50" ht="23.25" customHeight="1">
      <c r="A50" s="487"/>
      <c r="B50" s="487"/>
      <c r="C50" s="487"/>
      <c r="D50" s="487"/>
      <c r="E50" s="487"/>
      <c r="F50" s="487"/>
      <c r="G50" s="487"/>
      <c r="H50" s="487"/>
      <c r="I50" s="487"/>
      <c r="J50" s="487"/>
      <c r="K50" s="487"/>
      <c r="L50" s="487"/>
      <c r="M50" s="487"/>
      <c r="N50" s="487"/>
      <c r="O50" s="487"/>
      <c r="P50" s="487"/>
      <c r="Q50" s="487"/>
      <c r="R50" s="487"/>
      <c r="S50" s="487"/>
      <c r="T50" s="487"/>
      <c r="U50" s="487"/>
      <c r="V50" s="487"/>
    </row>
    <row r="51" ht="23.25" customHeight="1">
      <c r="A51" s="487"/>
      <c r="B51" s="487"/>
      <c r="C51" s="487"/>
      <c r="D51" s="487"/>
      <c r="E51" s="487"/>
      <c r="F51" s="487"/>
      <c r="G51" s="487"/>
      <c r="H51" s="487"/>
      <c r="I51" s="487"/>
      <c r="J51" s="487"/>
      <c r="K51" s="487"/>
      <c r="L51" s="487"/>
      <c r="M51" s="487"/>
      <c r="N51" s="487"/>
      <c r="O51" s="487"/>
      <c r="P51" s="487"/>
      <c r="Q51" s="487"/>
      <c r="R51" s="487"/>
      <c r="S51" s="487"/>
      <c r="T51" s="487"/>
      <c r="U51" s="487"/>
      <c r="V51" s="487"/>
    </row>
    <row r="52" ht="23.25" customHeight="1">
      <c r="A52" s="487"/>
      <c r="B52" s="487"/>
      <c r="C52" s="487"/>
      <c r="D52" s="487"/>
      <c r="E52" s="487"/>
      <c r="F52" s="487"/>
      <c r="G52" s="487"/>
      <c r="H52" s="487"/>
      <c r="I52" s="487"/>
      <c r="J52" s="487"/>
      <c r="K52" s="487"/>
      <c r="L52" s="487"/>
      <c r="M52" s="487"/>
      <c r="N52" s="487"/>
      <c r="O52" s="487"/>
      <c r="P52" s="487"/>
      <c r="Q52" s="487"/>
      <c r="R52" s="487"/>
      <c r="S52" s="487"/>
      <c r="T52" s="487"/>
      <c r="U52" s="487"/>
      <c r="V52" s="487"/>
    </row>
    <row r="53" ht="23.25" customHeight="1">
      <c r="A53" s="487"/>
      <c r="B53" s="487"/>
      <c r="C53" s="487"/>
      <c r="D53" s="487"/>
      <c r="E53" s="487"/>
      <c r="F53" s="487"/>
      <c r="G53" s="487"/>
      <c r="H53" s="487"/>
      <c r="I53" s="487"/>
      <c r="J53" s="487"/>
      <c r="K53" s="487"/>
      <c r="L53" s="487"/>
      <c r="M53" s="487"/>
      <c r="N53" s="487"/>
      <c r="O53" s="487"/>
      <c r="P53" s="487"/>
      <c r="Q53" s="487"/>
      <c r="R53" s="487"/>
      <c r="S53" s="487"/>
      <c r="T53" s="487"/>
      <c r="U53" s="487"/>
      <c r="V53" s="487"/>
    </row>
    <row r="54" ht="23.25" customHeight="1">
      <c r="A54" s="487"/>
      <c r="B54" s="487"/>
      <c r="C54" s="487"/>
      <c r="D54" s="487"/>
      <c r="E54" s="487"/>
      <c r="F54" s="487"/>
      <c r="G54" s="487"/>
      <c r="H54" s="487"/>
      <c r="I54" s="487"/>
      <c r="J54" s="487"/>
      <c r="K54" s="487"/>
      <c r="L54" s="487"/>
      <c r="M54" s="487"/>
      <c r="N54" s="487"/>
      <c r="O54" s="487"/>
      <c r="P54" s="487"/>
      <c r="Q54" s="487"/>
      <c r="R54" s="487"/>
      <c r="S54" s="487"/>
      <c r="T54" s="487"/>
      <c r="U54" s="487"/>
      <c r="V54" s="487"/>
    </row>
    <row r="55" ht="23.25" customHeight="1">
      <c r="A55" s="487"/>
      <c r="B55" s="487"/>
      <c r="C55" s="487"/>
      <c r="D55" s="487"/>
      <c r="E55" s="487"/>
      <c r="F55" s="487"/>
      <c r="G55" s="487"/>
      <c r="H55" s="487"/>
      <c r="I55" s="487"/>
      <c r="J55" s="487"/>
      <c r="K55" s="487"/>
      <c r="L55" s="487"/>
      <c r="M55" s="487"/>
      <c r="N55" s="487"/>
      <c r="O55" s="487"/>
      <c r="P55" s="487"/>
      <c r="Q55" s="487"/>
      <c r="R55" s="487"/>
      <c r="S55" s="487"/>
      <c r="T55" s="487"/>
      <c r="U55" s="487"/>
      <c r="V55" s="487"/>
    </row>
    <row r="56" ht="23.25" customHeight="1">
      <c r="A56" s="487"/>
      <c r="B56" s="487"/>
      <c r="C56" s="487"/>
      <c r="D56" s="487"/>
      <c r="E56" s="487"/>
      <c r="F56" s="487"/>
      <c r="G56" s="487"/>
      <c r="H56" s="487"/>
      <c r="I56" s="487"/>
      <c r="J56" s="487"/>
      <c r="K56" s="487"/>
      <c r="L56" s="487"/>
      <c r="M56" s="487"/>
      <c r="N56" s="487"/>
      <c r="O56" s="487"/>
      <c r="P56" s="487"/>
      <c r="Q56" s="487"/>
      <c r="R56" s="487"/>
      <c r="S56" s="487"/>
      <c r="T56" s="487"/>
      <c r="U56" s="487"/>
      <c r="V56" s="487"/>
    </row>
    <row r="57" ht="23.25" customHeight="1">
      <c r="A57" s="487"/>
      <c r="B57" s="487"/>
      <c r="C57" s="487"/>
      <c r="D57" s="487"/>
      <c r="E57" s="487"/>
      <c r="F57" s="487"/>
      <c r="G57" s="487"/>
      <c r="H57" s="487"/>
      <c r="I57" s="487"/>
      <c r="J57" s="487"/>
      <c r="K57" s="487"/>
      <c r="L57" s="487"/>
      <c r="M57" s="487"/>
      <c r="N57" s="487"/>
      <c r="O57" s="487"/>
      <c r="P57" s="487"/>
      <c r="Q57" s="487"/>
      <c r="R57" s="487"/>
      <c r="S57" s="487"/>
      <c r="T57" s="487"/>
      <c r="U57" s="487"/>
      <c r="V57" s="487"/>
    </row>
    <row r="58" ht="23.25" customHeight="1">
      <c r="A58" s="487"/>
      <c r="B58" s="487"/>
      <c r="C58" s="487"/>
      <c r="D58" s="487"/>
      <c r="E58" s="487"/>
      <c r="F58" s="487"/>
      <c r="G58" s="487"/>
      <c r="H58" s="487"/>
      <c r="I58" s="487"/>
      <c r="J58" s="487"/>
      <c r="K58" s="487"/>
      <c r="L58" s="487"/>
      <c r="M58" s="487"/>
      <c r="N58" s="487"/>
      <c r="O58" s="487"/>
      <c r="P58" s="487"/>
      <c r="Q58" s="487"/>
      <c r="R58" s="487"/>
      <c r="S58" s="487"/>
      <c r="T58" s="487"/>
      <c r="U58" s="487"/>
      <c r="V58" s="487"/>
    </row>
    <row r="59" ht="23.25" customHeight="1">
      <c r="A59" s="487"/>
      <c r="B59" s="487"/>
      <c r="C59" s="487"/>
      <c r="D59" s="487"/>
      <c r="E59" s="487"/>
      <c r="F59" s="487"/>
      <c r="G59" s="487"/>
      <c r="H59" s="487"/>
      <c r="I59" s="487"/>
      <c r="J59" s="487"/>
      <c r="K59" s="487"/>
      <c r="L59" s="487"/>
      <c r="M59" s="487"/>
      <c r="N59" s="487"/>
      <c r="O59" s="487"/>
      <c r="P59" s="487"/>
      <c r="Q59" s="487"/>
      <c r="R59" s="487"/>
      <c r="S59" s="487"/>
      <c r="T59" s="487"/>
      <c r="U59" s="487"/>
      <c r="V59" s="487"/>
    </row>
    <row r="60" ht="23.25" customHeight="1">
      <c r="A60" s="487"/>
      <c r="B60" s="487"/>
      <c r="C60" s="487"/>
      <c r="D60" s="487"/>
      <c r="E60" s="487"/>
      <c r="F60" s="487"/>
      <c r="G60" s="487"/>
      <c r="H60" s="487"/>
      <c r="I60" s="487"/>
      <c r="J60" s="487"/>
      <c r="K60" s="487"/>
      <c r="L60" s="487"/>
      <c r="M60" s="487"/>
      <c r="N60" s="487"/>
      <c r="O60" s="487"/>
      <c r="P60" s="487"/>
      <c r="Q60" s="487"/>
      <c r="R60" s="487"/>
      <c r="S60" s="487"/>
      <c r="T60" s="487"/>
      <c r="U60" s="487"/>
      <c r="V60" s="487"/>
    </row>
    <row r="61" ht="23.25" customHeight="1">
      <c r="A61" s="487"/>
      <c r="B61" s="487"/>
      <c r="C61" s="487"/>
      <c r="D61" s="487"/>
      <c r="E61" s="487"/>
      <c r="F61" s="487"/>
      <c r="G61" s="487"/>
      <c r="H61" s="487"/>
      <c r="I61" s="487"/>
      <c r="J61" s="487"/>
      <c r="K61" s="487"/>
      <c r="L61" s="487"/>
      <c r="M61" s="487"/>
      <c r="N61" s="487"/>
      <c r="O61" s="487"/>
      <c r="P61" s="487"/>
      <c r="Q61" s="487"/>
      <c r="R61" s="487"/>
      <c r="S61" s="487"/>
      <c r="T61" s="487"/>
      <c r="U61" s="487"/>
      <c r="V61" s="487"/>
    </row>
    <row r="62" ht="23.25" customHeight="1">
      <c r="A62" s="487"/>
      <c r="B62" s="487"/>
      <c r="C62" s="487"/>
      <c r="D62" s="487"/>
      <c r="E62" s="487"/>
      <c r="F62" s="487"/>
      <c r="G62" s="487"/>
      <c r="H62" s="487"/>
      <c r="I62" s="487"/>
      <c r="J62" s="487"/>
      <c r="K62" s="487"/>
      <c r="L62" s="487"/>
      <c r="M62" s="487"/>
      <c r="N62" s="487"/>
      <c r="O62" s="487"/>
      <c r="P62" s="487"/>
      <c r="Q62" s="487"/>
      <c r="R62" s="487"/>
      <c r="S62" s="487"/>
      <c r="T62" s="487"/>
      <c r="U62" s="487"/>
      <c r="V62" s="487"/>
    </row>
    <row r="63" ht="23.25" customHeight="1">
      <c r="A63" s="487"/>
      <c r="B63" s="487"/>
      <c r="C63" s="487"/>
      <c r="D63" s="487"/>
      <c r="E63" s="487"/>
      <c r="F63" s="487"/>
      <c r="G63" s="487"/>
      <c r="H63" s="487"/>
      <c r="I63" s="487"/>
      <c r="J63" s="487"/>
      <c r="K63" s="487"/>
      <c r="L63" s="487"/>
      <c r="M63" s="487"/>
      <c r="N63" s="487"/>
      <c r="O63" s="487"/>
      <c r="P63" s="487"/>
      <c r="Q63" s="487"/>
      <c r="R63" s="487"/>
      <c r="S63" s="487"/>
      <c r="T63" s="487"/>
      <c r="U63" s="487"/>
      <c r="V63" s="487"/>
    </row>
    <row r="64" ht="23.25" customHeight="1">
      <c r="A64" s="487"/>
      <c r="B64" s="487"/>
      <c r="C64" s="487"/>
      <c r="D64" s="487"/>
      <c r="E64" s="487"/>
      <c r="F64" s="487"/>
      <c r="G64" s="487"/>
      <c r="H64" s="487"/>
      <c r="I64" s="487"/>
      <c r="J64" s="487"/>
      <c r="K64" s="487"/>
      <c r="L64" s="487"/>
      <c r="M64" s="487"/>
      <c r="N64" s="487"/>
      <c r="O64" s="487"/>
      <c r="P64" s="487"/>
      <c r="Q64" s="487"/>
      <c r="R64" s="487"/>
      <c r="S64" s="487"/>
      <c r="T64" s="487"/>
      <c r="U64" s="487"/>
      <c r="V64" s="487"/>
    </row>
    <row r="65" ht="23.25" customHeight="1">
      <c r="A65" s="487"/>
      <c r="B65" s="487"/>
      <c r="C65" s="487"/>
      <c r="D65" s="487"/>
      <c r="E65" s="487"/>
      <c r="F65" s="487"/>
      <c r="G65" s="487"/>
      <c r="H65" s="487"/>
      <c r="I65" s="487"/>
      <c r="J65" s="487"/>
      <c r="K65" s="487"/>
      <c r="L65" s="487"/>
      <c r="M65" s="487"/>
      <c r="N65" s="487"/>
      <c r="O65" s="487"/>
      <c r="P65" s="487"/>
      <c r="Q65" s="487"/>
      <c r="R65" s="487"/>
      <c r="S65" s="487"/>
      <c r="T65" s="487"/>
      <c r="U65" s="487"/>
      <c r="V65" s="487"/>
    </row>
    <row r="66" ht="23.25" customHeight="1">
      <c r="A66" s="487"/>
      <c r="B66" s="487"/>
      <c r="C66" s="487"/>
      <c r="D66" s="487"/>
      <c r="E66" s="487"/>
      <c r="F66" s="487"/>
      <c r="G66" s="487"/>
      <c r="H66" s="487"/>
      <c r="I66" s="487"/>
      <c r="J66" s="487"/>
      <c r="K66" s="487"/>
      <c r="L66" s="487"/>
      <c r="M66" s="487"/>
      <c r="N66" s="487"/>
      <c r="O66" s="487"/>
      <c r="P66" s="487"/>
      <c r="Q66" s="487"/>
      <c r="R66" s="487"/>
      <c r="S66" s="487"/>
      <c r="T66" s="487"/>
      <c r="U66" s="487"/>
      <c r="V66" s="487"/>
    </row>
    <row r="67" ht="23.25" customHeight="1">
      <c r="A67" s="487"/>
      <c r="B67" s="487"/>
      <c r="C67" s="487"/>
      <c r="D67" s="487"/>
      <c r="E67" s="487"/>
      <c r="F67" s="487"/>
      <c r="G67" s="487"/>
      <c r="H67" s="487"/>
      <c r="I67" s="487"/>
      <c r="J67" s="487"/>
      <c r="K67" s="487"/>
      <c r="L67" s="487"/>
      <c r="M67" s="487"/>
      <c r="N67" s="487"/>
      <c r="O67" s="487"/>
      <c r="P67" s="487"/>
      <c r="Q67" s="487"/>
      <c r="R67" s="487"/>
      <c r="S67" s="487"/>
      <c r="T67" s="487"/>
      <c r="U67" s="487"/>
      <c r="V67" s="487"/>
    </row>
    <row r="68" ht="23.25" customHeight="1">
      <c r="A68" s="487"/>
      <c r="B68" s="487"/>
      <c r="C68" s="487"/>
      <c r="D68" s="487"/>
      <c r="E68" s="487"/>
      <c r="F68" s="487"/>
      <c r="G68" s="487"/>
      <c r="H68" s="487"/>
      <c r="I68" s="487"/>
      <c r="J68" s="487"/>
      <c r="K68" s="487"/>
      <c r="L68" s="487"/>
      <c r="M68" s="487"/>
      <c r="N68" s="487"/>
      <c r="O68" s="487"/>
      <c r="P68" s="487"/>
      <c r="Q68" s="487"/>
      <c r="R68" s="487"/>
      <c r="S68" s="487"/>
      <c r="T68" s="487"/>
      <c r="U68" s="487"/>
      <c r="V68" s="487"/>
    </row>
    <row r="69" ht="23.25" customHeight="1">
      <c r="A69" s="487"/>
      <c r="B69" s="487"/>
      <c r="C69" s="487"/>
      <c r="D69" s="487"/>
      <c r="E69" s="487"/>
      <c r="F69" s="487"/>
      <c r="G69" s="487"/>
      <c r="H69" s="487"/>
      <c r="I69" s="487"/>
      <c r="J69" s="487"/>
      <c r="K69" s="487"/>
      <c r="L69" s="487"/>
      <c r="M69" s="487"/>
      <c r="N69" s="487"/>
      <c r="O69" s="487"/>
      <c r="P69" s="487"/>
      <c r="Q69" s="487"/>
      <c r="R69" s="487"/>
      <c r="S69" s="487"/>
      <c r="T69" s="487"/>
      <c r="U69" s="487"/>
      <c r="V69" s="487"/>
    </row>
    <row r="70" ht="23.25" customHeight="1">
      <c r="A70" s="487"/>
      <c r="B70" s="487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487"/>
      <c r="P70" s="487"/>
      <c r="Q70" s="487"/>
      <c r="R70" s="487"/>
      <c r="S70" s="487"/>
      <c r="T70" s="487"/>
      <c r="U70" s="487"/>
      <c r="V70" s="487"/>
    </row>
    <row r="71" ht="23.25" customHeight="1">
      <c r="A71" s="487"/>
      <c r="B71" s="487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</row>
    <row r="72" ht="23.25" customHeight="1">
      <c r="A72" s="487"/>
      <c r="B72" s="487"/>
      <c r="C72" s="487"/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  <c r="O72" s="487"/>
      <c r="P72" s="487"/>
      <c r="Q72" s="487"/>
      <c r="R72" s="487"/>
      <c r="S72" s="487"/>
      <c r="T72" s="487"/>
      <c r="U72" s="487"/>
      <c r="V72" s="487"/>
    </row>
    <row r="73" ht="23.25" customHeight="1">
      <c r="A73" s="487"/>
      <c r="B73" s="487"/>
      <c r="C73" s="487"/>
      <c r="D73" s="487"/>
      <c r="E73" s="487"/>
      <c r="F73" s="487"/>
      <c r="G73" s="487"/>
      <c r="H73" s="487"/>
      <c r="I73" s="487"/>
      <c r="J73" s="487"/>
      <c r="K73" s="487"/>
      <c r="L73" s="487"/>
      <c r="M73" s="487"/>
      <c r="N73" s="487"/>
      <c r="O73" s="487"/>
      <c r="P73" s="487"/>
      <c r="Q73" s="487"/>
      <c r="R73" s="487"/>
      <c r="S73" s="487"/>
      <c r="T73" s="487"/>
      <c r="U73" s="487"/>
      <c r="V73" s="487"/>
    </row>
    <row r="74" ht="23.25" customHeight="1">
      <c r="A74" s="487"/>
      <c r="B74" s="487"/>
      <c r="C74" s="487"/>
      <c r="D74" s="487"/>
      <c r="E74" s="487"/>
      <c r="F74" s="487"/>
      <c r="G74" s="487"/>
      <c r="H74" s="487"/>
      <c r="I74" s="487"/>
      <c r="J74" s="487"/>
      <c r="K74" s="487"/>
      <c r="L74" s="487"/>
      <c r="M74" s="487"/>
      <c r="N74" s="487"/>
      <c r="O74" s="487"/>
      <c r="P74" s="487"/>
      <c r="Q74" s="487"/>
      <c r="R74" s="487"/>
      <c r="S74" s="487"/>
      <c r="T74" s="487"/>
      <c r="U74" s="487"/>
      <c r="V74" s="487"/>
    </row>
    <row r="75" ht="23.25" customHeight="1">
      <c r="A75" s="487"/>
      <c r="B75" s="487"/>
      <c r="C75" s="487"/>
      <c r="D75" s="487"/>
      <c r="E75" s="487"/>
      <c r="F75" s="487"/>
      <c r="G75" s="487"/>
      <c r="H75" s="487"/>
      <c r="I75" s="487"/>
      <c r="J75" s="487"/>
      <c r="K75" s="487"/>
      <c r="L75" s="487"/>
      <c r="M75" s="487"/>
      <c r="N75" s="487"/>
      <c r="O75" s="487"/>
      <c r="P75" s="487"/>
      <c r="Q75" s="487"/>
      <c r="R75" s="487"/>
      <c r="S75" s="487"/>
      <c r="T75" s="487"/>
      <c r="U75" s="487"/>
      <c r="V75" s="487"/>
    </row>
    <row r="76" ht="23.25" customHeight="1">
      <c r="A76" s="487"/>
      <c r="B76" s="487"/>
      <c r="C76" s="487"/>
      <c r="D76" s="487"/>
      <c r="E76" s="487"/>
      <c r="F76" s="487"/>
      <c r="G76" s="487"/>
      <c r="H76" s="487"/>
      <c r="I76" s="487"/>
      <c r="J76" s="487"/>
      <c r="K76" s="487"/>
      <c r="L76" s="487"/>
      <c r="M76" s="487"/>
      <c r="N76" s="487"/>
      <c r="O76" s="487"/>
      <c r="P76" s="487"/>
      <c r="Q76" s="487"/>
      <c r="R76" s="487"/>
      <c r="S76" s="487"/>
      <c r="T76" s="487"/>
      <c r="U76" s="487"/>
      <c r="V76" s="487"/>
    </row>
    <row r="77" ht="23.25" customHeight="1">
      <c r="A77" s="487"/>
      <c r="B77" s="487"/>
      <c r="C77" s="487"/>
      <c r="D77" s="487"/>
      <c r="E77" s="487"/>
      <c r="F77" s="487"/>
      <c r="G77" s="487"/>
      <c r="H77" s="487"/>
      <c r="I77" s="487"/>
      <c r="J77" s="487"/>
      <c r="K77" s="487"/>
      <c r="L77" s="487"/>
      <c r="M77" s="487"/>
      <c r="N77" s="487"/>
      <c r="O77" s="487"/>
      <c r="P77" s="487"/>
      <c r="Q77" s="487"/>
      <c r="R77" s="487"/>
      <c r="S77" s="487"/>
      <c r="T77" s="487"/>
      <c r="U77" s="487"/>
      <c r="V77" s="487"/>
    </row>
    <row r="78" ht="23.25" customHeight="1">
      <c r="A78" s="487"/>
      <c r="B78" s="487"/>
      <c r="C78" s="487"/>
      <c r="D78" s="487"/>
      <c r="E78" s="487"/>
      <c r="F78" s="487"/>
      <c r="G78" s="487"/>
      <c r="H78" s="487"/>
      <c r="I78" s="487"/>
      <c r="J78" s="487"/>
      <c r="K78" s="487"/>
      <c r="L78" s="487"/>
      <c r="M78" s="487"/>
      <c r="N78" s="487"/>
      <c r="O78" s="487"/>
      <c r="P78" s="487"/>
      <c r="Q78" s="487"/>
      <c r="R78" s="487"/>
      <c r="S78" s="487"/>
      <c r="T78" s="487"/>
      <c r="U78" s="487"/>
      <c r="V78" s="487"/>
    </row>
    <row r="79" ht="23.25" customHeight="1">
      <c r="A79" s="487"/>
      <c r="B79" s="487"/>
      <c r="C79" s="487"/>
      <c r="D79" s="487"/>
      <c r="E79" s="487"/>
      <c r="F79" s="487"/>
      <c r="G79" s="487"/>
      <c r="H79" s="487"/>
      <c r="I79" s="487"/>
      <c r="J79" s="487"/>
      <c r="K79" s="487"/>
      <c r="L79" s="487"/>
      <c r="M79" s="487"/>
      <c r="N79" s="487"/>
      <c r="O79" s="487"/>
      <c r="P79" s="487"/>
      <c r="Q79" s="487"/>
      <c r="R79" s="487"/>
      <c r="S79" s="487"/>
      <c r="T79" s="487"/>
      <c r="U79" s="487"/>
      <c r="V79" s="487"/>
    </row>
    <row r="80" ht="23.25" customHeight="1">
      <c r="A80" s="487"/>
      <c r="B80" s="487"/>
      <c r="C80" s="487"/>
      <c r="D80" s="487"/>
      <c r="E80" s="487"/>
      <c r="F80" s="487"/>
      <c r="G80" s="487"/>
      <c r="H80" s="487"/>
      <c r="I80" s="487"/>
      <c r="J80" s="487"/>
      <c r="K80" s="487"/>
      <c r="L80" s="487"/>
      <c r="M80" s="487"/>
      <c r="N80" s="487"/>
      <c r="O80" s="487"/>
      <c r="P80" s="487"/>
      <c r="Q80" s="487"/>
      <c r="R80" s="487"/>
      <c r="S80" s="487"/>
      <c r="T80" s="487"/>
      <c r="U80" s="487"/>
      <c r="V80" s="487"/>
    </row>
    <row r="81" ht="23.25" customHeight="1">
      <c r="A81" s="487"/>
      <c r="B81" s="487"/>
      <c r="C81" s="487"/>
      <c r="D81" s="487"/>
      <c r="E81" s="487"/>
      <c r="F81" s="487"/>
      <c r="G81" s="487"/>
      <c r="H81" s="487"/>
      <c r="I81" s="487"/>
      <c r="J81" s="487"/>
      <c r="K81" s="487"/>
      <c r="L81" s="487"/>
      <c r="M81" s="487"/>
      <c r="N81" s="487"/>
      <c r="O81" s="487"/>
      <c r="P81" s="487"/>
      <c r="Q81" s="487"/>
      <c r="R81" s="487"/>
      <c r="S81" s="487"/>
      <c r="T81" s="487"/>
      <c r="U81" s="487"/>
      <c r="V81" s="487"/>
    </row>
    <row r="82" ht="23.25" customHeight="1">
      <c r="A82" s="487"/>
      <c r="B82" s="487"/>
      <c r="C82" s="487"/>
      <c r="D82" s="487"/>
      <c r="E82" s="487"/>
      <c r="F82" s="487"/>
      <c r="G82" s="487"/>
      <c r="H82" s="487"/>
      <c r="I82" s="487"/>
      <c r="J82" s="487"/>
      <c r="K82" s="487"/>
      <c r="L82" s="487"/>
      <c r="M82" s="487"/>
      <c r="N82" s="487"/>
      <c r="O82" s="487"/>
      <c r="P82" s="487"/>
      <c r="Q82" s="487"/>
      <c r="R82" s="487"/>
      <c r="S82" s="487"/>
      <c r="T82" s="487"/>
      <c r="U82" s="487"/>
      <c r="V82" s="487"/>
    </row>
    <row r="83" ht="23.25" customHeight="1">
      <c r="A83" s="487"/>
      <c r="B83" s="487"/>
      <c r="C83" s="487"/>
      <c r="D83" s="487"/>
      <c r="E83" s="487"/>
      <c r="F83" s="487"/>
      <c r="G83" s="487"/>
      <c r="H83" s="487"/>
      <c r="I83" s="487"/>
      <c r="J83" s="487"/>
      <c r="K83" s="487"/>
      <c r="L83" s="487"/>
      <c r="M83" s="487"/>
      <c r="N83" s="487"/>
      <c r="O83" s="487"/>
      <c r="P83" s="487"/>
      <c r="Q83" s="487"/>
      <c r="R83" s="487"/>
      <c r="S83" s="487"/>
      <c r="T83" s="487"/>
      <c r="U83" s="487"/>
      <c r="V83" s="487"/>
    </row>
    <row r="84" ht="23.25" customHeight="1">
      <c r="A84" s="487"/>
      <c r="B84" s="487"/>
      <c r="C84" s="487"/>
      <c r="D84" s="487"/>
      <c r="E84" s="487"/>
      <c r="F84" s="487"/>
      <c r="G84" s="487"/>
      <c r="H84" s="487"/>
      <c r="I84" s="487"/>
      <c r="J84" s="487"/>
      <c r="K84" s="487"/>
      <c r="L84" s="487"/>
      <c r="M84" s="487"/>
      <c r="N84" s="487"/>
      <c r="O84" s="487"/>
      <c r="P84" s="487"/>
      <c r="Q84" s="487"/>
      <c r="R84" s="487"/>
      <c r="S84" s="487"/>
      <c r="T84" s="487"/>
      <c r="U84" s="487"/>
      <c r="V84" s="487"/>
    </row>
    <row r="85" ht="23.25" customHeight="1">
      <c r="A85" s="487"/>
      <c r="B85" s="487"/>
      <c r="C85" s="487"/>
      <c r="D85" s="487"/>
      <c r="E85" s="487"/>
      <c r="F85" s="487"/>
      <c r="G85" s="487"/>
      <c r="H85" s="487"/>
      <c r="I85" s="487"/>
      <c r="J85" s="487"/>
      <c r="K85" s="487"/>
      <c r="L85" s="487"/>
      <c r="M85" s="487"/>
      <c r="N85" s="487"/>
      <c r="O85" s="487"/>
      <c r="P85" s="487"/>
      <c r="Q85" s="487"/>
      <c r="R85" s="487"/>
      <c r="S85" s="487"/>
      <c r="T85" s="487"/>
      <c r="U85" s="487"/>
      <c r="V85" s="487"/>
    </row>
    <row r="86" ht="23.25" customHeight="1">
      <c r="A86" s="487"/>
      <c r="B86" s="487"/>
      <c r="C86" s="487"/>
      <c r="D86" s="487"/>
      <c r="E86" s="487"/>
      <c r="F86" s="487"/>
      <c r="G86" s="487"/>
      <c r="H86" s="487"/>
      <c r="I86" s="487"/>
      <c r="J86" s="487"/>
      <c r="K86" s="487"/>
      <c r="L86" s="487"/>
      <c r="M86" s="487"/>
      <c r="N86" s="487"/>
      <c r="O86" s="487"/>
      <c r="P86" s="487"/>
      <c r="Q86" s="487"/>
      <c r="R86" s="487"/>
      <c r="S86" s="487"/>
      <c r="T86" s="487"/>
      <c r="U86" s="487"/>
      <c r="V86" s="487"/>
    </row>
    <row r="87" ht="23.25" customHeight="1">
      <c r="A87" s="487"/>
      <c r="B87" s="487"/>
      <c r="C87" s="487"/>
      <c r="D87" s="487"/>
      <c r="E87" s="487"/>
      <c r="F87" s="487"/>
      <c r="G87" s="487"/>
      <c r="H87" s="487"/>
      <c r="I87" s="487"/>
      <c r="J87" s="487"/>
      <c r="K87" s="487"/>
      <c r="L87" s="487"/>
      <c r="M87" s="487"/>
      <c r="N87" s="487"/>
      <c r="O87" s="487"/>
      <c r="P87" s="487"/>
      <c r="Q87" s="487"/>
      <c r="R87" s="487"/>
      <c r="S87" s="487"/>
      <c r="T87" s="487"/>
      <c r="U87" s="487"/>
      <c r="V87" s="487"/>
    </row>
    <row r="88" ht="23.25" customHeight="1">
      <c r="A88" s="487"/>
      <c r="B88" s="487"/>
      <c r="C88" s="487"/>
      <c r="D88" s="487"/>
      <c r="E88" s="487"/>
      <c r="F88" s="487"/>
      <c r="G88" s="487"/>
      <c r="H88" s="487"/>
      <c r="I88" s="487"/>
      <c r="J88" s="487"/>
      <c r="K88" s="487"/>
      <c r="L88" s="487"/>
      <c r="M88" s="487"/>
      <c r="N88" s="487"/>
      <c r="O88" s="487"/>
      <c r="P88" s="487"/>
      <c r="Q88" s="487"/>
      <c r="R88" s="487"/>
      <c r="S88" s="487"/>
      <c r="T88" s="487"/>
      <c r="U88" s="487"/>
      <c r="V88" s="487"/>
    </row>
    <row r="89" ht="23.25" customHeight="1">
      <c r="A89" s="487"/>
      <c r="B89" s="487"/>
      <c r="C89" s="487"/>
      <c r="D89" s="487"/>
      <c r="E89" s="487"/>
      <c r="F89" s="487"/>
      <c r="G89" s="487"/>
      <c r="H89" s="487"/>
      <c r="I89" s="487"/>
      <c r="J89" s="487"/>
      <c r="K89" s="487"/>
      <c r="L89" s="487"/>
      <c r="M89" s="487"/>
      <c r="N89" s="487"/>
      <c r="O89" s="487"/>
      <c r="P89" s="487"/>
      <c r="Q89" s="487"/>
      <c r="R89" s="487"/>
      <c r="S89" s="487"/>
      <c r="T89" s="487"/>
      <c r="U89" s="487"/>
      <c r="V89" s="487"/>
    </row>
    <row r="90" ht="23.25" customHeight="1">
      <c r="A90" s="487"/>
      <c r="B90" s="487"/>
      <c r="C90" s="487"/>
      <c r="D90" s="487"/>
      <c r="E90" s="487"/>
      <c r="F90" s="487"/>
      <c r="G90" s="487"/>
      <c r="H90" s="487"/>
      <c r="I90" s="487"/>
      <c r="J90" s="487"/>
      <c r="K90" s="487"/>
      <c r="L90" s="487"/>
      <c r="M90" s="487"/>
      <c r="N90" s="487"/>
      <c r="O90" s="487"/>
      <c r="P90" s="487"/>
      <c r="Q90" s="487"/>
      <c r="R90" s="487"/>
      <c r="S90" s="487"/>
      <c r="T90" s="487"/>
      <c r="U90" s="487"/>
      <c r="V90" s="487"/>
    </row>
    <row r="91" ht="23.25" customHeight="1">
      <c r="A91" s="487"/>
      <c r="B91" s="487"/>
      <c r="C91" s="487"/>
      <c r="D91" s="487"/>
      <c r="E91" s="487"/>
      <c r="F91" s="487"/>
      <c r="G91" s="487"/>
      <c r="H91" s="487"/>
      <c r="I91" s="487"/>
      <c r="J91" s="487"/>
      <c r="K91" s="487"/>
      <c r="L91" s="487"/>
      <c r="M91" s="487"/>
      <c r="N91" s="487"/>
      <c r="O91" s="487"/>
      <c r="P91" s="487"/>
      <c r="Q91" s="487"/>
      <c r="R91" s="487"/>
      <c r="S91" s="487"/>
      <c r="T91" s="487"/>
      <c r="U91" s="487"/>
      <c r="V91" s="487"/>
    </row>
    <row r="92" ht="23.25" customHeight="1">
      <c r="A92" s="487"/>
      <c r="B92" s="487"/>
      <c r="C92" s="487"/>
      <c r="D92" s="487"/>
      <c r="E92" s="487"/>
      <c r="F92" s="487"/>
      <c r="G92" s="487"/>
      <c r="H92" s="487"/>
      <c r="I92" s="487"/>
      <c r="J92" s="487"/>
      <c r="K92" s="487"/>
      <c r="L92" s="487"/>
      <c r="M92" s="487"/>
      <c r="N92" s="487"/>
      <c r="O92" s="487"/>
      <c r="P92" s="487"/>
      <c r="Q92" s="487"/>
      <c r="R92" s="487"/>
      <c r="S92" s="487"/>
      <c r="T92" s="487"/>
      <c r="U92" s="487"/>
      <c r="V92" s="487"/>
    </row>
    <row r="93" ht="23.25" customHeight="1">
      <c r="A93" s="487"/>
      <c r="B93" s="487"/>
      <c r="C93" s="487"/>
      <c r="D93" s="487"/>
      <c r="E93" s="487"/>
      <c r="F93" s="487"/>
      <c r="G93" s="487"/>
      <c r="H93" s="487"/>
      <c r="I93" s="487"/>
      <c r="J93" s="487"/>
      <c r="K93" s="487"/>
      <c r="L93" s="487"/>
      <c r="M93" s="487"/>
      <c r="N93" s="487"/>
      <c r="O93" s="487"/>
      <c r="P93" s="487"/>
      <c r="Q93" s="487"/>
      <c r="R93" s="487"/>
      <c r="S93" s="487"/>
      <c r="T93" s="487"/>
      <c r="U93" s="487"/>
      <c r="V93" s="487"/>
    </row>
    <row r="94" ht="23.25" customHeight="1">
      <c r="A94" s="487"/>
      <c r="B94" s="487"/>
      <c r="C94" s="487"/>
      <c r="D94" s="487"/>
      <c r="E94" s="487"/>
      <c r="F94" s="487"/>
      <c r="G94" s="487"/>
      <c r="H94" s="487"/>
      <c r="I94" s="487"/>
      <c r="J94" s="487"/>
      <c r="K94" s="487"/>
      <c r="L94" s="487"/>
      <c r="M94" s="487"/>
      <c r="N94" s="487"/>
      <c r="O94" s="487"/>
      <c r="P94" s="487"/>
      <c r="Q94" s="487"/>
      <c r="R94" s="487"/>
      <c r="S94" s="487"/>
      <c r="T94" s="487"/>
      <c r="U94" s="487"/>
      <c r="V94" s="487"/>
    </row>
    <row r="95" ht="23.25" customHeight="1">
      <c r="A95" s="487"/>
      <c r="B95" s="487"/>
      <c r="C95" s="487"/>
      <c r="D95" s="487"/>
      <c r="E95" s="487"/>
      <c r="F95" s="487"/>
      <c r="G95" s="487"/>
      <c r="H95" s="487"/>
      <c r="I95" s="487"/>
      <c r="J95" s="487"/>
      <c r="K95" s="487"/>
      <c r="L95" s="487"/>
      <c r="M95" s="487"/>
      <c r="N95" s="487"/>
      <c r="O95" s="487"/>
      <c r="P95" s="487"/>
      <c r="Q95" s="487"/>
      <c r="R95" s="487"/>
      <c r="S95" s="487"/>
      <c r="T95" s="487"/>
      <c r="U95" s="487"/>
      <c r="V95" s="487"/>
    </row>
    <row r="96" ht="23.25" customHeight="1">
      <c r="A96" s="487"/>
      <c r="B96" s="487"/>
      <c r="C96" s="487"/>
      <c r="D96" s="487"/>
      <c r="E96" s="487"/>
      <c r="F96" s="487"/>
      <c r="G96" s="487"/>
      <c r="H96" s="487"/>
      <c r="I96" s="487"/>
      <c r="J96" s="487"/>
      <c r="K96" s="487"/>
      <c r="L96" s="487"/>
      <c r="M96" s="487"/>
      <c r="N96" s="487"/>
      <c r="O96" s="487"/>
      <c r="P96" s="487"/>
      <c r="Q96" s="487"/>
      <c r="R96" s="487"/>
      <c r="S96" s="487"/>
      <c r="T96" s="487"/>
      <c r="U96" s="487"/>
      <c r="V96" s="487"/>
    </row>
    <row r="97" ht="23.25" customHeight="1">
      <c r="A97" s="487"/>
      <c r="B97" s="487"/>
      <c r="C97" s="487"/>
      <c r="D97" s="487"/>
      <c r="E97" s="487"/>
      <c r="F97" s="487"/>
      <c r="G97" s="487"/>
      <c r="H97" s="487"/>
      <c r="I97" s="487"/>
      <c r="J97" s="487"/>
      <c r="K97" s="487"/>
      <c r="L97" s="487"/>
      <c r="M97" s="487"/>
      <c r="N97" s="487"/>
      <c r="O97" s="487"/>
      <c r="P97" s="487"/>
      <c r="Q97" s="487"/>
      <c r="R97" s="487"/>
      <c r="S97" s="487"/>
      <c r="T97" s="487"/>
      <c r="U97" s="487"/>
      <c r="V97" s="487"/>
    </row>
    <row r="98" ht="23.25" customHeight="1">
      <c r="A98" s="487"/>
      <c r="B98" s="487"/>
      <c r="C98" s="487"/>
      <c r="D98" s="487"/>
      <c r="E98" s="487"/>
      <c r="F98" s="487"/>
      <c r="G98" s="487"/>
      <c r="H98" s="487"/>
      <c r="I98" s="487"/>
      <c r="J98" s="487"/>
      <c r="K98" s="487"/>
      <c r="L98" s="487"/>
      <c r="M98" s="487"/>
      <c r="N98" s="487"/>
      <c r="O98" s="487"/>
      <c r="P98" s="487"/>
      <c r="Q98" s="487"/>
      <c r="R98" s="487"/>
      <c r="S98" s="487"/>
      <c r="T98" s="487"/>
      <c r="U98" s="487"/>
      <c r="V98" s="487"/>
    </row>
    <row r="99" ht="23.25" customHeight="1">
      <c r="A99" s="487"/>
      <c r="B99" s="487"/>
      <c r="C99" s="487"/>
      <c r="D99" s="487"/>
      <c r="E99" s="487"/>
      <c r="F99" s="487"/>
      <c r="G99" s="487"/>
      <c r="H99" s="487"/>
      <c r="I99" s="487"/>
      <c r="J99" s="487"/>
      <c r="K99" s="487"/>
      <c r="L99" s="487"/>
      <c r="M99" s="487"/>
      <c r="N99" s="487"/>
      <c r="O99" s="487"/>
      <c r="P99" s="487"/>
      <c r="Q99" s="487"/>
      <c r="R99" s="487"/>
      <c r="S99" s="487"/>
      <c r="T99" s="487"/>
      <c r="U99" s="487"/>
      <c r="V99" s="487"/>
    </row>
    <row r="100" ht="23.25" customHeight="1">
      <c r="A100" s="487"/>
      <c r="B100" s="487"/>
      <c r="C100" s="487"/>
      <c r="D100" s="487"/>
      <c r="E100" s="487"/>
      <c r="F100" s="487"/>
      <c r="G100" s="487"/>
      <c r="H100" s="487"/>
      <c r="I100" s="487"/>
      <c r="J100" s="487"/>
      <c r="K100" s="487"/>
      <c r="L100" s="487"/>
      <c r="M100" s="487"/>
      <c r="N100" s="487"/>
      <c r="O100" s="487"/>
      <c r="P100" s="487"/>
      <c r="Q100" s="487"/>
      <c r="R100" s="487"/>
      <c r="S100" s="487"/>
      <c r="T100" s="487"/>
      <c r="U100" s="487"/>
      <c r="V100" s="487"/>
    </row>
    <row r="101" ht="23.25" customHeight="1">
      <c r="A101" s="487"/>
      <c r="B101" s="487"/>
      <c r="C101" s="487"/>
      <c r="D101" s="487"/>
      <c r="E101" s="487"/>
      <c r="F101" s="487"/>
      <c r="G101" s="487"/>
      <c r="H101" s="487"/>
      <c r="I101" s="487"/>
      <c r="J101" s="487"/>
      <c r="K101" s="487"/>
      <c r="L101" s="487"/>
      <c r="M101" s="487"/>
      <c r="N101" s="487"/>
      <c r="O101" s="487"/>
      <c r="P101" s="487"/>
      <c r="Q101" s="487"/>
      <c r="R101" s="487"/>
      <c r="S101" s="487"/>
      <c r="T101" s="487"/>
      <c r="U101" s="487"/>
      <c r="V101" s="487"/>
    </row>
    <row r="102" ht="23.25" customHeight="1">
      <c r="A102" s="487"/>
      <c r="B102" s="487"/>
      <c r="C102" s="487"/>
      <c r="D102" s="487"/>
      <c r="E102" s="487"/>
      <c r="F102" s="487"/>
      <c r="G102" s="487"/>
      <c r="H102" s="487"/>
      <c r="I102" s="487"/>
      <c r="J102" s="487"/>
      <c r="K102" s="487"/>
      <c r="L102" s="487"/>
      <c r="M102" s="487"/>
      <c r="N102" s="487"/>
      <c r="O102" s="487"/>
      <c r="P102" s="487"/>
      <c r="Q102" s="487"/>
      <c r="R102" s="487"/>
      <c r="S102" s="487"/>
      <c r="T102" s="487"/>
      <c r="U102" s="487"/>
      <c r="V102" s="487"/>
    </row>
    <row r="103" ht="23.25" customHeight="1">
      <c r="A103" s="487"/>
      <c r="B103" s="487"/>
      <c r="C103" s="487"/>
      <c r="D103" s="487"/>
      <c r="E103" s="487"/>
      <c r="F103" s="487"/>
      <c r="G103" s="487"/>
      <c r="H103" s="487"/>
      <c r="I103" s="487"/>
      <c r="J103" s="487"/>
      <c r="K103" s="487"/>
      <c r="L103" s="487"/>
      <c r="M103" s="487"/>
      <c r="N103" s="487"/>
      <c r="O103" s="487"/>
      <c r="P103" s="487"/>
      <c r="Q103" s="487"/>
      <c r="R103" s="487"/>
      <c r="S103" s="487"/>
      <c r="T103" s="487"/>
      <c r="U103" s="487"/>
      <c r="V103" s="487"/>
    </row>
    <row r="104" ht="23.25" customHeight="1">
      <c r="A104" s="487"/>
      <c r="B104" s="487"/>
      <c r="C104" s="487"/>
      <c r="D104" s="487"/>
      <c r="E104" s="487"/>
      <c r="F104" s="487"/>
      <c r="G104" s="487"/>
      <c r="H104" s="487"/>
      <c r="I104" s="487"/>
      <c r="J104" s="487"/>
      <c r="K104" s="487"/>
      <c r="L104" s="487"/>
      <c r="M104" s="487"/>
      <c r="N104" s="487"/>
      <c r="O104" s="487"/>
      <c r="P104" s="487"/>
      <c r="Q104" s="487"/>
      <c r="R104" s="487"/>
      <c r="S104" s="487"/>
      <c r="T104" s="487"/>
      <c r="U104" s="487"/>
      <c r="V104" s="487"/>
    </row>
    <row r="105" ht="23.25" customHeight="1">
      <c r="A105" s="487"/>
      <c r="B105" s="487"/>
      <c r="C105" s="487"/>
      <c r="D105" s="487"/>
      <c r="E105" s="487"/>
      <c r="F105" s="487"/>
      <c r="G105" s="487"/>
      <c r="H105" s="487"/>
      <c r="I105" s="487"/>
      <c r="J105" s="487"/>
      <c r="K105" s="487"/>
      <c r="L105" s="487"/>
      <c r="M105" s="487"/>
      <c r="N105" s="487"/>
      <c r="O105" s="487"/>
      <c r="P105" s="487"/>
      <c r="Q105" s="487"/>
      <c r="R105" s="487"/>
      <c r="S105" s="487"/>
      <c r="T105" s="487"/>
      <c r="U105" s="487"/>
      <c r="V105" s="487"/>
    </row>
    <row r="106" ht="23.25" customHeight="1">
      <c r="A106" s="487"/>
      <c r="B106" s="487"/>
      <c r="C106" s="487"/>
      <c r="D106" s="487"/>
      <c r="E106" s="487"/>
      <c r="F106" s="487"/>
      <c r="G106" s="487"/>
      <c r="H106" s="487"/>
      <c r="I106" s="487"/>
      <c r="J106" s="487"/>
      <c r="K106" s="487"/>
      <c r="L106" s="487"/>
      <c r="M106" s="487"/>
      <c r="N106" s="487"/>
      <c r="O106" s="487"/>
      <c r="P106" s="487"/>
      <c r="Q106" s="487"/>
      <c r="R106" s="487"/>
      <c r="S106" s="487"/>
      <c r="T106" s="487"/>
      <c r="U106" s="487"/>
      <c r="V106" s="487"/>
    </row>
    <row r="107" ht="23.25" customHeight="1">
      <c r="A107" s="487"/>
      <c r="B107" s="487"/>
      <c r="C107" s="487"/>
      <c r="D107" s="487"/>
      <c r="E107" s="487"/>
      <c r="F107" s="487"/>
      <c r="G107" s="487"/>
      <c r="H107" s="487"/>
      <c r="I107" s="487"/>
      <c r="J107" s="487"/>
      <c r="K107" s="487"/>
      <c r="L107" s="487"/>
      <c r="M107" s="487"/>
      <c r="N107" s="487"/>
      <c r="O107" s="487"/>
      <c r="P107" s="487"/>
      <c r="Q107" s="487"/>
      <c r="R107" s="487"/>
      <c r="S107" s="487"/>
      <c r="T107" s="487"/>
      <c r="U107" s="487"/>
      <c r="V107" s="487"/>
    </row>
    <row r="108" ht="23.25" customHeight="1">
      <c r="A108" s="487"/>
      <c r="B108" s="487"/>
      <c r="C108" s="487"/>
      <c r="D108" s="487"/>
      <c r="E108" s="487"/>
      <c r="F108" s="487"/>
      <c r="G108" s="487"/>
      <c r="H108" s="487"/>
      <c r="I108" s="487"/>
      <c r="J108" s="487"/>
      <c r="K108" s="487"/>
      <c r="L108" s="487"/>
      <c r="M108" s="487"/>
      <c r="N108" s="487"/>
      <c r="O108" s="487"/>
      <c r="P108" s="487"/>
      <c r="Q108" s="487"/>
      <c r="R108" s="487"/>
      <c r="S108" s="487"/>
      <c r="T108" s="487"/>
      <c r="U108" s="487"/>
      <c r="V108" s="487"/>
    </row>
    <row r="109" ht="23.25" customHeight="1">
      <c r="A109" s="487"/>
      <c r="B109" s="487"/>
      <c r="C109" s="487"/>
      <c r="D109" s="487"/>
      <c r="E109" s="487"/>
      <c r="F109" s="487"/>
      <c r="G109" s="487"/>
      <c r="H109" s="487"/>
      <c r="I109" s="487"/>
      <c r="J109" s="487"/>
      <c r="K109" s="487"/>
      <c r="L109" s="487"/>
      <c r="M109" s="487"/>
      <c r="N109" s="487"/>
      <c r="O109" s="487"/>
      <c r="P109" s="487"/>
      <c r="Q109" s="487"/>
      <c r="R109" s="487"/>
      <c r="S109" s="487"/>
      <c r="T109" s="487"/>
      <c r="U109" s="487"/>
      <c r="V109" s="487"/>
    </row>
    <row r="110" ht="23.25" customHeight="1">
      <c r="A110" s="487"/>
      <c r="B110" s="487"/>
      <c r="C110" s="487"/>
      <c r="D110" s="487"/>
      <c r="E110" s="487"/>
      <c r="F110" s="487"/>
      <c r="G110" s="487"/>
      <c r="H110" s="487"/>
      <c r="I110" s="487"/>
      <c r="J110" s="487"/>
      <c r="K110" s="487"/>
      <c r="L110" s="487"/>
      <c r="M110" s="487"/>
      <c r="N110" s="487"/>
      <c r="O110" s="487"/>
      <c r="P110" s="487"/>
      <c r="Q110" s="487"/>
      <c r="R110" s="487"/>
      <c r="S110" s="487"/>
      <c r="T110" s="487"/>
      <c r="U110" s="487"/>
      <c r="V110" s="487"/>
    </row>
    <row r="111" ht="23.25" customHeight="1">
      <c r="A111" s="487"/>
      <c r="B111" s="487"/>
      <c r="C111" s="487"/>
      <c r="D111" s="487"/>
      <c r="E111" s="487"/>
      <c r="F111" s="487"/>
      <c r="G111" s="487"/>
      <c r="H111" s="487"/>
      <c r="I111" s="487"/>
      <c r="J111" s="487"/>
      <c r="K111" s="487"/>
      <c r="L111" s="487"/>
      <c r="M111" s="487"/>
      <c r="N111" s="487"/>
      <c r="O111" s="487"/>
      <c r="P111" s="487"/>
      <c r="Q111" s="487"/>
      <c r="R111" s="487"/>
      <c r="S111" s="487"/>
      <c r="T111" s="487"/>
      <c r="U111" s="487"/>
      <c r="V111" s="487"/>
    </row>
    <row r="112" ht="23.25" customHeight="1">
      <c r="A112" s="487"/>
      <c r="B112" s="487"/>
      <c r="C112" s="487"/>
      <c r="D112" s="487"/>
      <c r="E112" s="487"/>
      <c r="F112" s="487"/>
      <c r="G112" s="487"/>
      <c r="H112" s="487"/>
      <c r="I112" s="487"/>
      <c r="J112" s="487"/>
      <c r="K112" s="487"/>
      <c r="L112" s="487"/>
      <c r="M112" s="487"/>
      <c r="N112" s="487"/>
      <c r="O112" s="487"/>
      <c r="P112" s="487"/>
      <c r="Q112" s="487"/>
      <c r="R112" s="487"/>
      <c r="S112" s="487"/>
      <c r="T112" s="487"/>
      <c r="U112" s="487"/>
      <c r="V112" s="487"/>
    </row>
    <row r="113" ht="23.25" customHeight="1">
      <c r="A113" s="487"/>
      <c r="B113" s="487"/>
      <c r="C113" s="487"/>
      <c r="D113" s="487"/>
      <c r="E113" s="487"/>
      <c r="F113" s="487"/>
      <c r="G113" s="487"/>
      <c r="H113" s="487"/>
      <c r="I113" s="487"/>
      <c r="J113" s="487"/>
      <c r="K113" s="487"/>
      <c r="L113" s="487"/>
      <c r="M113" s="487"/>
      <c r="N113" s="487"/>
      <c r="O113" s="487"/>
      <c r="P113" s="487"/>
      <c r="Q113" s="487"/>
      <c r="R113" s="487"/>
      <c r="S113" s="487"/>
      <c r="T113" s="487"/>
      <c r="U113" s="487"/>
      <c r="V113" s="487"/>
    </row>
    <row r="114" ht="23.25" customHeight="1">
      <c r="A114" s="487"/>
      <c r="B114" s="487"/>
      <c r="C114" s="487"/>
      <c r="D114" s="487"/>
      <c r="E114" s="487"/>
      <c r="F114" s="487"/>
      <c r="G114" s="487"/>
      <c r="H114" s="487"/>
      <c r="I114" s="487"/>
      <c r="J114" s="487"/>
      <c r="K114" s="487"/>
      <c r="L114" s="487"/>
      <c r="M114" s="487"/>
      <c r="N114" s="487"/>
      <c r="O114" s="487"/>
      <c r="P114" s="487"/>
      <c r="Q114" s="487"/>
      <c r="R114" s="487"/>
      <c r="S114" s="487"/>
      <c r="T114" s="487"/>
      <c r="U114" s="487"/>
      <c r="V114" s="487"/>
    </row>
    <row r="115" ht="23.25" customHeight="1">
      <c r="A115" s="487"/>
      <c r="B115" s="487"/>
      <c r="C115" s="487"/>
      <c r="D115" s="487"/>
      <c r="E115" s="487"/>
      <c r="F115" s="487"/>
      <c r="G115" s="487"/>
      <c r="H115" s="487"/>
      <c r="I115" s="487"/>
      <c r="J115" s="487"/>
      <c r="K115" s="487"/>
      <c r="L115" s="487"/>
      <c r="M115" s="487"/>
      <c r="N115" s="487"/>
      <c r="O115" s="487"/>
      <c r="P115" s="487"/>
      <c r="Q115" s="487"/>
      <c r="R115" s="487"/>
      <c r="S115" s="487"/>
      <c r="T115" s="487"/>
      <c r="U115" s="487"/>
      <c r="V115" s="487"/>
    </row>
    <row r="116" ht="23.25" customHeight="1">
      <c r="A116" s="487"/>
      <c r="B116" s="487"/>
      <c r="C116" s="487"/>
      <c r="D116" s="487"/>
      <c r="E116" s="487"/>
      <c r="F116" s="487"/>
      <c r="G116" s="487"/>
      <c r="H116" s="487"/>
      <c r="I116" s="487"/>
      <c r="J116" s="487"/>
      <c r="K116" s="487"/>
      <c r="L116" s="487"/>
      <c r="M116" s="487"/>
      <c r="N116" s="487"/>
      <c r="O116" s="487"/>
      <c r="P116" s="487"/>
      <c r="Q116" s="487"/>
      <c r="R116" s="487"/>
      <c r="S116" s="487"/>
      <c r="T116" s="487"/>
      <c r="U116" s="487"/>
      <c r="V116" s="487"/>
    </row>
    <row r="117" ht="23.25" customHeight="1">
      <c r="A117" s="487"/>
      <c r="B117" s="487"/>
      <c r="C117" s="487"/>
      <c r="D117" s="487"/>
      <c r="E117" s="487"/>
      <c r="F117" s="487"/>
      <c r="G117" s="487"/>
      <c r="H117" s="487"/>
      <c r="I117" s="487"/>
      <c r="J117" s="487"/>
      <c r="K117" s="487"/>
      <c r="L117" s="487"/>
      <c r="M117" s="487"/>
      <c r="N117" s="487"/>
      <c r="O117" s="487"/>
      <c r="P117" s="487"/>
      <c r="Q117" s="487"/>
      <c r="R117" s="487"/>
      <c r="S117" s="487"/>
      <c r="T117" s="487"/>
      <c r="U117" s="487"/>
      <c r="V117" s="487"/>
    </row>
    <row r="118" ht="23.25" customHeight="1">
      <c r="A118" s="487"/>
      <c r="B118" s="487"/>
      <c r="C118" s="487"/>
      <c r="D118" s="487"/>
      <c r="E118" s="487"/>
      <c r="F118" s="487"/>
      <c r="G118" s="487"/>
      <c r="H118" s="487"/>
      <c r="I118" s="487"/>
      <c r="J118" s="487"/>
      <c r="K118" s="487"/>
      <c r="L118" s="487"/>
      <c r="M118" s="487"/>
      <c r="N118" s="487"/>
      <c r="O118" s="487"/>
      <c r="P118" s="487"/>
      <c r="Q118" s="487"/>
      <c r="R118" s="487"/>
      <c r="S118" s="487"/>
      <c r="T118" s="487"/>
      <c r="U118" s="487"/>
      <c r="V118" s="487"/>
    </row>
    <row r="119" ht="23.25" customHeight="1">
      <c r="A119" s="487"/>
      <c r="B119" s="487"/>
      <c r="C119" s="487"/>
      <c r="D119" s="487"/>
      <c r="E119" s="487"/>
      <c r="F119" s="487"/>
      <c r="G119" s="487"/>
      <c r="H119" s="487"/>
      <c r="I119" s="487"/>
      <c r="J119" s="487"/>
      <c r="K119" s="487"/>
      <c r="L119" s="487"/>
      <c r="M119" s="487"/>
      <c r="N119" s="487"/>
      <c r="O119" s="487"/>
      <c r="P119" s="487"/>
      <c r="Q119" s="487"/>
      <c r="R119" s="487"/>
      <c r="S119" s="487"/>
      <c r="T119" s="487"/>
      <c r="U119" s="487"/>
      <c r="V119" s="487"/>
    </row>
    <row r="120" ht="23.25" customHeight="1">
      <c r="A120" s="487"/>
      <c r="B120" s="487"/>
      <c r="C120" s="487"/>
      <c r="D120" s="487"/>
      <c r="E120" s="487"/>
      <c r="F120" s="487"/>
      <c r="G120" s="487"/>
      <c r="H120" s="487"/>
      <c r="I120" s="487"/>
      <c r="J120" s="487"/>
      <c r="K120" s="487"/>
      <c r="L120" s="487"/>
      <c r="M120" s="487"/>
      <c r="N120" s="487"/>
      <c r="O120" s="487"/>
      <c r="P120" s="487"/>
      <c r="Q120" s="487"/>
      <c r="R120" s="487"/>
      <c r="S120" s="487"/>
      <c r="T120" s="487"/>
      <c r="U120" s="487"/>
      <c r="V120" s="487"/>
    </row>
    <row r="121" ht="23.25" customHeight="1">
      <c r="A121" s="487"/>
      <c r="B121" s="487"/>
      <c r="C121" s="487"/>
      <c r="D121" s="487"/>
      <c r="E121" s="487"/>
      <c r="F121" s="487"/>
      <c r="G121" s="487"/>
      <c r="H121" s="487"/>
      <c r="I121" s="487"/>
      <c r="J121" s="487"/>
      <c r="K121" s="487"/>
      <c r="L121" s="487"/>
      <c r="M121" s="487"/>
      <c r="N121" s="487"/>
      <c r="O121" s="487"/>
      <c r="P121" s="487"/>
      <c r="Q121" s="487"/>
      <c r="R121" s="487"/>
      <c r="S121" s="487"/>
      <c r="T121" s="487"/>
      <c r="U121" s="487"/>
      <c r="V121" s="487"/>
    </row>
    <row r="122" ht="23.25" customHeight="1">
      <c r="A122" s="487"/>
      <c r="B122" s="487"/>
      <c r="C122" s="487"/>
      <c r="D122" s="487"/>
      <c r="E122" s="487"/>
      <c r="F122" s="487"/>
      <c r="G122" s="487"/>
      <c r="H122" s="487"/>
      <c r="I122" s="487"/>
      <c r="J122" s="487"/>
      <c r="K122" s="487"/>
      <c r="L122" s="487"/>
      <c r="M122" s="487"/>
      <c r="N122" s="487"/>
      <c r="O122" s="487"/>
      <c r="P122" s="487"/>
      <c r="Q122" s="487"/>
      <c r="R122" s="487"/>
      <c r="S122" s="487"/>
      <c r="T122" s="487"/>
      <c r="U122" s="487"/>
      <c r="V122" s="487"/>
    </row>
    <row r="123" ht="23.25" customHeight="1">
      <c r="A123" s="487"/>
      <c r="B123" s="487"/>
      <c r="C123" s="487"/>
      <c r="D123" s="487"/>
      <c r="E123" s="487"/>
      <c r="F123" s="487"/>
      <c r="G123" s="487"/>
      <c r="H123" s="487"/>
      <c r="I123" s="487"/>
      <c r="J123" s="487"/>
      <c r="K123" s="487"/>
      <c r="L123" s="487"/>
      <c r="M123" s="487"/>
      <c r="N123" s="487"/>
      <c r="O123" s="487"/>
      <c r="P123" s="487"/>
      <c r="Q123" s="487"/>
      <c r="R123" s="487"/>
      <c r="S123" s="487"/>
      <c r="T123" s="487"/>
      <c r="U123" s="487"/>
      <c r="V123" s="487"/>
    </row>
    <row r="124" ht="23.25" customHeight="1">
      <c r="A124" s="487"/>
      <c r="B124" s="487"/>
      <c r="C124" s="487"/>
      <c r="D124" s="487"/>
      <c r="E124" s="487"/>
      <c r="F124" s="487"/>
      <c r="G124" s="487"/>
      <c r="H124" s="487"/>
      <c r="I124" s="487"/>
      <c r="J124" s="487"/>
      <c r="K124" s="487"/>
      <c r="L124" s="487"/>
      <c r="M124" s="487"/>
      <c r="N124" s="487"/>
      <c r="O124" s="487"/>
      <c r="P124" s="487"/>
      <c r="Q124" s="487"/>
      <c r="R124" s="487"/>
      <c r="S124" s="487"/>
      <c r="T124" s="487"/>
      <c r="U124" s="487"/>
      <c r="V124" s="487"/>
    </row>
    <row r="125" ht="23.25" customHeight="1">
      <c r="A125" s="487"/>
      <c r="B125" s="487"/>
      <c r="C125" s="487"/>
      <c r="D125" s="487"/>
      <c r="E125" s="487"/>
      <c r="F125" s="487"/>
      <c r="G125" s="487"/>
      <c r="H125" s="487"/>
      <c r="I125" s="487"/>
      <c r="J125" s="487"/>
      <c r="K125" s="487"/>
      <c r="L125" s="487"/>
      <c r="M125" s="487"/>
      <c r="N125" s="487"/>
      <c r="O125" s="487"/>
      <c r="P125" s="487"/>
      <c r="Q125" s="487"/>
      <c r="R125" s="487"/>
      <c r="S125" s="487"/>
      <c r="T125" s="487"/>
      <c r="U125" s="487"/>
      <c r="V125" s="487"/>
    </row>
    <row r="126" ht="23.25" customHeight="1">
      <c r="A126" s="487"/>
      <c r="B126" s="487"/>
      <c r="C126" s="487"/>
      <c r="D126" s="487"/>
      <c r="E126" s="487"/>
      <c r="F126" s="487"/>
      <c r="G126" s="487"/>
      <c r="H126" s="487"/>
      <c r="I126" s="487"/>
      <c r="J126" s="487"/>
      <c r="K126" s="487"/>
      <c r="L126" s="487"/>
      <c r="M126" s="487"/>
      <c r="N126" s="487"/>
      <c r="O126" s="487"/>
      <c r="P126" s="487"/>
      <c r="Q126" s="487"/>
      <c r="R126" s="487"/>
      <c r="S126" s="487"/>
      <c r="T126" s="487"/>
      <c r="U126" s="487"/>
      <c r="V126" s="487"/>
    </row>
    <row r="127" ht="23.25" customHeight="1">
      <c r="A127" s="487"/>
      <c r="B127" s="487"/>
      <c r="C127" s="487"/>
      <c r="D127" s="487"/>
      <c r="E127" s="487"/>
      <c r="F127" s="487"/>
      <c r="G127" s="487"/>
      <c r="H127" s="487"/>
      <c r="I127" s="487"/>
      <c r="J127" s="487"/>
      <c r="K127" s="487"/>
      <c r="L127" s="487"/>
      <c r="M127" s="487"/>
      <c r="N127" s="487"/>
      <c r="O127" s="487"/>
      <c r="P127" s="487"/>
      <c r="Q127" s="487"/>
      <c r="R127" s="487"/>
      <c r="S127" s="487"/>
      <c r="T127" s="487"/>
      <c r="U127" s="487"/>
      <c r="V127" s="487"/>
    </row>
    <row r="128" ht="23.25" customHeight="1">
      <c r="A128" s="487"/>
      <c r="B128" s="487"/>
      <c r="C128" s="487"/>
      <c r="D128" s="487"/>
      <c r="E128" s="487"/>
      <c r="F128" s="487"/>
      <c r="G128" s="487"/>
      <c r="H128" s="487"/>
      <c r="I128" s="487"/>
      <c r="J128" s="487"/>
      <c r="K128" s="487"/>
      <c r="L128" s="487"/>
      <c r="M128" s="487"/>
      <c r="N128" s="487"/>
      <c r="O128" s="487"/>
      <c r="P128" s="487"/>
      <c r="Q128" s="487"/>
      <c r="R128" s="487"/>
      <c r="S128" s="487"/>
      <c r="T128" s="487"/>
      <c r="U128" s="487"/>
      <c r="V128" s="487"/>
    </row>
    <row r="129" ht="23.25" customHeight="1">
      <c r="A129" s="487"/>
      <c r="B129" s="487"/>
      <c r="C129" s="487"/>
      <c r="D129" s="487"/>
      <c r="E129" s="487"/>
      <c r="F129" s="487"/>
      <c r="G129" s="487"/>
      <c r="H129" s="487"/>
      <c r="I129" s="487"/>
      <c r="J129" s="487"/>
      <c r="K129" s="487"/>
      <c r="L129" s="487"/>
      <c r="M129" s="487"/>
      <c r="N129" s="487"/>
      <c r="O129" s="487"/>
      <c r="P129" s="487"/>
      <c r="Q129" s="487"/>
      <c r="R129" s="487"/>
      <c r="S129" s="487"/>
      <c r="T129" s="487"/>
      <c r="U129" s="487"/>
      <c r="V129" s="487"/>
    </row>
    <row r="130" ht="23.25" customHeight="1">
      <c r="A130" s="487"/>
      <c r="B130" s="487"/>
      <c r="C130" s="487"/>
      <c r="D130" s="487"/>
      <c r="E130" s="487"/>
      <c r="F130" s="487"/>
      <c r="G130" s="487"/>
      <c r="H130" s="487"/>
      <c r="I130" s="487"/>
      <c r="J130" s="487"/>
      <c r="K130" s="487"/>
      <c r="L130" s="487"/>
      <c r="M130" s="487"/>
      <c r="N130" s="487"/>
      <c r="O130" s="487"/>
      <c r="P130" s="487"/>
      <c r="Q130" s="487"/>
      <c r="R130" s="487"/>
      <c r="S130" s="487"/>
      <c r="T130" s="487"/>
      <c r="U130" s="487"/>
      <c r="V130" s="487"/>
    </row>
    <row r="131" ht="23.25" customHeight="1">
      <c r="A131" s="487"/>
      <c r="B131" s="487"/>
      <c r="C131" s="487"/>
      <c r="D131" s="487"/>
      <c r="E131" s="487"/>
      <c r="F131" s="487"/>
      <c r="G131" s="487"/>
      <c r="H131" s="487"/>
      <c r="I131" s="487"/>
      <c r="J131" s="487"/>
      <c r="K131" s="487"/>
      <c r="L131" s="487"/>
      <c r="M131" s="487"/>
      <c r="N131" s="487"/>
      <c r="O131" s="487"/>
      <c r="P131" s="487"/>
      <c r="Q131" s="487"/>
      <c r="R131" s="487"/>
      <c r="S131" s="487"/>
      <c r="T131" s="487"/>
      <c r="U131" s="487"/>
      <c r="V131" s="487"/>
    </row>
    <row r="132" ht="23.25" customHeight="1">
      <c r="A132" s="487"/>
      <c r="B132" s="487"/>
      <c r="C132" s="487"/>
      <c r="D132" s="487"/>
      <c r="E132" s="487"/>
      <c r="F132" s="487"/>
      <c r="G132" s="487"/>
      <c r="H132" s="487"/>
      <c r="I132" s="487"/>
      <c r="J132" s="487"/>
      <c r="K132" s="487"/>
      <c r="L132" s="487"/>
      <c r="M132" s="487"/>
      <c r="N132" s="487"/>
      <c r="O132" s="487"/>
      <c r="P132" s="487"/>
      <c r="Q132" s="487"/>
      <c r="R132" s="487"/>
      <c r="S132" s="487"/>
      <c r="T132" s="487"/>
      <c r="U132" s="487"/>
      <c r="V132" s="487"/>
    </row>
    <row r="133" ht="23.25" customHeight="1">
      <c r="A133" s="487"/>
      <c r="B133" s="487"/>
      <c r="C133" s="487"/>
      <c r="D133" s="487"/>
      <c r="E133" s="487"/>
      <c r="F133" s="487"/>
      <c r="G133" s="487"/>
      <c r="H133" s="487"/>
      <c r="I133" s="487"/>
      <c r="J133" s="487"/>
      <c r="K133" s="487"/>
      <c r="L133" s="487"/>
      <c r="M133" s="487"/>
      <c r="N133" s="487"/>
      <c r="O133" s="487"/>
      <c r="P133" s="487"/>
      <c r="Q133" s="487"/>
      <c r="R133" s="487"/>
      <c r="S133" s="487"/>
      <c r="T133" s="487"/>
      <c r="U133" s="487"/>
      <c r="V133" s="487"/>
    </row>
    <row r="134" ht="23.25" customHeight="1">
      <c r="A134" s="487"/>
      <c r="B134" s="487"/>
      <c r="C134" s="487"/>
      <c r="D134" s="487"/>
      <c r="E134" s="487"/>
      <c r="F134" s="487"/>
      <c r="G134" s="487"/>
      <c r="H134" s="487"/>
      <c r="I134" s="487"/>
      <c r="J134" s="487"/>
      <c r="K134" s="487"/>
      <c r="L134" s="487"/>
      <c r="M134" s="487"/>
      <c r="N134" s="487"/>
      <c r="O134" s="487"/>
      <c r="P134" s="487"/>
      <c r="Q134" s="487"/>
      <c r="R134" s="487"/>
      <c r="S134" s="487"/>
      <c r="T134" s="487"/>
      <c r="U134" s="487"/>
      <c r="V134" s="487"/>
    </row>
    <row r="135" ht="23.25" customHeight="1">
      <c r="A135" s="487"/>
      <c r="B135" s="487"/>
      <c r="C135" s="487"/>
      <c r="D135" s="487"/>
      <c r="E135" s="487"/>
      <c r="F135" s="487"/>
      <c r="G135" s="487"/>
      <c r="H135" s="487"/>
      <c r="I135" s="487"/>
      <c r="J135" s="487"/>
      <c r="K135" s="487"/>
      <c r="L135" s="487"/>
      <c r="M135" s="487"/>
      <c r="N135" s="487"/>
      <c r="O135" s="487"/>
      <c r="P135" s="487"/>
      <c r="Q135" s="487"/>
      <c r="R135" s="487"/>
      <c r="S135" s="487"/>
      <c r="T135" s="487"/>
      <c r="U135" s="487"/>
      <c r="V135" s="487"/>
    </row>
    <row r="136" ht="23.25" customHeight="1">
      <c r="A136" s="487"/>
      <c r="B136" s="487"/>
      <c r="C136" s="487"/>
      <c r="D136" s="487"/>
      <c r="E136" s="487"/>
      <c r="F136" s="487"/>
      <c r="G136" s="487"/>
      <c r="H136" s="487"/>
      <c r="I136" s="487"/>
      <c r="J136" s="487"/>
      <c r="K136" s="487"/>
      <c r="L136" s="487"/>
      <c r="M136" s="487"/>
      <c r="N136" s="487"/>
      <c r="O136" s="487"/>
      <c r="P136" s="487"/>
      <c r="Q136" s="487"/>
      <c r="R136" s="487"/>
      <c r="S136" s="487"/>
      <c r="T136" s="487"/>
      <c r="U136" s="487"/>
      <c r="V136" s="487"/>
    </row>
    <row r="137" ht="23.25" customHeight="1">
      <c r="A137" s="487"/>
      <c r="B137" s="487"/>
      <c r="C137" s="487"/>
      <c r="D137" s="487"/>
      <c r="E137" s="487"/>
      <c r="F137" s="487"/>
      <c r="G137" s="487"/>
      <c r="H137" s="487"/>
      <c r="I137" s="487"/>
      <c r="J137" s="487"/>
      <c r="K137" s="487"/>
      <c r="L137" s="487"/>
      <c r="M137" s="487"/>
      <c r="N137" s="487"/>
      <c r="O137" s="487"/>
      <c r="P137" s="487"/>
      <c r="Q137" s="487"/>
      <c r="R137" s="487"/>
      <c r="S137" s="487"/>
      <c r="T137" s="487"/>
      <c r="U137" s="487"/>
      <c r="V137" s="487"/>
    </row>
    <row r="138" ht="23.25" customHeight="1">
      <c r="A138" s="487"/>
      <c r="B138" s="487"/>
      <c r="C138" s="487"/>
      <c r="D138" s="487"/>
      <c r="E138" s="487"/>
      <c r="F138" s="487"/>
      <c r="G138" s="487"/>
      <c r="H138" s="487"/>
      <c r="I138" s="487"/>
      <c r="J138" s="487"/>
      <c r="K138" s="487"/>
      <c r="L138" s="487"/>
      <c r="M138" s="487"/>
      <c r="N138" s="487"/>
      <c r="O138" s="487"/>
      <c r="P138" s="487"/>
      <c r="Q138" s="487"/>
      <c r="R138" s="487"/>
      <c r="S138" s="487"/>
      <c r="T138" s="487"/>
      <c r="U138" s="487"/>
      <c r="V138" s="487"/>
    </row>
    <row r="139" ht="23.25" customHeight="1">
      <c r="A139" s="487"/>
      <c r="B139" s="487"/>
      <c r="C139" s="487"/>
      <c r="D139" s="487"/>
      <c r="E139" s="487"/>
      <c r="F139" s="487"/>
      <c r="G139" s="487"/>
      <c r="H139" s="487"/>
      <c r="I139" s="487"/>
      <c r="J139" s="487"/>
      <c r="K139" s="487"/>
      <c r="L139" s="487"/>
      <c r="M139" s="487"/>
      <c r="N139" s="487"/>
      <c r="O139" s="487"/>
      <c r="P139" s="487"/>
      <c r="Q139" s="487"/>
      <c r="R139" s="487"/>
      <c r="S139" s="487"/>
      <c r="T139" s="487"/>
      <c r="U139" s="487"/>
      <c r="V139" s="487"/>
    </row>
    <row r="140" ht="23.25" customHeight="1">
      <c r="A140" s="487"/>
      <c r="B140" s="487"/>
      <c r="C140" s="487"/>
      <c r="D140" s="487"/>
      <c r="E140" s="487"/>
      <c r="F140" s="487"/>
      <c r="G140" s="487"/>
      <c r="H140" s="487"/>
      <c r="I140" s="487"/>
      <c r="J140" s="487"/>
      <c r="K140" s="487"/>
      <c r="L140" s="487"/>
      <c r="M140" s="487"/>
      <c r="N140" s="487"/>
      <c r="O140" s="487"/>
      <c r="P140" s="487"/>
      <c r="Q140" s="487"/>
      <c r="R140" s="487"/>
      <c r="S140" s="487"/>
      <c r="T140" s="487"/>
      <c r="U140" s="487"/>
      <c r="V140" s="487"/>
    </row>
    <row r="141" ht="23.25" customHeight="1">
      <c r="A141" s="487"/>
      <c r="B141" s="487"/>
      <c r="C141" s="487"/>
      <c r="D141" s="487"/>
      <c r="E141" s="487"/>
      <c r="F141" s="487"/>
      <c r="G141" s="487"/>
      <c r="H141" s="487"/>
      <c r="I141" s="487"/>
      <c r="J141" s="487"/>
      <c r="K141" s="487"/>
      <c r="L141" s="487"/>
      <c r="M141" s="487"/>
      <c r="N141" s="487"/>
      <c r="O141" s="487"/>
      <c r="P141" s="487"/>
      <c r="Q141" s="487"/>
      <c r="R141" s="487"/>
      <c r="S141" s="487"/>
      <c r="T141" s="487"/>
      <c r="U141" s="487"/>
      <c r="V141" s="487"/>
    </row>
    <row r="142" ht="23.25" customHeight="1">
      <c r="A142" s="487"/>
      <c r="B142" s="487"/>
      <c r="C142" s="487"/>
      <c r="D142" s="487"/>
      <c r="E142" s="487"/>
      <c r="F142" s="487"/>
      <c r="G142" s="487"/>
      <c r="H142" s="487"/>
      <c r="I142" s="487"/>
      <c r="J142" s="487"/>
      <c r="K142" s="487"/>
      <c r="L142" s="487"/>
      <c r="M142" s="487"/>
      <c r="N142" s="487"/>
      <c r="O142" s="487"/>
      <c r="P142" s="487"/>
      <c r="Q142" s="487"/>
      <c r="R142" s="487"/>
      <c r="S142" s="487"/>
      <c r="T142" s="487"/>
      <c r="U142" s="487"/>
      <c r="V142" s="487"/>
    </row>
    <row r="143" ht="23.25" customHeight="1">
      <c r="A143" s="487"/>
      <c r="B143" s="487"/>
      <c r="C143" s="487"/>
      <c r="D143" s="487"/>
      <c r="E143" s="487"/>
      <c r="F143" s="487"/>
      <c r="G143" s="487"/>
      <c r="H143" s="487"/>
      <c r="I143" s="487"/>
      <c r="J143" s="487"/>
      <c r="K143" s="487"/>
      <c r="L143" s="487"/>
      <c r="M143" s="487"/>
      <c r="N143" s="487"/>
      <c r="O143" s="487"/>
      <c r="P143" s="487"/>
      <c r="Q143" s="487"/>
      <c r="R143" s="487"/>
      <c r="S143" s="487"/>
      <c r="T143" s="487"/>
      <c r="U143" s="487"/>
      <c r="V143" s="487"/>
    </row>
    <row r="144" ht="23.25" customHeight="1">
      <c r="A144" s="487"/>
      <c r="B144" s="487"/>
      <c r="C144" s="487"/>
      <c r="D144" s="487"/>
      <c r="E144" s="487"/>
      <c r="F144" s="487"/>
      <c r="G144" s="487"/>
      <c r="H144" s="487"/>
      <c r="I144" s="487"/>
      <c r="J144" s="487"/>
      <c r="K144" s="487"/>
      <c r="L144" s="487"/>
      <c r="M144" s="487"/>
      <c r="N144" s="487"/>
      <c r="O144" s="487"/>
      <c r="P144" s="487"/>
      <c r="Q144" s="487"/>
      <c r="R144" s="487"/>
      <c r="S144" s="487"/>
      <c r="T144" s="487"/>
      <c r="U144" s="487"/>
      <c r="V144" s="487"/>
    </row>
    <row r="145" ht="23.25" customHeight="1">
      <c r="A145" s="487"/>
      <c r="B145" s="487"/>
      <c r="C145" s="487"/>
      <c r="D145" s="487"/>
      <c r="E145" s="487"/>
      <c r="F145" s="487"/>
      <c r="G145" s="487"/>
      <c r="H145" s="487"/>
      <c r="I145" s="487"/>
      <c r="J145" s="487"/>
      <c r="K145" s="487"/>
      <c r="L145" s="487"/>
      <c r="M145" s="487"/>
      <c r="N145" s="487"/>
      <c r="O145" s="487"/>
      <c r="P145" s="487"/>
      <c r="Q145" s="487"/>
      <c r="R145" s="487"/>
      <c r="S145" s="487"/>
      <c r="T145" s="487"/>
      <c r="U145" s="487"/>
      <c r="V145" s="487"/>
    </row>
    <row r="146" ht="23.25" customHeight="1">
      <c r="A146" s="487"/>
      <c r="B146" s="487"/>
      <c r="C146" s="487"/>
      <c r="D146" s="487"/>
      <c r="E146" s="487"/>
      <c r="F146" s="487"/>
      <c r="G146" s="487"/>
      <c r="H146" s="487"/>
      <c r="I146" s="487"/>
      <c r="J146" s="487"/>
      <c r="K146" s="487"/>
      <c r="L146" s="487"/>
      <c r="M146" s="487"/>
      <c r="N146" s="487"/>
      <c r="O146" s="487"/>
      <c r="P146" s="487"/>
      <c r="Q146" s="487"/>
      <c r="R146" s="487"/>
      <c r="S146" s="487"/>
      <c r="T146" s="487"/>
      <c r="U146" s="487"/>
      <c r="V146" s="487"/>
    </row>
    <row r="147" ht="23.25" customHeight="1">
      <c r="A147" s="487"/>
      <c r="B147" s="487"/>
      <c r="C147" s="487"/>
      <c r="D147" s="487"/>
      <c r="E147" s="487"/>
      <c r="F147" s="487"/>
      <c r="G147" s="487"/>
      <c r="H147" s="487"/>
      <c r="I147" s="487"/>
      <c r="J147" s="487"/>
      <c r="K147" s="487"/>
      <c r="L147" s="487"/>
      <c r="M147" s="487"/>
      <c r="N147" s="487"/>
      <c r="O147" s="487"/>
      <c r="P147" s="487"/>
      <c r="Q147" s="487"/>
      <c r="R147" s="487"/>
      <c r="S147" s="487"/>
      <c r="T147" s="487"/>
      <c r="U147" s="487"/>
      <c r="V147" s="487"/>
    </row>
    <row r="148" ht="23.25" customHeight="1">
      <c r="A148" s="487"/>
      <c r="B148" s="487"/>
      <c r="C148" s="487"/>
      <c r="D148" s="487"/>
      <c r="E148" s="487"/>
      <c r="F148" s="487"/>
      <c r="G148" s="487"/>
      <c r="H148" s="487"/>
      <c r="I148" s="487"/>
      <c r="J148" s="487"/>
      <c r="K148" s="487"/>
      <c r="L148" s="487"/>
      <c r="M148" s="487"/>
      <c r="N148" s="487"/>
      <c r="O148" s="487"/>
      <c r="P148" s="487"/>
      <c r="Q148" s="487"/>
      <c r="R148" s="487"/>
      <c r="S148" s="487"/>
      <c r="T148" s="487"/>
      <c r="U148" s="487"/>
      <c r="V148" s="487"/>
    </row>
    <row r="149" ht="23.25" customHeight="1">
      <c r="A149" s="487"/>
      <c r="B149" s="487"/>
      <c r="C149" s="487"/>
      <c r="D149" s="487"/>
      <c r="E149" s="487"/>
      <c r="F149" s="487"/>
      <c r="G149" s="487"/>
      <c r="H149" s="487"/>
      <c r="I149" s="487"/>
      <c r="J149" s="487"/>
      <c r="K149" s="487"/>
      <c r="L149" s="487"/>
      <c r="M149" s="487"/>
      <c r="N149" s="487"/>
      <c r="O149" s="487"/>
      <c r="P149" s="487"/>
      <c r="Q149" s="487"/>
      <c r="R149" s="487"/>
      <c r="S149" s="487"/>
      <c r="T149" s="487"/>
      <c r="U149" s="487"/>
      <c r="V149" s="487"/>
    </row>
    <row r="150" ht="23.25" customHeight="1">
      <c r="A150" s="487"/>
      <c r="B150" s="487"/>
      <c r="C150" s="487"/>
      <c r="D150" s="487"/>
      <c r="E150" s="487"/>
      <c r="F150" s="487"/>
      <c r="G150" s="487"/>
      <c r="H150" s="487"/>
      <c r="I150" s="487"/>
      <c r="J150" s="487"/>
      <c r="K150" s="487"/>
      <c r="L150" s="487"/>
      <c r="M150" s="487"/>
      <c r="N150" s="487"/>
      <c r="O150" s="487"/>
      <c r="P150" s="487"/>
      <c r="Q150" s="487"/>
      <c r="R150" s="487"/>
      <c r="S150" s="487"/>
      <c r="T150" s="487"/>
      <c r="U150" s="487"/>
      <c r="V150" s="487"/>
    </row>
    <row r="151" ht="23.25" customHeight="1">
      <c r="A151" s="487"/>
      <c r="B151" s="487"/>
      <c r="C151" s="487"/>
      <c r="D151" s="487"/>
      <c r="E151" s="487"/>
      <c r="F151" s="487"/>
      <c r="G151" s="487"/>
      <c r="H151" s="487"/>
      <c r="I151" s="487"/>
      <c r="J151" s="487"/>
      <c r="K151" s="487"/>
      <c r="L151" s="487"/>
      <c r="M151" s="487"/>
      <c r="N151" s="487"/>
      <c r="O151" s="487"/>
      <c r="P151" s="487"/>
      <c r="Q151" s="487"/>
      <c r="R151" s="487"/>
      <c r="S151" s="487"/>
      <c r="T151" s="487"/>
      <c r="U151" s="487"/>
      <c r="V151" s="487"/>
    </row>
    <row r="152" ht="23.25" customHeight="1">
      <c r="A152" s="487"/>
      <c r="B152" s="487"/>
      <c r="C152" s="487"/>
      <c r="D152" s="487"/>
      <c r="E152" s="487"/>
      <c r="F152" s="487"/>
      <c r="G152" s="487"/>
      <c r="H152" s="487"/>
      <c r="I152" s="487"/>
      <c r="J152" s="487"/>
      <c r="K152" s="487"/>
      <c r="L152" s="487"/>
      <c r="M152" s="487"/>
      <c r="N152" s="487"/>
      <c r="O152" s="487"/>
      <c r="P152" s="487"/>
      <c r="Q152" s="487"/>
      <c r="R152" s="487"/>
      <c r="S152" s="487"/>
      <c r="T152" s="487"/>
      <c r="U152" s="487"/>
      <c r="V152" s="487"/>
    </row>
    <row r="153" ht="23.25" customHeight="1">
      <c r="A153" s="487"/>
      <c r="B153" s="487"/>
      <c r="C153" s="487"/>
      <c r="D153" s="487"/>
      <c r="E153" s="487"/>
      <c r="F153" s="487"/>
      <c r="G153" s="487"/>
      <c r="H153" s="487"/>
      <c r="I153" s="487"/>
      <c r="J153" s="487"/>
      <c r="K153" s="487"/>
      <c r="L153" s="487"/>
      <c r="M153" s="487"/>
      <c r="N153" s="487"/>
      <c r="O153" s="487"/>
      <c r="P153" s="487"/>
      <c r="Q153" s="487"/>
      <c r="R153" s="487"/>
      <c r="S153" s="487"/>
      <c r="T153" s="487"/>
      <c r="U153" s="487"/>
      <c r="V153" s="487"/>
    </row>
    <row r="154" ht="23.25" customHeight="1">
      <c r="A154" s="487"/>
      <c r="B154" s="487"/>
      <c r="C154" s="487"/>
      <c r="D154" s="487"/>
      <c r="E154" s="487"/>
      <c r="F154" s="487"/>
      <c r="G154" s="487"/>
      <c r="H154" s="487"/>
      <c r="I154" s="487"/>
      <c r="J154" s="487"/>
      <c r="K154" s="487"/>
      <c r="L154" s="487"/>
      <c r="M154" s="487"/>
      <c r="N154" s="487"/>
      <c r="O154" s="487"/>
      <c r="P154" s="487"/>
      <c r="Q154" s="487"/>
      <c r="R154" s="487"/>
      <c r="S154" s="487"/>
      <c r="T154" s="487"/>
      <c r="U154" s="487"/>
      <c r="V154" s="487"/>
    </row>
    <row r="155" ht="23.25" customHeight="1">
      <c r="A155" s="487"/>
      <c r="B155" s="487"/>
      <c r="C155" s="487"/>
      <c r="D155" s="487"/>
      <c r="E155" s="487"/>
      <c r="F155" s="487"/>
      <c r="G155" s="487"/>
      <c r="H155" s="487"/>
      <c r="I155" s="487"/>
      <c r="J155" s="487"/>
      <c r="K155" s="487"/>
      <c r="L155" s="487"/>
      <c r="M155" s="487"/>
      <c r="N155" s="487"/>
      <c r="O155" s="487"/>
      <c r="P155" s="487"/>
      <c r="Q155" s="487"/>
      <c r="R155" s="487"/>
      <c r="S155" s="487"/>
      <c r="T155" s="487"/>
      <c r="U155" s="487"/>
      <c r="V155" s="487"/>
    </row>
    <row r="156" ht="23.25" customHeight="1">
      <c r="A156" s="487"/>
      <c r="B156" s="487"/>
      <c r="C156" s="487"/>
      <c r="D156" s="487"/>
      <c r="E156" s="487"/>
      <c r="F156" s="487"/>
      <c r="G156" s="487"/>
      <c r="H156" s="487"/>
      <c r="I156" s="487"/>
      <c r="J156" s="487"/>
      <c r="K156" s="487"/>
      <c r="L156" s="487"/>
      <c r="M156" s="487"/>
      <c r="N156" s="487"/>
      <c r="O156" s="487"/>
      <c r="P156" s="487"/>
      <c r="Q156" s="487"/>
      <c r="R156" s="487"/>
      <c r="S156" s="487"/>
      <c r="T156" s="487"/>
      <c r="U156" s="487"/>
      <c r="V156" s="487"/>
    </row>
    <row r="157" ht="23.25" customHeight="1">
      <c r="A157" s="487"/>
      <c r="B157" s="487"/>
      <c r="C157" s="487"/>
      <c r="D157" s="487"/>
      <c r="E157" s="487"/>
      <c r="F157" s="487"/>
      <c r="G157" s="487"/>
      <c r="H157" s="487"/>
      <c r="I157" s="487"/>
      <c r="J157" s="487"/>
      <c r="K157" s="487"/>
      <c r="L157" s="487"/>
      <c r="M157" s="487"/>
      <c r="N157" s="487"/>
      <c r="O157" s="487"/>
      <c r="P157" s="487"/>
      <c r="Q157" s="487"/>
      <c r="R157" s="487"/>
      <c r="S157" s="487"/>
      <c r="T157" s="487"/>
      <c r="U157" s="487"/>
      <c r="V157" s="487"/>
    </row>
    <row r="158" ht="23.25" customHeight="1">
      <c r="A158" s="487"/>
      <c r="B158" s="487"/>
      <c r="C158" s="487"/>
      <c r="D158" s="487"/>
      <c r="E158" s="487"/>
      <c r="F158" s="487"/>
      <c r="G158" s="487"/>
      <c r="H158" s="487"/>
      <c r="I158" s="487"/>
      <c r="J158" s="487"/>
      <c r="K158" s="487"/>
      <c r="L158" s="487"/>
      <c r="M158" s="487"/>
      <c r="N158" s="487"/>
      <c r="O158" s="487"/>
      <c r="P158" s="487"/>
      <c r="Q158" s="487"/>
      <c r="R158" s="487"/>
      <c r="S158" s="487"/>
      <c r="T158" s="487"/>
      <c r="U158" s="487"/>
      <c r="V158" s="487"/>
    </row>
    <row r="159" ht="23.25" customHeight="1">
      <c r="A159" s="487"/>
      <c r="B159" s="487"/>
      <c r="C159" s="487"/>
      <c r="D159" s="487"/>
      <c r="E159" s="487"/>
      <c r="F159" s="487"/>
      <c r="G159" s="487"/>
      <c r="H159" s="487"/>
      <c r="I159" s="487"/>
      <c r="J159" s="487"/>
      <c r="K159" s="487"/>
      <c r="L159" s="487"/>
      <c r="M159" s="487"/>
      <c r="N159" s="487"/>
      <c r="O159" s="487"/>
      <c r="P159" s="487"/>
      <c r="Q159" s="487"/>
      <c r="R159" s="487"/>
      <c r="S159" s="487"/>
      <c r="T159" s="487"/>
      <c r="U159" s="487"/>
      <c r="V159" s="487"/>
    </row>
    <row r="160" ht="23.25" customHeight="1">
      <c r="A160" s="487"/>
      <c r="B160" s="487"/>
      <c r="C160" s="487"/>
      <c r="D160" s="487"/>
      <c r="E160" s="487"/>
      <c r="F160" s="487"/>
      <c r="G160" s="487"/>
      <c r="H160" s="487"/>
      <c r="I160" s="487"/>
      <c r="J160" s="487"/>
      <c r="K160" s="487"/>
      <c r="L160" s="487"/>
      <c r="M160" s="487"/>
      <c r="N160" s="487"/>
      <c r="O160" s="487"/>
      <c r="P160" s="487"/>
      <c r="Q160" s="487"/>
      <c r="R160" s="487"/>
      <c r="S160" s="487"/>
      <c r="T160" s="487"/>
      <c r="U160" s="487"/>
      <c r="V160" s="487"/>
    </row>
    <row r="161" ht="23.25" customHeight="1">
      <c r="A161" s="487"/>
      <c r="B161" s="487"/>
      <c r="C161" s="487"/>
      <c r="D161" s="487"/>
      <c r="E161" s="487"/>
      <c r="F161" s="487"/>
      <c r="G161" s="487"/>
      <c r="H161" s="487"/>
      <c r="I161" s="487"/>
      <c r="J161" s="487"/>
      <c r="K161" s="487"/>
      <c r="L161" s="487"/>
      <c r="M161" s="487"/>
      <c r="N161" s="487"/>
      <c r="O161" s="487"/>
      <c r="P161" s="487"/>
      <c r="Q161" s="487"/>
      <c r="R161" s="487"/>
      <c r="S161" s="487"/>
      <c r="T161" s="487"/>
      <c r="U161" s="487"/>
      <c r="V161" s="487"/>
    </row>
    <row r="162" ht="23.25" customHeight="1">
      <c r="A162" s="487"/>
      <c r="B162" s="487"/>
      <c r="C162" s="487"/>
      <c r="D162" s="487"/>
      <c r="E162" s="487"/>
      <c r="F162" s="487"/>
      <c r="G162" s="487"/>
      <c r="H162" s="487"/>
      <c r="I162" s="487"/>
      <c r="J162" s="487"/>
      <c r="K162" s="487"/>
      <c r="L162" s="487"/>
      <c r="M162" s="487"/>
      <c r="N162" s="487"/>
      <c r="O162" s="487"/>
      <c r="P162" s="487"/>
      <c r="Q162" s="487"/>
      <c r="R162" s="487"/>
      <c r="S162" s="487"/>
      <c r="T162" s="487"/>
      <c r="U162" s="487"/>
      <c r="V162" s="487"/>
    </row>
    <row r="163" ht="23.25" customHeight="1">
      <c r="A163" s="487"/>
      <c r="B163" s="487"/>
      <c r="C163" s="487"/>
      <c r="D163" s="487"/>
      <c r="E163" s="487"/>
      <c r="F163" s="487"/>
      <c r="G163" s="487"/>
      <c r="H163" s="487"/>
      <c r="I163" s="487"/>
      <c r="J163" s="487"/>
      <c r="K163" s="487"/>
      <c r="L163" s="487"/>
      <c r="M163" s="487"/>
      <c r="N163" s="487"/>
      <c r="O163" s="487"/>
      <c r="P163" s="487"/>
      <c r="Q163" s="487"/>
      <c r="R163" s="487"/>
      <c r="S163" s="487"/>
      <c r="T163" s="487"/>
      <c r="U163" s="487"/>
      <c r="V163" s="487"/>
    </row>
    <row r="164" ht="23.25" customHeight="1">
      <c r="A164" s="487"/>
      <c r="B164" s="487"/>
      <c r="C164" s="487"/>
      <c r="D164" s="487"/>
      <c r="E164" s="487"/>
      <c r="F164" s="487"/>
      <c r="G164" s="487"/>
      <c r="H164" s="487"/>
      <c r="I164" s="487"/>
      <c r="J164" s="487"/>
      <c r="K164" s="487"/>
      <c r="L164" s="487"/>
      <c r="M164" s="487"/>
      <c r="N164" s="487"/>
      <c r="O164" s="487"/>
      <c r="P164" s="487"/>
      <c r="Q164" s="487"/>
      <c r="R164" s="487"/>
      <c r="S164" s="487"/>
      <c r="T164" s="487"/>
      <c r="U164" s="487"/>
      <c r="V164" s="487"/>
    </row>
    <row r="165" ht="23.25" customHeight="1">
      <c r="A165" s="487"/>
      <c r="B165" s="487"/>
      <c r="C165" s="487"/>
      <c r="D165" s="487"/>
      <c r="E165" s="487"/>
      <c r="F165" s="487"/>
      <c r="G165" s="487"/>
      <c r="H165" s="487"/>
      <c r="I165" s="487"/>
      <c r="J165" s="487"/>
      <c r="K165" s="487"/>
      <c r="L165" s="487"/>
      <c r="M165" s="487"/>
      <c r="N165" s="487"/>
      <c r="O165" s="487"/>
      <c r="P165" s="487"/>
      <c r="Q165" s="487"/>
      <c r="R165" s="487"/>
      <c r="S165" s="487"/>
      <c r="T165" s="487"/>
      <c r="U165" s="487"/>
      <c r="V165" s="487"/>
    </row>
    <row r="166" ht="23.25" customHeight="1">
      <c r="A166" s="487"/>
      <c r="B166" s="487"/>
      <c r="C166" s="487"/>
      <c r="D166" s="487"/>
      <c r="E166" s="487"/>
      <c r="F166" s="487"/>
      <c r="G166" s="487"/>
      <c r="H166" s="487"/>
      <c r="I166" s="487"/>
      <c r="J166" s="487"/>
      <c r="K166" s="487"/>
      <c r="L166" s="487"/>
      <c r="M166" s="487"/>
      <c r="N166" s="487"/>
      <c r="O166" s="487"/>
      <c r="P166" s="487"/>
      <c r="Q166" s="487"/>
      <c r="R166" s="487"/>
      <c r="S166" s="487"/>
      <c r="T166" s="487"/>
      <c r="U166" s="487"/>
      <c r="V166" s="487"/>
    </row>
    <row r="167" ht="23.25" customHeight="1">
      <c r="A167" s="487"/>
      <c r="B167" s="487"/>
      <c r="C167" s="487"/>
      <c r="D167" s="487"/>
      <c r="E167" s="487"/>
      <c r="F167" s="487"/>
      <c r="G167" s="487"/>
      <c r="H167" s="487"/>
      <c r="I167" s="487"/>
      <c r="J167" s="487"/>
      <c r="K167" s="487"/>
      <c r="L167" s="487"/>
      <c r="M167" s="487"/>
      <c r="N167" s="487"/>
      <c r="O167" s="487"/>
      <c r="P167" s="487"/>
      <c r="Q167" s="487"/>
      <c r="R167" s="487"/>
      <c r="S167" s="487"/>
      <c r="T167" s="487"/>
      <c r="U167" s="487"/>
      <c r="V167" s="487"/>
    </row>
    <row r="168" ht="23.25" customHeight="1">
      <c r="A168" s="487"/>
      <c r="B168" s="487"/>
      <c r="C168" s="487"/>
      <c r="D168" s="487"/>
      <c r="E168" s="487"/>
      <c r="F168" s="487"/>
      <c r="G168" s="487"/>
      <c r="H168" s="487"/>
      <c r="I168" s="487"/>
      <c r="J168" s="487"/>
      <c r="K168" s="487"/>
      <c r="L168" s="487"/>
      <c r="M168" s="487"/>
      <c r="N168" s="487"/>
      <c r="O168" s="487"/>
      <c r="P168" s="487"/>
      <c r="Q168" s="487"/>
      <c r="R168" s="487"/>
      <c r="S168" s="487"/>
      <c r="T168" s="487"/>
      <c r="U168" s="487"/>
      <c r="V168" s="487"/>
    </row>
    <row r="169" ht="23.25" customHeight="1">
      <c r="A169" s="487"/>
      <c r="B169" s="487"/>
      <c r="C169" s="487"/>
      <c r="D169" s="487"/>
      <c r="E169" s="487"/>
      <c r="F169" s="487"/>
      <c r="G169" s="487"/>
      <c r="H169" s="487"/>
      <c r="I169" s="487"/>
      <c r="J169" s="487"/>
      <c r="K169" s="487"/>
      <c r="L169" s="487"/>
      <c r="M169" s="487"/>
      <c r="N169" s="487"/>
      <c r="O169" s="487"/>
      <c r="P169" s="487"/>
      <c r="Q169" s="487"/>
      <c r="R169" s="487"/>
      <c r="S169" s="487"/>
      <c r="T169" s="487"/>
      <c r="U169" s="487"/>
      <c r="V169" s="487"/>
    </row>
    <row r="170" ht="23.25" customHeight="1">
      <c r="A170" s="487"/>
      <c r="B170" s="487"/>
      <c r="C170" s="487"/>
      <c r="D170" s="487"/>
      <c r="E170" s="487"/>
      <c r="F170" s="487"/>
      <c r="G170" s="487"/>
      <c r="H170" s="487"/>
      <c r="I170" s="487"/>
      <c r="J170" s="487"/>
      <c r="K170" s="487"/>
      <c r="L170" s="487"/>
      <c r="M170" s="487"/>
      <c r="N170" s="487"/>
      <c r="O170" s="487"/>
      <c r="P170" s="487"/>
      <c r="Q170" s="487"/>
      <c r="R170" s="487"/>
      <c r="S170" s="487"/>
      <c r="T170" s="487"/>
      <c r="U170" s="487"/>
      <c r="V170" s="487"/>
    </row>
    <row r="171" ht="23.25" customHeight="1">
      <c r="A171" s="487"/>
      <c r="B171" s="487"/>
      <c r="C171" s="487"/>
      <c r="D171" s="487"/>
      <c r="E171" s="487"/>
      <c r="F171" s="487"/>
      <c r="G171" s="487"/>
      <c r="H171" s="487"/>
      <c r="I171" s="487"/>
      <c r="J171" s="487"/>
      <c r="K171" s="487"/>
      <c r="L171" s="487"/>
      <c r="M171" s="487"/>
      <c r="N171" s="487"/>
      <c r="O171" s="487"/>
      <c r="P171" s="487"/>
      <c r="Q171" s="487"/>
      <c r="R171" s="487"/>
      <c r="S171" s="487"/>
      <c r="T171" s="487"/>
      <c r="U171" s="487"/>
      <c r="V171" s="487"/>
    </row>
    <row r="172" ht="23.25" customHeight="1">
      <c r="A172" s="487"/>
      <c r="B172" s="487"/>
      <c r="C172" s="487"/>
      <c r="D172" s="487"/>
      <c r="E172" s="487"/>
      <c r="F172" s="487"/>
      <c r="G172" s="487"/>
      <c r="H172" s="487"/>
      <c r="I172" s="487"/>
      <c r="J172" s="487"/>
      <c r="K172" s="487"/>
      <c r="L172" s="487"/>
      <c r="M172" s="487"/>
      <c r="N172" s="487"/>
      <c r="O172" s="487"/>
      <c r="P172" s="487"/>
      <c r="Q172" s="487"/>
      <c r="R172" s="487"/>
      <c r="S172" s="487"/>
      <c r="T172" s="487"/>
      <c r="U172" s="487"/>
      <c r="V172" s="487"/>
    </row>
    <row r="173" ht="23.25" customHeight="1">
      <c r="A173" s="487"/>
      <c r="B173" s="487"/>
      <c r="C173" s="487"/>
      <c r="D173" s="487"/>
      <c r="E173" s="487"/>
      <c r="F173" s="487"/>
      <c r="G173" s="487"/>
      <c r="H173" s="487"/>
      <c r="I173" s="487"/>
      <c r="J173" s="487"/>
      <c r="K173" s="487"/>
      <c r="L173" s="487"/>
      <c r="M173" s="487"/>
      <c r="N173" s="487"/>
      <c r="O173" s="487"/>
      <c r="P173" s="487"/>
      <c r="Q173" s="487"/>
      <c r="R173" s="487"/>
      <c r="S173" s="487"/>
      <c r="T173" s="487"/>
      <c r="U173" s="487"/>
      <c r="V173" s="487"/>
    </row>
    <row r="174" ht="23.25" customHeight="1">
      <c r="A174" s="487"/>
      <c r="B174" s="487"/>
      <c r="C174" s="487"/>
      <c r="D174" s="487"/>
      <c r="E174" s="487"/>
      <c r="F174" s="487"/>
      <c r="G174" s="487"/>
      <c r="H174" s="487"/>
      <c r="I174" s="487"/>
      <c r="J174" s="487"/>
      <c r="K174" s="487"/>
      <c r="L174" s="487"/>
      <c r="M174" s="487"/>
      <c r="N174" s="487"/>
      <c r="O174" s="487"/>
      <c r="P174" s="487"/>
      <c r="Q174" s="487"/>
      <c r="R174" s="487"/>
      <c r="S174" s="487"/>
      <c r="T174" s="487"/>
      <c r="U174" s="487"/>
      <c r="V174" s="487"/>
    </row>
    <row r="175" ht="23.25" customHeight="1">
      <c r="A175" s="487"/>
      <c r="B175" s="487"/>
      <c r="C175" s="487"/>
      <c r="D175" s="487"/>
      <c r="E175" s="487"/>
      <c r="F175" s="487"/>
      <c r="G175" s="487"/>
      <c r="H175" s="487"/>
      <c r="I175" s="487"/>
      <c r="J175" s="487"/>
      <c r="K175" s="487"/>
      <c r="L175" s="487"/>
      <c r="M175" s="487"/>
      <c r="N175" s="487"/>
      <c r="O175" s="487"/>
      <c r="P175" s="487"/>
      <c r="Q175" s="487"/>
      <c r="R175" s="487"/>
      <c r="S175" s="487"/>
      <c r="T175" s="487"/>
      <c r="U175" s="487"/>
      <c r="V175" s="487"/>
    </row>
    <row r="176" ht="23.25" customHeight="1">
      <c r="A176" s="487"/>
      <c r="B176" s="487"/>
      <c r="C176" s="487"/>
      <c r="D176" s="487"/>
      <c r="E176" s="487"/>
      <c r="F176" s="487"/>
      <c r="G176" s="487"/>
      <c r="H176" s="487"/>
      <c r="I176" s="487"/>
      <c r="J176" s="487"/>
      <c r="K176" s="487"/>
      <c r="L176" s="487"/>
      <c r="M176" s="487"/>
      <c r="N176" s="487"/>
      <c r="O176" s="487"/>
      <c r="P176" s="487"/>
      <c r="Q176" s="487"/>
      <c r="R176" s="487"/>
      <c r="S176" s="487"/>
      <c r="T176" s="487"/>
      <c r="U176" s="487"/>
      <c r="V176" s="487"/>
    </row>
    <row r="177" ht="23.25" customHeight="1">
      <c r="A177" s="487"/>
      <c r="B177" s="487"/>
      <c r="C177" s="487"/>
      <c r="D177" s="487"/>
      <c r="E177" s="487"/>
      <c r="F177" s="487"/>
      <c r="G177" s="487"/>
      <c r="H177" s="487"/>
      <c r="I177" s="487"/>
      <c r="J177" s="487"/>
      <c r="K177" s="487"/>
      <c r="L177" s="487"/>
      <c r="M177" s="487"/>
      <c r="N177" s="487"/>
      <c r="O177" s="487"/>
      <c r="P177" s="487"/>
      <c r="Q177" s="487"/>
      <c r="R177" s="487"/>
      <c r="S177" s="487"/>
      <c r="T177" s="487"/>
      <c r="U177" s="487"/>
      <c r="V177" s="487"/>
    </row>
    <row r="178" ht="23.25" customHeight="1">
      <c r="A178" s="487"/>
      <c r="B178" s="487"/>
      <c r="C178" s="487"/>
      <c r="D178" s="487"/>
      <c r="E178" s="487"/>
      <c r="F178" s="487"/>
      <c r="G178" s="487"/>
      <c r="H178" s="487"/>
      <c r="I178" s="487"/>
      <c r="J178" s="487"/>
      <c r="K178" s="487"/>
      <c r="L178" s="487"/>
      <c r="M178" s="487"/>
      <c r="N178" s="487"/>
      <c r="O178" s="487"/>
      <c r="P178" s="487"/>
      <c r="Q178" s="487"/>
      <c r="R178" s="487"/>
      <c r="S178" s="487"/>
      <c r="T178" s="487"/>
      <c r="U178" s="487"/>
      <c r="V178" s="487"/>
    </row>
    <row r="179" ht="23.25" customHeight="1">
      <c r="A179" s="487"/>
      <c r="B179" s="487"/>
      <c r="C179" s="487"/>
      <c r="D179" s="487"/>
      <c r="E179" s="487"/>
      <c r="F179" s="487"/>
      <c r="G179" s="487"/>
      <c r="H179" s="487"/>
      <c r="I179" s="487"/>
      <c r="J179" s="487"/>
      <c r="K179" s="487"/>
      <c r="L179" s="487"/>
      <c r="M179" s="487"/>
      <c r="N179" s="487"/>
      <c r="O179" s="487"/>
      <c r="P179" s="487"/>
      <c r="Q179" s="487"/>
      <c r="R179" s="487"/>
      <c r="S179" s="487"/>
      <c r="T179" s="487"/>
      <c r="U179" s="487"/>
      <c r="V179" s="487"/>
    </row>
    <row r="180" ht="23.25" customHeight="1">
      <c r="A180" s="487"/>
      <c r="B180" s="487"/>
      <c r="C180" s="487"/>
      <c r="D180" s="487"/>
      <c r="E180" s="487"/>
      <c r="F180" s="487"/>
      <c r="G180" s="487"/>
      <c r="H180" s="487"/>
      <c r="I180" s="487"/>
      <c r="J180" s="487"/>
      <c r="K180" s="487"/>
      <c r="L180" s="487"/>
      <c r="M180" s="487"/>
      <c r="N180" s="487"/>
      <c r="O180" s="487"/>
      <c r="P180" s="487"/>
      <c r="Q180" s="487"/>
      <c r="R180" s="487"/>
      <c r="S180" s="487"/>
      <c r="T180" s="487"/>
      <c r="U180" s="487"/>
      <c r="V180" s="487"/>
    </row>
    <row r="181" ht="23.25" customHeight="1">
      <c r="A181" s="487"/>
      <c r="B181" s="487"/>
      <c r="C181" s="487"/>
      <c r="D181" s="487"/>
      <c r="E181" s="487"/>
      <c r="F181" s="487"/>
      <c r="G181" s="487"/>
      <c r="H181" s="487"/>
      <c r="I181" s="487"/>
      <c r="J181" s="487"/>
      <c r="K181" s="487"/>
      <c r="L181" s="487"/>
      <c r="M181" s="487"/>
      <c r="N181" s="487"/>
      <c r="O181" s="487"/>
      <c r="P181" s="487"/>
      <c r="Q181" s="487"/>
      <c r="R181" s="487"/>
      <c r="S181" s="487"/>
      <c r="T181" s="487"/>
      <c r="U181" s="487"/>
      <c r="V181" s="487"/>
    </row>
    <row r="182" ht="23.25" customHeight="1">
      <c r="A182" s="487"/>
      <c r="B182" s="487"/>
      <c r="C182" s="487"/>
      <c r="D182" s="487"/>
      <c r="E182" s="487"/>
      <c r="F182" s="487"/>
      <c r="G182" s="487"/>
      <c r="H182" s="487"/>
      <c r="I182" s="487"/>
      <c r="J182" s="487"/>
      <c r="K182" s="487"/>
      <c r="L182" s="487"/>
      <c r="M182" s="487"/>
      <c r="N182" s="487"/>
      <c r="O182" s="487"/>
      <c r="P182" s="487"/>
      <c r="Q182" s="487"/>
      <c r="R182" s="487"/>
      <c r="S182" s="487"/>
      <c r="T182" s="487"/>
      <c r="U182" s="487"/>
      <c r="V182" s="487"/>
    </row>
    <row r="183" ht="23.25" customHeight="1">
      <c r="A183" s="487"/>
      <c r="B183" s="487"/>
      <c r="C183" s="487"/>
      <c r="D183" s="487"/>
      <c r="E183" s="487"/>
      <c r="F183" s="487"/>
      <c r="G183" s="487"/>
      <c r="H183" s="487"/>
      <c r="I183" s="487"/>
      <c r="J183" s="487"/>
      <c r="K183" s="487"/>
      <c r="L183" s="487"/>
      <c r="M183" s="487"/>
      <c r="N183" s="487"/>
      <c r="O183" s="487"/>
      <c r="P183" s="487"/>
      <c r="Q183" s="487"/>
      <c r="R183" s="487"/>
      <c r="S183" s="487"/>
      <c r="T183" s="487"/>
      <c r="U183" s="487"/>
      <c r="V183" s="487"/>
    </row>
    <row r="184" ht="23.25" customHeight="1">
      <c r="A184" s="487"/>
      <c r="B184" s="487"/>
      <c r="C184" s="487"/>
      <c r="D184" s="487"/>
      <c r="E184" s="487"/>
      <c r="F184" s="487"/>
      <c r="G184" s="487"/>
      <c r="H184" s="487"/>
      <c r="I184" s="487"/>
      <c r="J184" s="487"/>
      <c r="K184" s="487"/>
      <c r="L184" s="487"/>
      <c r="M184" s="487"/>
      <c r="N184" s="487"/>
      <c r="O184" s="487"/>
      <c r="P184" s="487"/>
      <c r="Q184" s="487"/>
      <c r="R184" s="487"/>
      <c r="S184" s="487"/>
      <c r="T184" s="487"/>
      <c r="U184" s="487"/>
      <c r="V184" s="487"/>
    </row>
    <row r="185" ht="23.25" customHeight="1">
      <c r="A185" s="487"/>
      <c r="B185" s="487"/>
      <c r="C185" s="487"/>
      <c r="D185" s="487"/>
      <c r="E185" s="487"/>
      <c r="F185" s="487"/>
      <c r="G185" s="487"/>
      <c r="H185" s="487"/>
      <c r="I185" s="487"/>
      <c r="J185" s="487"/>
      <c r="K185" s="487"/>
      <c r="L185" s="487"/>
      <c r="M185" s="487"/>
      <c r="N185" s="487"/>
      <c r="O185" s="487"/>
      <c r="P185" s="487"/>
      <c r="Q185" s="487"/>
      <c r="R185" s="487"/>
      <c r="S185" s="487"/>
      <c r="T185" s="487"/>
      <c r="U185" s="487"/>
      <c r="V185" s="487"/>
    </row>
    <row r="186" ht="23.25" customHeight="1">
      <c r="A186" s="487"/>
      <c r="B186" s="487"/>
      <c r="C186" s="487"/>
      <c r="D186" s="487"/>
      <c r="E186" s="487"/>
      <c r="F186" s="487"/>
      <c r="G186" s="487"/>
      <c r="H186" s="487"/>
      <c r="I186" s="487"/>
      <c r="J186" s="487"/>
      <c r="K186" s="487"/>
      <c r="L186" s="487"/>
      <c r="M186" s="487"/>
      <c r="N186" s="487"/>
      <c r="O186" s="487"/>
      <c r="P186" s="487"/>
      <c r="Q186" s="487"/>
      <c r="R186" s="487"/>
      <c r="S186" s="487"/>
      <c r="T186" s="487"/>
      <c r="U186" s="487"/>
      <c r="V186" s="487"/>
    </row>
    <row r="187" ht="23.25" customHeight="1">
      <c r="A187" s="487"/>
      <c r="B187" s="487"/>
      <c r="C187" s="487"/>
      <c r="D187" s="487"/>
      <c r="E187" s="487"/>
      <c r="F187" s="487"/>
      <c r="G187" s="487"/>
      <c r="H187" s="487"/>
      <c r="I187" s="487"/>
      <c r="J187" s="487"/>
      <c r="K187" s="487"/>
      <c r="L187" s="487"/>
      <c r="M187" s="487"/>
      <c r="N187" s="487"/>
      <c r="O187" s="487"/>
      <c r="P187" s="487"/>
      <c r="Q187" s="487"/>
      <c r="R187" s="487"/>
      <c r="S187" s="487"/>
      <c r="T187" s="487"/>
      <c r="U187" s="487"/>
      <c r="V187" s="487"/>
    </row>
    <row r="188" ht="23.25" customHeight="1">
      <c r="A188" s="487"/>
      <c r="B188" s="487"/>
      <c r="C188" s="487"/>
      <c r="D188" s="487"/>
      <c r="E188" s="487"/>
      <c r="F188" s="487"/>
      <c r="G188" s="487"/>
      <c r="H188" s="487"/>
      <c r="I188" s="487"/>
      <c r="J188" s="487"/>
      <c r="K188" s="487"/>
      <c r="L188" s="487"/>
      <c r="M188" s="487"/>
      <c r="N188" s="487"/>
      <c r="O188" s="487"/>
      <c r="P188" s="487"/>
      <c r="Q188" s="487"/>
      <c r="R188" s="487"/>
      <c r="S188" s="487"/>
      <c r="T188" s="487"/>
      <c r="U188" s="487"/>
      <c r="V188" s="487"/>
    </row>
    <row r="189" ht="23.25" customHeight="1">
      <c r="A189" s="487"/>
      <c r="B189" s="487"/>
      <c r="C189" s="487"/>
      <c r="D189" s="487"/>
      <c r="E189" s="487"/>
      <c r="F189" s="487"/>
      <c r="G189" s="487"/>
      <c r="H189" s="487"/>
      <c r="I189" s="487"/>
      <c r="J189" s="487"/>
      <c r="K189" s="487"/>
      <c r="L189" s="487"/>
      <c r="M189" s="487"/>
      <c r="N189" s="487"/>
      <c r="O189" s="487"/>
      <c r="P189" s="487"/>
      <c r="Q189" s="487"/>
      <c r="R189" s="487"/>
      <c r="S189" s="487"/>
      <c r="T189" s="487"/>
      <c r="U189" s="487"/>
      <c r="V189" s="487"/>
    </row>
    <row r="190" ht="23.25" customHeight="1">
      <c r="A190" s="487"/>
      <c r="B190" s="487"/>
      <c r="C190" s="487"/>
      <c r="D190" s="487"/>
      <c r="E190" s="487"/>
      <c r="F190" s="487"/>
      <c r="G190" s="487"/>
      <c r="H190" s="487"/>
      <c r="I190" s="487"/>
      <c r="J190" s="487"/>
      <c r="K190" s="487"/>
      <c r="L190" s="487"/>
      <c r="M190" s="487"/>
      <c r="N190" s="487"/>
      <c r="O190" s="487"/>
      <c r="P190" s="487"/>
      <c r="Q190" s="487"/>
      <c r="R190" s="487"/>
      <c r="S190" s="487"/>
      <c r="T190" s="487"/>
      <c r="U190" s="487"/>
      <c r="V190" s="487"/>
    </row>
    <row r="191" ht="23.25" customHeight="1">
      <c r="A191" s="487"/>
      <c r="B191" s="487"/>
      <c r="C191" s="487"/>
      <c r="D191" s="487"/>
      <c r="E191" s="487"/>
      <c r="F191" s="487"/>
      <c r="G191" s="487"/>
      <c r="H191" s="487"/>
      <c r="I191" s="487"/>
      <c r="J191" s="487"/>
      <c r="K191" s="487"/>
      <c r="L191" s="487"/>
      <c r="M191" s="487"/>
      <c r="N191" s="487"/>
      <c r="O191" s="487"/>
      <c r="P191" s="487"/>
      <c r="Q191" s="487"/>
      <c r="R191" s="487"/>
      <c r="S191" s="487"/>
      <c r="T191" s="487"/>
      <c r="U191" s="487"/>
      <c r="V191" s="487"/>
    </row>
    <row r="192" ht="23.25" customHeight="1">
      <c r="A192" s="487"/>
      <c r="B192" s="487"/>
      <c r="C192" s="487"/>
      <c r="D192" s="487"/>
      <c r="E192" s="487"/>
      <c r="F192" s="487"/>
      <c r="G192" s="487"/>
      <c r="H192" s="487"/>
      <c r="I192" s="487"/>
      <c r="J192" s="487"/>
      <c r="K192" s="487"/>
      <c r="L192" s="487"/>
      <c r="M192" s="487"/>
      <c r="N192" s="487"/>
      <c r="O192" s="487"/>
      <c r="P192" s="487"/>
      <c r="Q192" s="487"/>
      <c r="R192" s="487"/>
      <c r="S192" s="487"/>
      <c r="T192" s="487"/>
      <c r="U192" s="487"/>
      <c r="V192" s="487"/>
    </row>
    <row r="193" ht="23.25" customHeight="1">
      <c r="A193" s="487"/>
      <c r="B193" s="487"/>
      <c r="C193" s="487"/>
      <c r="D193" s="487"/>
      <c r="E193" s="487"/>
      <c r="F193" s="487"/>
      <c r="G193" s="487"/>
      <c r="H193" s="487"/>
      <c r="I193" s="487"/>
      <c r="J193" s="487"/>
      <c r="K193" s="487"/>
      <c r="L193" s="487"/>
      <c r="M193" s="487"/>
      <c r="N193" s="487"/>
      <c r="O193" s="487"/>
      <c r="P193" s="487"/>
      <c r="Q193" s="487"/>
      <c r="R193" s="487"/>
      <c r="S193" s="487"/>
      <c r="T193" s="487"/>
      <c r="U193" s="487"/>
      <c r="V193" s="487"/>
    </row>
    <row r="194" ht="23.25" customHeight="1">
      <c r="A194" s="487"/>
      <c r="B194" s="487"/>
      <c r="C194" s="487"/>
      <c r="D194" s="487"/>
      <c r="E194" s="487"/>
      <c r="F194" s="487"/>
      <c r="G194" s="487"/>
      <c r="H194" s="487"/>
      <c r="I194" s="487"/>
      <c r="J194" s="487"/>
      <c r="K194" s="487"/>
      <c r="L194" s="487"/>
      <c r="M194" s="487"/>
      <c r="N194" s="487"/>
      <c r="O194" s="487"/>
      <c r="P194" s="487"/>
      <c r="Q194" s="487"/>
      <c r="R194" s="487"/>
      <c r="S194" s="487"/>
      <c r="T194" s="487"/>
      <c r="U194" s="487"/>
      <c r="V194" s="487"/>
    </row>
    <row r="195" ht="23.25" customHeight="1">
      <c r="A195" s="487"/>
      <c r="B195" s="487"/>
      <c r="C195" s="487"/>
      <c r="D195" s="487"/>
      <c r="E195" s="487"/>
      <c r="F195" s="487"/>
      <c r="G195" s="487"/>
      <c r="H195" s="487"/>
      <c r="I195" s="487"/>
      <c r="J195" s="487"/>
      <c r="K195" s="487"/>
      <c r="L195" s="487"/>
      <c r="M195" s="487"/>
      <c r="N195" s="487"/>
      <c r="O195" s="487"/>
      <c r="P195" s="487"/>
      <c r="Q195" s="487"/>
      <c r="R195" s="487"/>
      <c r="S195" s="487"/>
      <c r="T195" s="487"/>
      <c r="U195" s="487"/>
      <c r="V195" s="487"/>
    </row>
    <row r="196" ht="23.25" customHeight="1">
      <c r="A196" s="487"/>
      <c r="B196" s="487"/>
      <c r="C196" s="487"/>
      <c r="D196" s="487"/>
      <c r="E196" s="487"/>
      <c r="F196" s="487"/>
      <c r="G196" s="487"/>
      <c r="H196" s="487"/>
      <c r="I196" s="487"/>
      <c r="J196" s="487"/>
      <c r="K196" s="487"/>
      <c r="L196" s="487"/>
      <c r="M196" s="487"/>
      <c r="N196" s="487"/>
      <c r="O196" s="487"/>
      <c r="P196" s="487"/>
      <c r="Q196" s="487"/>
      <c r="R196" s="487"/>
      <c r="S196" s="487"/>
      <c r="T196" s="487"/>
      <c r="U196" s="487"/>
      <c r="V196" s="487"/>
    </row>
    <row r="197" ht="23.25" customHeight="1">
      <c r="A197" s="487"/>
      <c r="B197" s="487"/>
      <c r="C197" s="487"/>
      <c r="D197" s="487"/>
      <c r="E197" s="487"/>
      <c r="F197" s="487"/>
      <c r="G197" s="487"/>
      <c r="H197" s="487"/>
      <c r="I197" s="487"/>
      <c r="J197" s="487"/>
      <c r="K197" s="487"/>
      <c r="L197" s="487"/>
      <c r="M197" s="487"/>
      <c r="N197" s="487"/>
      <c r="O197" s="487"/>
      <c r="P197" s="487"/>
      <c r="Q197" s="487"/>
      <c r="R197" s="487"/>
      <c r="S197" s="487"/>
      <c r="T197" s="487"/>
      <c r="U197" s="487"/>
      <c r="V197" s="487"/>
    </row>
    <row r="198" ht="23.25" customHeight="1">
      <c r="A198" s="487"/>
      <c r="B198" s="487"/>
      <c r="C198" s="487"/>
      <c r="D198" s="487"/>
      <c r="E198" s="487"/>
      <c r="F198" s="487"/>
      <c r="G198" s="487"/>
      <c r="H198" s="487"/>
      <c r="I198" s="487"/>
      <c r="J198" s="487"/>
      <c r="K198" s="487"/>
      <c r="L198" s="487"/>
      <c r="M198" s="487"/>
      <c r="N198" s="487"/>
      <c r="O198" s="487"/>
      <c r="P198" s="487"/>
      <c r="Q198" s="487"/>
      <c r="R198" s="487"/>
      <c r="S198" s="487"/>
      <c r="T198" s="487"/>
      <c r="U198" s="487"/>
      <c r="V198" s="487"/>
    </row>
    <row r="199" ht="23.25" customHeight="1">
      <c r="A199" s="487"/>
      <c r="B199" s="487"/>
      <c r="C199" s="487"/>
      <c r="D199" s="487"/>
      <c r="E199" s="487"/>
      <c r="F199" s="487"/>
      <c r="G199" s="487"/>
      <c r="H199" s="487"/>
      <c r="I199" s="487"/>
      <c r="J199" s="487"/>
      <c r="K199" s="487"/>
      <c r="L199" s="487"/>
      <c r="M199" s="487"/>
      <c r="N199" s="487"/>
      <c r="O199" s="487"/>
      <c r="P199" s="487"/>
      <c r="Q199" s="487"/>
      <c r="R199" s="487"/>
      <c r="S199" s="487"/>
      <c r="T199" s="487"/>
      <c r="U199" s="487"/>
      <c r="V199" s="487"/>
    </row>
    <row r="200" ht="23.25" customHeight="1">
      <c r="A200" s="487"/>
      <c r="B200" s="487"/>
      <c r="C200" s="487"/>
      <c r="D200" s="487"/>
      <c r="E200" s="487"/>
      <c r="F200" s="487"/>
      <c r="G200" s="487"/>
      <c r="H200" s="487"/>
      <c r="I200" s="487"/>
      <c r="J200" s="487"/>
      <c r="K200" s="487"/>
      <c r="L200" s="487"/>
      <c r="M200" s="487"/>
      <c r="N200" s="487"/>
      <c r="O200" s="487"/>
      <c r="P200" s="487"/>
      <c r="Q200" s="487"/>
      <c r="R200" s="487"/>
      <c r="S200" s="487"/>
      <c r="T200" s="487"/>
      <c r="U200" s="487"/>
      <c r="V200" s="487"/>
    </row>
    <row r="201" ht="23.25" customHeight="1">
      <c r="A201" s="487"/>
      <c r="B201" s="487"/>
      <c r="C201" s="487"/>
      <c r="D201" s="487"/>
      <c r="E201" s="487"/>
      <c r="F201" s="487"/>
      <c r="G201" s="487"/>
      <c r="H201" s="487"/>
      <c r="I201" s="487"/>
      <c r="J201" s="487"/>
      <c r="K201" s="487"/>
      <c r="L201" s="487"/>
      <c r="M201" s="487"/>
      <c r="N201" s="487"/>
      <c r="O201" s="487"/>
      <c r="P201" s="487"/>
      <c r="Q201" s="487"/>
      <c r="R201" s="487"/>
      <c r="S201" s="487"/>
      <c r="T201" s="487"/>
      <c r="U201" s="487"/>
      <c r="V201" s="487"/>
    </row>
    <row r="202" ht="23.25" customHeight="1">
      <c r="A202" s="487"/>
      <c r="B202" s="487"/>
      <c r="C202" s="487"/>
      <c r="D202" s="487"/>
      <c r="E202" s="487"/>
      <c r="F202" s="487"/>
      <c r="G202" s="487"/>
      <c r="H202" s="487"/>
      <c r="I202" s="487"/>
      <c r="J202" s="487"/>
      <c r="K202" s="487"/>
      <c r="L202" s="487"/>
      <c r="M202" s="487"/>
      <c r="N202" s="487"/>
      <c r="O202" s="487"/>
      <c r="P202" s="487"/>
      <c r="Q202" s="487"/>
      <c r="R202" s="487"/>
      <c r="S202" s="487"/>
      <c r="T202" s="487"/>
      <c r="U202" s="487"/>
      <c r="V202" s="487"/>
    </row>
    <row r="203" ht="23.25" customHeight="1">
      <c r="A203" s="487"/>
      <c r="B203" s="487"/>
      <c r="C203" s="487"/>
      <c r="D203" s="487"/>
      <c r="E203" s="487"/>
      <c r="F203" s="487"/>
      <c r="G203" s="487"/>
      <c r="H203" s="487"/>
      <c r="I203" s="487"/>
      <c r="J203" s="487"/>
      <c r="K203" s="487"/>
      <c r="L203" s="487"/>
      <c r="M203" s="487"/>
      <c r="N203" s="487"/>
      <c r="O203" s="487"/>
      <c r="P203" s="487"/>
      <c r="Q203" s="487"/>
      <c r="R203" s="487"/>
      <c r="S203" s="487"/>
      <c r="T203" s="487"/>
      <c r="U203" s="487"/>
      <c r="V203" s="487"/>
    </row>
    <row r="204" ht="23.25" customHeight="1">
      <c r="A204" s="487"/>
      <c r="B204" s="487"/>
      <c r="C204" s="487"/>
      <c r="D204" s="487"/>
      <c r="E204" s="487"/>
      <c r="F204" s="487"/>
      <c r="G204" s="487"/>
      <c r="H204" s="487"/>
      <c r="I204" s="487"/>
      <c r="J204" s="487"/>
      <c r="K204" s="487"/>
      <c r="L204" s="487"/>
      <c r="M204" s="487"/>
      <c r="N204" s="487"/>
      <c r="O204" s="487"/>
      <c r="P204" s="487"/>
      <c r="Q204" s="487"/>
      <c r="R204" s="487"/>
      <c r="S204" s="487"/>
      <c r="T204" s="487"/>
      <c r="U204" s="487"/>
      <c r="V204" s="487"/>
    </row>
    <row r="205" ht="23.25" customHeight="1">
      <c r="A205" s="487"/>
      <c r="B205" s="487"/>
      <c r="C205" s="487"/>
      <c r="D205" s="487"/>
      <c r="E205" s="487"/>
      <c r="F205" s="487"/>
      <c r="G205" s="487"/>
      <c r="H205" s="487"/>
      <c r="I205" s="487"/>
      <c r="J205" s="487"/>
      <c r="K205" s="487"/>
      <c r="L205" s="487"/>
      <c r="M205" s="487"/>
      <c r="N205" s="487"/>
      <c r="O205" s="487"/>
      <c r="P205" s="487"/>
      <c r="Q205" s="487"/>
      <c r="R205" s="487"/>
      <c r="S205" s="487"/>
      <c r="T205" s="487"/>
      <c r="U205" s="487"/>
      <c r="V205" s="487"/>
    </row>
    <row r="206" ht="23.25" customHeight="1">
      <c r="A206" s="487"/>
      <c r="B206" s="487"/>
      <c r="C206" s="487"/>
      <c r="D206" s="487"/>
      <c r="E206" s="487"/>
      <c r="F206" s="487"/>
      <c r="G206" s="487"/>
      <c r="H206" s="487"/>
      <c r="I206" s="487"/>
      <c r="J206" s="487"/>
      <c r="K206" s="487"/>
      <c r="L206" s="487"/>
      <c r="M206" s="487"/>
      <c r="N206" s="487"/>
      <c r="O206" s="487"/>
      <c r="P206" s="487"/>
      <c r="Q206" s="487"/>
      <c r="R206" s="487"/>
      <c r="S206" s="487"/>
      <c r="T206" s="487"/>
      <c r="U206" s="487"/>
      <c r="V206" s="487"/>
    </row>
    <row r="207" ht="23.25" customHeight="1">
      <c r="A207" s="487"/>
      <c r="B207" s="487"/>
      <c r="C207" s="487"/>
      <c r="D207" s="487"/>
      <c r="E207" s="487"/>
      <c r="F207" s="487"/>
      <c r="G207" s="487"/>
      <c r="H207" s="487"/>
      <c r="I207" s="487"/>
      <c r="J207" s="487"/>
      <c r="K207" s="487"/>
      <c r="L207" s="487"/>
      <c r="M207" s="487"/>
      <c r="N207" s="487"/>
      <c r="O207" s="487"/>
      <c r="P207" s="487"/>
      <c r="Q207" s="487"/>
      <c r="R207" s="487"/>
      <c r="S207" s="487"/>
      <c r="T207" s="487"/>
      <c r="U207" s="487"/>
      <c r="V207" s="487"/>
    </row>
    <row r="208" ht="23.25" customHeight="1">
      <c r="A208" s="487"/>
      <c r="B208" s="487"/>
      <c r="C208" s="487"/>
      <c r="D208" s="487"/>
      <c r="E208" s="487"/>
      <c r="F208" s="487"/>
      <c r="G208" s="487"/>
      <c r="H208" s="487"/>
      <c r="I208" s="487"/>
      <c r="J208" s="487"/>
      <c r="K208" s="487"/>
      <c r="L208" s="487"/>
      <c r="M208" s="487"/>
      <c r="N208" s="487"/>
      <c r="O208" s="487"/>
      <c r="P208" s="487"/>
      <c r="Q208" s="487"/>
      <c r="R208" s="487"/>
      <c r="S208" s="487"/>
      <c r="T208" s="487"/>
      <c r="U208" s="487"/>
      <c r="V208" s="487"/>
    </row>
    <row r="209" ht="23.25" customHeight="1">
      <c r="A209" s="487"/>
      <c r="B209" s="487"/>
      <c r="C209" s="487"/>
      <c r="D209" s="487"/>
      <c r="E209" s="487"/>
      <c r="F209" s="487"/>
      <c r="G209" s="487"/>
      <c r="H209" s="487"/>
      <c r="I209" s="487"/>
      <c r="J209" s="487"/>
      <c r="K209" s="487"/>
      <c r="L209" s="487"/>
      <c r="M209" s="487"/>
      <c r="N209" s="487"/>
      <c r="O209" s="487"/>
      <c r="P209" s="487"/>
      <c r="Q209" s="487"/>
      <c r="R209" s="487"/>
      <c r="S209" s="487"/>
      <c r="T209" s="487"/>
      <c r="U209" s="487"/>
      <c r="V209" s="487"/>
    </row>
    <row r="210" ht="23.25" customHeight="1">
      <c r="A210" s="487"/>
      <c r="B210" s="487"/>
      <c r="C210" s="487"/>
      <c r="D210" s="487"/>
      <c r="E210" s="487"/>
      <c r="F210" s="487"/>
      <c r="G210" s="487"/>
      <c r="H210" s="487"/>
      <c r="I210" s="487"/>
      <c r="J210" s="487"/>
      <c r="K210" s="487"/>
      <c r="L210" s="487"/>
      <c r="M210" s="487"/>
      <c r="N210" s="487"/>
      <c r="O210" s="487"/>
      <c r="P210" s="487"/>
      <c r="Q210" s="487"/>
      <c r="R210" s="487"/>
      <c r="S210" s="487"/>
      <c r="T210" s="487"/>
      <c r="U210" s="487"/>
      <c r="V210" s="487"/>
    </row>
    <row r="211" ht="23.25" customHeight="1">
      <c r="A211" s="487"/>
      <c r="B211" s="487"/>
      <c r="C211" s="487"/>
      <c r="D211" s="487"/>
      <c r="E211" s="487"/>
      <c r="F211" s="487"/>
      <c r="G211" s="487"/>
      <c r="H211" s="487"/>
      <c r="I211" s="487"/>
      <c r="J211" s="487"/>
      <c r="K211" s="487"/>
      <c r="L211" s="487"/>
      <c r="M211" s="487"/>
      <c r="N211" s="487"/>
      <c r="O211" s="487"/>
      <c r="P211" s="487"/>
      <c r="Q211" s="487"/>
      <c r="R211" s="487"/>
      <c r="S211" s="487"/>
      <c r="T211" s="487"/>
      <c r="U211" s="487"/>
      <c r="V211" s="487"/>
    </row>
    <row r="212" ht="23.25" customHeight="1">
      <c r="A212" s="487"/>
      <c r="B212" s="487"/>
      <c r="C212" s="487"/>
      <c r="D212" s="487"/>
      <c r="E212" s="487"/>
      <c r="F212" s="487"/>
      <c r="G212" s="487"/>
      <c r="H212" s="487"/>
      <c r="I212" s="487"/>
      <c r="J212" s="487"/>
      <c r="K212" s="487"/>
      <c r="L212" s="487"/>
      <c r="M212" s="487"/>
      <c r="N212" s="487"/>
      <c r="O212" s="487"/>
      <c r="P212" s="487"/>
      <c r="Q212" s="487"/>
      <c r="R212" s="487"/>
      <c r="S212" s="487"/>
      <c r="T212" s="487"/>
      <c r="U212" s="487"/>
      <c r="V212" s="487"/>
    </row>
    <row r="213" ht="23.25" customHeight="1">
      <c r="A213" s="487"/>
      <c r="B213" s="487"/>
      <c r="C213" s="487"/>
      <c r="D213" s="487"/>
      <c r="E213" s="487"/>
      <c r="F213" s="487"/>
      <c r="G213" s="487"/>
      <c r="H213" s="487"/>
      <c r="I213" s="487"/>
      <c r="J213" s="487"/>
      <c r="K213" s="487"/>
      <c r="L213" s="487"/>
      <c r="M213" s="487"/>
      <c r="N213" s="487"/>
      <c r="O213" s="487"/>
      <c r="P213" s="487"/>
      <c r="Q213" s="487"/>
      <c r="R213" s="487"/>
      <c r="S213" s="487"/>
      <c r="T213" s="487"/>
      <c r="U213" s="487"/>
      <c r="V213" s="487"/>
    </row>
    <row r="214" ht="23.25" customHeight="1">
      <c r="A214" s="487"/>
      <c r="B214" s="487"/>
      <c r="C214" s="487"/>
      <c r="D214" s="487"/>
      <c r="E214" s="487"/>
      <c r="F214" s="487"/>
      <c r="G214" s="487"/>
      <c r="H214" s="487"/>
      <c r="I214" s="487"/>
      <c r="J214" s="487"/>
      <c r="K214" s="487"/>
      <c r="L214" s="487"/>
      <c r="M214" s="487"/>
      <c r="N214" s="487"/>
      <c r="O214" s="487"/>
      <c r="P214" s="487"/>
      <c r="Q214" s="487"/>
      <c r="R214" s="487"/>
      <c r="S214" s="487"/>
      <c r="T214" s="487"/>
      <c r="U214" s="487"/>
      <c r="V214" s="487"/>
    </row>
    <row r="215" ht="23.25" customHeight="1">
      <c r="A215" s="487"/>
      <c r="B215" s="487"/>
      <c r="C215" s="487"/>
      <c r="D215" s="487"/>
      <c r="E215" s="487"/>
      <c r="F215" s="487"/>
      <c r="G215" s="487"/>
      <c r="H215" s="487"/>
      <c r="I215" s="487"/>
      <c r="J215" s="487"/>
      <c r="K215" s="487"/>
      <c r="L215" s="487"/>
      <c r="M215" s="487"/>
      <c r="N215" s="487"/>
      <c r="O215" s="487"/>
      <c r="P215" s="487"/>
      <c r="Q215" s="487"/>
      <c r="R215" s="487"/>
      <c r="S215" s="487"/>
      <c r="T215" s="487"/>
      <c r="U215" s="487"/>
      <c r="V215" s="487"/>
    </row>
    <row r="216" ht="23.25" customHeight="1">
      <c r="A216" s="487"/>
      <c r="B216" s="487"/>
      <c r="C216" s="487"/>
      <c r="D216" s="487"/>
      <c r="E216" s="487"/>
      <c r="F216" s="487"/>
      <c r="G216" s="487"/>
      <c r="H216" s="487"/>
      <c r="I216" s="487"/>
      <c r="J216" s="487"/>
      <c r="K216" s="487"/>
      <c r="L216" s="487"/>
      <c r="M216" s="487"/>
      <c r="N216" s="487"/>
      <c r="O216" s="487"/>
      <c r="P216" s="487"/>
      <c r="Q216" s="487"/>
      <c r="R216" s="487"/>
      <c r="S216" s="487"/>
      <c r="T216" s="487"/>
      <c r="U216" s="487"/>
      <c r="V216" s="487"/>
    </row>
    <row r="217" ht="23.25" customHeight="1">
      <c r="A217" s="487"/>
      <c r="B217" s="487"/>
      <c r="C217" s="487"/>
      <c r="D217" s="487"/>
      <c r="E217" s="487"/>
      <c r="F217" s="487"/>
      <c r="G217" s="487"/>
      <c r="H217" s="487"/>
      <c r="I217" s="487"/>
      <c r="J217" s="487"/>
      <c r="K217" s="487"/>
      <c r="L217" s="487"/>
      <c r="M217" s="487"/>
      <c r="N217" s="487"/>
      <c r="O217" s="487"/>
      <c r="P217" s="487"/>
      <c r="Q217" s="487"/>
      <c r="R217" s="487"/>
      <c r="S217" s="487"/>
      <c r="T217" s="487"/>
      <c r="U217" s="487"/>
      <c r="V217" s="487"/>
    </row>
    <row r="218" ht="23.25" customHeight="1">
      <c r="A218" s="487"/>
      <c r="B218" s="487"/>
      <c r="C218" s="487"/>
      <c r="D218" s="487"/>
      <c r="E218" s="487"/>
      <c r="F218" s="487"/>
      <c r="G218" s="487"/>
      <c r="H218" s="487"/>
      <c r="I218" s="487"/>
      <c r="J218" s="487"/>
      <c r="K218" s="487"/>
      <c r="L218" s="487"/>
      <c r="M218" s="487"/>
      <c r="N218" s="487"/>
      <c r="O218" s="487"/>
      <c r="P218" s="487"/>
      <c r="Q218" s="487"/>
      <c r="R218" s="487"/>
      <c r="S218" s="487"/>
      <c r="T218" s="487"/>
      <c r="U218" s="487"/>
      <c r="V218" s="487"/>
    </row>
    <row r="219" ht="23.25" customHeight="1">
      <c r="A219" s="487"/>
      <c r="B219" s="487"/>
      <c r="C219" s="487"/>
      <c r="D219" s="487"/>
      <c r="E219" s="487"/>
      <c r="F219" s="487"/>
      <c r="G219" s="487"/>
      <c r="H219" s="487"/>
      <c r="I219" s="487"/>
      <c r="J219" s="487"/>
      <c r="K219" s="487"/>
      <c r="L219" s="487"/>
      <c r="M219" s="487"/>
      <c r="N219" s="487"/>
      <c r="O219" s="487"/>
      <c r="P219" s="487"/>
      <c r="Q219" s="487"/>
      <c r="R219" s="487"/>
      <c r="S219" s="487"/>
      <c r="T219" s="487"/>
      <c r="U219" s="487"/>
      <c r="V219" s="487"/>
    </row>
    <row r="220" ht="23.25" customHeight="1">
      <c r="A220" s="487"/>
      <c r="B220" s="487"/>
      <c r="C220" s="487"/>
      <c r="D220" s="487"/>
      <c r="E220" s="487"/>
      <c r="F220" s="487"/>
      <c r="G220" s="487"/>
      <c r="H220" s="487"/>
      <c r="I220" s="487"/>
      <c r="J220" s="487"/>
      <c r="K220" s="487"/>
      <c r="L220" s="487"/>
      <c r="M220" s="487"/>
      <c r="N220" s="487"/>
      <c r="O220" s="487"/>
      <c r="P220" s="487"/>
      <c r="Q220" s="487"/>
      <c r="R220" s="487"/>
      <c r="S220" s="487"/>
      <c r="T220" s="487"/>
      <c r="U220" s="487"/>
      <c r="V220" s="48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14"/>
    <col customWidth="1" min="2" max="2" width="21.0"/>
    <col customWidth="1" min="3" max="3" width="18.57"/>
    <col customWidth="1" min="4" max="4" width="19.57"/>
    <col customWidth="1" min="5" max="5" width="20.14"/>
    <col customWidth="1" min="6" max="6" width="20.43"/>
    <col customWidth="1" min="7" max="7" width="17.71"/>
    <col customWidth="1" min="8" max="8" width="16.14"/>
    <col customWidth="1" min="9" max="10" width="18.29"/>
    <col customWidth="1" min="11" max="11" width="16.43"/>
    <col customWidth="1" min="12" max="13" width="14.86"/>
    <col customWidth="1" min="14" max="14" width="13.57"/>
    <col customWidth="1" min="15" max="15" width="18.0"/>
    <col customWidth="1" min="16" max="17" width="15.86"/>
    <col customWidth="1" min="18" max="18" width="14.0"/>
    <col customWidth="1" min="19" max="20" width="11.71"/>
    <col customWidth="1" min="21" max="21" width="14.0"/>
    <col customWidth="1" min="22" max="22" width="15.0"/>
    <col customWidth="1" min="23" max="23" width="15.57"/>
    <col customWidth="1" min="24" max="25" width="18.71"/>
    <col customWidth="1" min="26" max="26" width="14.0"/>
  </cols>
  <sheetData>
    <row r="1" ht="21.75" customHeight="1">
      <c r="A1" s="493"/>
      <c r="B1" s="494"/>
      <c r="C1" s="495"/>
      <c r="D1" s="496"/>
      <c r="E1" s="496"/>
      <c r="F1" s="496"/>
      <c r="G1" s="496"/>
      <c r="H1" s="496"/>
      <c r="I1" s="496"/>
      <c r="J1" s="496"/>
      <c r="K1" s="496"/>
      <c r="L1" s="497"/>
      <c r="M1" s="497"/>
      <c r="N1" s="498"/>
      <c r="O1" s="497"/>
      <c r="P1" s="498"/>
      <c r="Q1" s="498"/>
      <c r="R1" s="496"/>
      <c r="S1" s="496"/>
      <c r="T1" s="496"/>
      <c r="U1" s="496"/>
      <c r="V1" s="499"/>
      <c r="W1" s="496"/>
      <c r="X1" s="493"/>
      <c r="Y1" s="496"/>
      <c r="Z1" s="496"/>
    </row>
    <row r="2" ht="21.75" customHeight="1">
      <c r="A2" s="493"/>
      <c r="B2" s="500"/>
      <c r="C2" s="496"/>
      <c r="D2" s="496"/>
      <c r="E2" s="496"/>
      <c r="F2" s="496"/>
      <c r="G2" s="496"/>
      <c r="H2" s="496"/>
      <c r="I2" s="496"/>
      <c r="J2" s="496"/>
      <c r="K2" s="496"/>
      <c r="L2" s="497"/>
      <c r="M2" s="497"/>
      <c r="N2" s="498"/>
      <c r="O2" s="501"/>
      <c r="P2" s="493"/>
      <c r="Q2" s="493"/>
      <c r="R2" s="496"/>
      <c r="S2" s="496"/>
      <c r="T2" s="496"/>
      <c r="U2" s="496"/>
      <c r="V2" s="499"/>
      <c r="W2" s="496"/>
      <c r="X2" s="493"/>
      <c r="Y2" s="496"/>
      <c r="Z2" s="496"/>
    </row>
    <row r="3" ht="21.75" customHeight="1">
      <c r="A3" s="493"/>
      <c r="B3" s="500"/>
      <c r="C3" s="496"/>
      <c r="D3" s="496"/>
      <c r="E3" s="496"/>
      <c r="F3" s="496"/>
      <c r="G3" s="496"/>
      <c r="H3" s="496"/>
      <c r="I3" s="496"/>
      <c r="J3" s="496"/>
      <c r="K3" s="496"/>
      <c r="L3" s="502"/>
      <c r="M3" s="502"/>
      <c r="N3" s="496"/>
      <c r="O3" s="493"/>
      <c r="P3" s="493"/>
      <c r="Q3" s="493"/>
      <c r="R3" s="496"/>
      <c r="S3" s="496"/>
      <c r="T3" s="496"/>
      <c r="U3" s="496"/>
      <c r="V3" s="499"/>
      <c r="W3" s="496"/>
      <c r="X3" s="493"/>
      <c r="Y3" s="496"/>
      <c r="Z3" s="496"/>
    </row>
    <row r="4" ht="21.75" customHeight="1">
      <c r="A4" s="493"/>
      <c r="B4" s="500"/>
      <c r="C4" s="496"/>
      <c r="D4" s="496"/>
      <c r="E4" s="496"/>
      <c r="F4" s="496"/>
      <c r="G4" s="496"/>
      <c r="H4" s="496"/>
      <c r="I4" s="496"/>
      <c r="J4" s="496"/>
      <c r="K4" s="496"/>
      <c r="L4" s="498"/>
      <c r="M4" s="498"/>
      <c r="N4" s="496"/>
      <c r="O4" s="493"/>
      <c r="P4" s="493"/>
      <c r="Q4" s="493"/>
      <c r="R4" s="496"/>
      <c r="S4" s="496"/>
      <c r="T4" s="496"/>
      <c r="U4" s="496"/>
      <c r="V4" s="499"/>
      <c r="W4" s="496"/>
      <c r="X4" s="493"/>
      <c r="Y4" s="493"/>
      <c r="Z4" s="496"/>
    </row>
    <row r="5" ht="26.25" customHeight="1">
      <c r="A5" s="493"/>
      <c r="B5" s="500"/>
      <c r="C5" s="503"/>
      <c r="D5" s="496"/>
      <c r="E5" s="504"/>
      <c r="F5" s="496"/>
      <c r="G5" s="496"/>
      <c r="H5" s="496"/>
      <c r="I5" s="496"/>
      <c r="J5" s="496"/>
      <c r="K5" s="496"/>
      <c r="L5" s="505"/>
      <c r="M5" s="505"/>
      <c r="N5" s="496"/>
      <c r="O5" s="493"/>
      <c r="P5" s="493"/>
      <c r="Q5" s="493"/>
      <c r="R5" s="496"/>
      <c r="S5" s="496"/>
      <c r="T5" s="496"/>
      <c r="U5" s="496"/>
      <c r="V5" s="499"/>
      <c r="W5" s="496"/>
      <c r="X5" s="493"/>
      <c r="Y5" s="493"/>
      <c r="Z5" s="496"/>
    </row>
    <row r="6" ht="26.25" customHeight="1">
      <c r="A6" s="493"/>
      <c r="B6" s="500"/>
      <c r="C6" s="496"/>
      <c r="D6" s="496"/>
      <c r="E6" s="496"/>
      <c r="F6" s="496"/>
      <c r="G6" s="496"/>
      <c r="H6" s="496"/>
      <c r="I6" s="496"/>
      <c r="J6" s="496"/>
      <c r="K6" s="506"/>
      <c r="L6" s="496"/>
      <c r="M6" s="496"/>
      <c r="N6" s="496"/>
      <c r="O6" s="493"/>
      <c r="P6" s="493"/>
      <c r="Q6" s="493"/>
      <c r="R6" s="496"/>
      <c r="S6" s="496"/>
      <c r="T6" s="496"/>
      <c r="U6" s="496"/>
      <c r="V6" s="499"/>
      <c r="W6" s="496"/>
      <c r="X6" s="493"/>
      <c r="Y6" s="493"/>
      <c r="Z6" s="496"/>
    </row>
    <row r="7" ht="26.25" customHeight="1">
      <c r="A7" s="493"/>
      <c r="B7" s="500"/>
      <c r="C7" s="496"/>
      <c r="D7" s="496"/>
      <c r="E7" s="496"/>
      <c r="F7" s="496"/>
      <c r="G7" s="496"/>
      <c r="H7" s="496"/>
      <c r="I7" s="496"/>
      <c r="J7" s="496"/>
      <c r="K7" s="506"/>
      <c r="L7" s="496"/>
      <c r="M7" s="496"/>
      <c r="N7" s="496"/>
      <c r="O7" s="493"/>
      <c r="P7" s="493"/>
      <c r="Q7" s="493"/>
      <c r="R7" s="496"/>
      <c r="S7" s="496"/>
      <c r="T7" s="496"/>
      <c r="U7" s="496"/>
      <c r="V7" s="499"/>
      <c r="W7" s="496"/>
      <c r="X7" s="493"/>
      <c r="Y7" s="493"/>
      <c r="Z7" s="496"/>
    </row>
    <row r="8" ht="26.25" customHeight="1">
      <c r="A8" s="493"/>
      <c r="B8" s="494"/>
      <c r="C8" s="496"/>
      <c r="D8" s="496"/>
      <c r="E8" s="496"/>
      <c r="F8" s="496"/>
      <c r="G8" s="496"/>
      <c r="H8" s="496"/>
      <c r="I8" s="496"/>
      <c r="J8" s="496"/>
      <c r="K8" s="506"/>
      <c r="L8" s="496"/>
      <c r="M8" s="496"/>
      <c r="N8" s="496"/>
      <c r="O8" s="493"/>
      <c r="P8" s="493"/>
      <c r="Q8" s="493"/>
      <c r="R8" s="496"/>
      <c r="S8" s="496"/>
      <c r="T8" s="496"/>
      <c r="U8" s="496"/>
      <c r="V8" s="499"/>
      <c r="W8" s="496"/>
      <c r="X8" s="493"/>
      <c r="Y8" s="493"/>
      <c r="Z8" s="493"/>
    </row>
    <row r="9" ht="26.25" customHeight="1">
      <c r="A9" s="493"/>
      <c r="B9" s="494" t="s">
        <v>239</v>
      </c>
      <c r="C9" s="496" t="s">
        <v>240</v>
      </c>
      <c r="D9" s="496" t="s">
        <v>241</v>
      </c>
      <c r="E9" s="496"/>
      <c r="F9" s="496"/>
      <c r="G9" s="496"/>
      <c r="H9" s="221"/>
      <c r="I9" s="496"/>
      <c r="J9" s="507"/>
      <c r="K9" s="508"/>
      <c r="L9" s="496"/>
      <c r="M9" s="496"/>
      <c r="N9" s="496"/>
      <c r="O9" s="493"/>
      <c r="P9" s="493"/>
      <c r="Q9" s="493"/>
      <c r="R9" s="496"/>
      <c r="S9" s="496"/>
      <c r="T9" s="496"/>
      <c r="U9" s="496"/>
      <c r="V9" s="494"/>
      <c r="W9" s="496"/>
      <c r="X9" s="496"/>
      <c r="Y9" s="496"/>
      <c r="Z9" s="493"/>
    </row>
    <row r="10" ht="26.25" customHeight="1">
      <c r="A10" s="493"/>
      <c r="B10" s="494">
        <v>1.0</v>
      </c>
      <c r="C10" s="509"/>
      <c r="D10" s="510"/>
      <c r="E10" s="496"/>
      <c r="F10" s="496"/>
      <c r="G10" s="496"/>
      <c r="H10" s="221"/>
      <c r="I10" s="496"/>
      <c r="J10" s="511"/>
      <c r="K10" s="506"/>
      <c r="L10" s="496"/>
      <c r="M10" s="496"/>
      <c r="N10" s="496"/>
      <c r="O10" s="493"/>
      <c r="P10" s="493"/>
      <c r="Q10" s="493"/>
      <c r="R10" s="496"/>
      <c r="S10" s="496"/>
      <c r="T10" s="496"/>
      <c r="U10" s="496"/>
      <c r="V10" s="494"/>
      <c r="W10" s="494"/>
      <c r="X10" s="501"/>
      <c r="Y10" s="501"/>
      <c r="Z10" s="493"/>
    </row>
    <row r="11" ht="26.25" customHeight="1">
      <c r="A11" s="493"/>
      <c r="B11" s="494">
        <v>2.0</v>
      </c>
      <c r="C11" s="494"/>
      <c r="D11" s="510"/>
      <c r="E11" s="494"/>
      <c r="F11" s="512"/>
      <c r="G11" s="512"/>
      <c r="H11" s="494"/>
      <c r="I11" s="507"/>
      <c r="J11" s="507"/>
      <c r="K11" s="496"/>
      <c r="L11" s="496"/>
      <c r="M11" s="496"/>
      <c r="N11" s="496"/>
      <c r="O11" s="493"/>
      <c r="P11" s="493"/>
      <c r="Q11" s="493"/>
      <c r="R11" s="496"/>
      <c r="S11" s="496"/>
      <c r="T11" s="496"/>
      <c r="U11" s="496"/>
      <c r="V11" s="494"/>
      <c r="W11" s="513"/>
      <c r="X11" s="514"/>
      <c r="Y11" s="514"/>
      <c r="Z11" s="493"/>
    </row>
    <row r="12" ht="26.25" customHeight="1">
      <c r="A12" s="493"/>
      <c r="B12" s="494">
        <v>3.0</v>
      </c>
      <c r="C12" s="515"/>
      <c r="D12" s="510"/>
      <c r="E12" s="494"/>
      <c r="F12" s="512"/>
      <c r="G12" s="512"/>
      <c r="H12" s="494"/>
      <c r="I12" s="507"/>
      <c r="J12" s="507"/>
      <c r="K12" s="496"/>
      <c r="L12" s="496"/>
      <c r="M12" s="496"/>
      <c r="N12" s="496"/>
      <c r="O12" s="493"/>
      <c r="P12" s="493"/>
      <c r="Q12" s="493"/>
      <c r="R12" s="496"/>
      <c r="S12" s="496"/>
      <c r="T12" s="496"/>
      <c r="U12" s="496"/>
      <c r="V12" s="494"/>
      <c r="W12" s="513"/>
      <c r="X12" s="514"/>
      <c r="Y12" s="514"/>
      <c r="Z12" s="493"/>
    </row>
    <row r="13" ht="26.25" customHeight="1">
      <c r="A13" s="493"/>
      <c r="B13" s="494">
        <v>4.0</v>
      </c>
      <c r="C13" s="501"/>
      <c r="D13" s="510"/>
      <c r="E13" s="494"/>
      <c r="F13" s="501"/>
      <c r="G13" s="501"/>
      <c r="H13" s="494"/>
      <c r="I13" s="507"/>
      <c r="J13" s="507"/>
      <c r="K13" s="496"/>
      <c r="L13" s="496"/>
      <c r="M13" s="496"/>
      <c r="N13" s="496"/>
      <c r="O13" s="493"/>
      <c r="P13" s="493"/>
      <c r="Q13" s="493"/>
      <c r="R13" s="496"/>
      <c r="S13" s="496"/>
      <c r="T13" s="496"/>
      <c r="U13" s="496"/>
      <c r="V13" s="494"/>
      <c r="W13" s="513"/>
      <c r="X13" s="495"/>
      <c r="Y13" s="495"/>
      <c r="Z13" s="493"/>
    </row>
    <row r="14" ht="26.25" customHeight="1">
      <c r="A14" s="493"/>
      <c r="B14" s="494">
        <v>5.0</v>
      </c>
      <c r="C14" s="516"/>
      <c r="D14" s="510"/>
      <c r="E14" s="494"/>
      <c r="F14" s="501"/>
      <c r="G14" s="501"/>
      <c r="H14" s="494"/>
      <c r="I14" s="507"/>
      <c r="J14" s="507"/>
      <c r="K14" s="496"/>
      <c r="L14" s="496"/>
      <c r="M14" s="496"/>
      <c r="N14" s="496"/>
      <c r="O14" s="493"/>
      <c r="P14" s="493"/>
      <c r="Q14" s="493"/>
      <c r="R14" s="496"/>
      <c r="S14" s="496"/>
      <c r="T14" s="496"/>
      <c r="U14" s="496"/>
      <c r="V14" s="494"/>
      <c r="W14" s="513"/>
      <c r="X14" s="514"/>
      <c r="Y14" s="514"/>
      <c r="Z14" s="493"/>
    </row>
    <row r="15" ht="26.25" customHeight="1">
      <c r="A15" s="493"/>
      <c r="B15" s="494">
        <v>6.0</v>
      </c>
      <c r="C15" s="501"/>
      <c r="D15" s="510"/>
      <c r="E15" s="494"/>
      <c r="F15" s="501"/>
      <c r="G15" s="501"/>
      <c r="H15" s="494"/>
      <c r="I15" s="507"/>
      <c r="J15" s="507"/>
      <c r="K15" s="496"/>
      <c r="L15" s="496"/>
      <c r="M15" s="496"/>
      <c r="N15" s="496"/>
      <c r="O15" s="493"/>
      <c r="P15" s="493"/>
      <c r="Q15" s="493"/>
      <c r="R15" s="496"/>
      <c r="S15" s="496"/>
      <c r="T15" s="496"/>
      <c r="U15" s="496"/>
      <c r="V15" s="494"/>
      <c r="W15" s="513"/>
      <c r="X15" s="514"/>
      <c r="Y15" s="514"/>
      <c r="Z15" s="493"/>
    </row>
    <row r="16" ht="26.25" customHeight="1">
      <c r="A16" s="493"/>
      <c r="B16" s="494">
        <v>7.0</v>
      </c>
      <c r="C16" s="517"/>
      <c r="D16" s="510"/>
      <c r="E16" s="494"/>
      <c r="F16" s="501"/>
      <c r="G16" s="501"/>
      <c r="H16" s="494"/>
      <c r="I16" s="507"/>
      <c r="J16" s="507"/>
      <c r="K16" s="496"/>
      <c r="L16" s="496"/>
      <c r="M16" s="496"/>
      <c r="N16" s="496"/>
      <c r="O16" s="493"/>
      <c r="P16" s="493"/>
      <c r="Q16" s="493"/>
      <c r="R16" s="496"/>
      <c r="S16" s="496"/>
      <c r="T16" s="496"/>
      <c r="U16" s="496"/>
      <c r="V16" s="494"/>
      <c r="W16" s="494"/>
      <c r="X16" s="501"/>
      <c r="Y16" s="501"/>
      <c r="Z16" s="493"/>
    </row>
    <row r="17" ht="26.25" customHeight="1">
      <c r="A17" s="493"/>
      <c r="B17" s="494">
        <v>8.0</v>
      </c>
      <c r="C17" s="518"/>
      <c r="D17" s="510"/>
      <c r="E17" s="494"/>
      <c r="F17" s="501"/>
      <c r="G17" s="501"/>
      <c r="H17" s="494"/>
      <c r="I17" s="507"/>
      <c r="J17" s="507"/>
      <c r="K17" s="496"/>
      <c r="L17" s="496"/>
      <c r="M17" s="496"/>
      <c r="N17" s="496"/>
      <c r="O17" s="493"/>
      <c r="P17" s="493"/>
      <c r="Q17" s="493"/>
      <c r="R17" s="496"/>
      <c r="S17" s="496"/>
      <c r="T17" s="496"/>
      <c r="U17" s="496"/>
      <c r="V17" s="494"/>
      <c r="W17" s="494"/>
      <c r="X17" s="501"/>
      <c r="Y17" s="501"/>
      <c r="Z17" s="493"/>
    </row>
    <row r="18" ht="26.25" customHeight="1">
      <c r="A18" s="493"/>
      <c r="B18" s="494">
        <v>9.0</v>
      </c>
      <c r="C18" s="515"/>
      <c r="D18" s="519"/>
      <c r="E18" s="494"/>
      <c r="F18" s="501"/>
      <c r="G18" s="501"/>
      <c r="H18" s="494"/>
      <c r="I18" s="507"/>
      <c r="J18" s="507"/>
      <c r="K18" s="496"/>
      <c r="L18" s="496"/>
      <c r="M18" s="496"/>
      <c r="N18" s="496"/>
      <c r="O18" s="493"/>
      <c r="P18" s="493"/>
      <c r="Q18" s="493"/>
      <c r="R18" s="496"/>
      <c r="S18" s="496"/>
      <c r="T18" s="496"/>
      <c r="U18" s="496"/>
      <c r="V18" s="494"/>
      <c r="W18" s="494"/>
      <c r="X18" s="501"/>
      <c r="Y18" s="501"/>
      <c r="Z18" s="493"/>
    </row>
    <row r="19" ht="26.25" customHeight="1">
      <c r="A19" s="493"/>
      <c r="B19" s="494">
        <v>10.0</v>
      </c>
      <c r="C19" s="494"/>
      <c r="D19" s="510"/>
      <c r="E19" s="494"/>
      <c r="F19" s="501"/>
      <c r="G19" s="501"/>
      <c r="H19" s="494"/>
      <c r="I19" s="507"/>
      <c r="J19" s="507"/>
      <c r="K19" s="496"/>
      <c r="L19" s="496"/>
      <c r="M19" s="496"/>
      <c r="N19" s="496"/>
      <c r="O19" s="493"/>
      <c r="P19" s="493"/>
      <c r="Q19" s="493"/>
      <c r="R19" s="496"/>
      <c r="S19" s="496"/>
      <c r="T19" s="496"/>
      <c r="U19" s="496"/>
      <c r="V19" s="494"/>
      <c r="W19" s="494"/>
      <c r="X19" s="501"/>
      <c r="Y19" s="501"/>
      <c r="Z19" s="493"/>
    </row>
    <row r="20" ht="26.25" customHeight="1">
      <c r="A20" s="493"/>
      <c r="B20" s="494">
        <v>11.0</v>
      </c>
      <c r="C20" s="520"/>
      <c r="D20" s="510"/>
      <c r="E20" s="494"/>
      <c r="F20" s="501"/>
      <c r="G20" s="501"/>
      <c r="H20" s="494"/>
      <c r="I20" s="507"/>
      <c r="J20" s="507"/>
      <c r="K20" s="496"/>
      <c r="L20" s="496"/>
      <c r="M20" s="496"/>
      <c r="N20" s="496"/>
      <c r="O20" s="493"/>
      <c r="P20" s="493"/>
      <c r="Q20" s="493"/>
      <c r="R20" s="496"/>
      <c r="S20" s="496"/>
      <c r="T20" s="496"/>
      <c r="U20" s="496"/>
      <c r="V20" s="494"/>
      <c r="W20" s="494"/>
      <c r="X20" s="501"/>
      <c r="Y20" s="501"/>
      <c r="Z20" s="493"/>
    </row>
    <row r="21" ht="26.25" customHeight="1">
      <c r="A21" s="493"/>
      <c r="B21" s="494">
        <v>12.0</v>
      </c>
      <c r="C21" s="515"/>
      <c r="D21" s="510"/>
      <c r="E21" s="494"/>
      <c r="F21" s="501"/>
      <c r="G21" s="501"/>
      <c r="H21" s="494"/>
      <c r="I21" s="507"/>
      <c r="J21" s="507"/>
      <c r="K21" s="496"/>
      <c r="L21" s="496"/>
      <c r="M21" s="496"/>
      <c r="N21" s="496"/>
      <c r="O21" s="493"/>
      <c r="P21" s="493"/>
      <c r="Q21" s="493"/>
      <c r="R21" s="496"/>
      <c r="S21" s="496"/>
      <c r="T21" s="496"/>
      <c r="U21" s="496"/>
      <c r="V21" s="494"/>
      <c r="W21" s="494"/>
      <c r="X21" s="501"/>
      <c r="Y21" s="501"/>
      <c r="Z21" s="493"/>
    </row>
    <row r="22" ht="26.25" customHeight="1">
      <c r="A22" s="493"/>
      <c r="B22" s="494">
        <v>13.0</v>
      </c>
      <c r="C22" s="494"/>
      <c r="D22" s="510"/>
      <c r="E22" s="494"/>
      <c r="F22" s="501"/>
      <c r="G22" s="501"/>
      <c r="H22" s="494"/>
      <c r="I22" s="507"/>
      <c r="J22" s="507"/>
      <c r="K22" s="496"/>
      <c r="L22" s="496"/>
      <c r="M22" s="496"/>
      <c r="N22" s="496"/>
      <c r="O22" s="493"/>
      <c r="P22" s="493"/>
      <c r="Q22" s="493"/>
      <c r="R22" s="496"/>
      <c r="S22" s="496"/>
      <c r="T22" s="496"/>
      <c r="U22" s="496"/>
      <c r="V22" s="494"/>
      <c r="W22" s="521"/>
      <c r="X22" s="501"/>
      <c r="Y22" s="501"/>
      <c r="Z22" s="493"/>
    </row>
    <row r="23" ht="26.25" customHeight="1">
      <c r="A23" s="493"/>
      <c r="B23" s="494">
        <v>14.0</v>
      </c>
      <c r="C23" s="516"/>
      <c r="D23" s="510"/>
      <c r="E23" s="494"/>
      <c r="F23" s="501"/>
      <c r="G23" s="501"/>
      <c r="H23" s="494"/>
      <c r="I23" s="507"/>
      <c r="J23" s="507"/>
      <c r="K23" s="496"/>
      <c r="L23" s="496"/>
      <c r="M23" s="496"/>
      <c r="N23" s="496"/>
      <c r="O23" s="493"/>
      <c r="P23" s="493"/>
      <c r="Q23" s="493"/>
      <c r="R23" s="496"/>
      <c r="S23" s="496"/>
      <c r="T23" s="496"/>
      <c r="U23" s="496"/>
      <c r="V23" s="494"/>
      <c r="W23" s="521"/>
      <c r="X23" s="501"/>
      <c r="Y23" s="501"/>
      <c r="Z23" s="493"/>
    </row>
    <row r="24" ht="26.25" customHeight="1">
      <c r="A24" s="493"/>
      <c r="B24" s="494">
        <v>15.0</v>
      </c>
      <c r="C24" s="501"/>
      <c r="D24" s="510"/>
      <c r="E24" s="494"/>
      <c r="F24" s="501"/>
      <c r="G24" s="501"/>
      <c r="H24" s="494"/>
      <c r="I24" s="507"/>
      <c r="J24" s="507"/>
      <c r="K24" s="496"/>
      <c r="L24" s="496"/>
      <c r="M24" s="496"/>
      <c r="N24" s="496"/>
      <c r="O24" s="493"/>
      <c r="P24" s="493"/>
      <c r="Q24" s="493"/>
      <c r="R24" s="496"/>
      <c r="S24" s="496"/>
      <c r="T24" s="496"/>
      <c r="U24" s="496"/>
      <c r="V24" s="494"/>
      <c r="W24" s="521"/>
      <c r="X24" s="501"/>
      <c r="Y24" s="501"/>
      <c r="Z24" s="493"/>
    </row>
    <row r="25" ht="26.25" customHeight="1">
      <c r="A25" s="493"/>
      <c r="B25" s="494">
        <v>16.0</v>
      </c>
      <c r="C25" s="522"/>
      <c r="D25" s="510"/>
      <c r="E25" s="494"/>
      <c r="F25" s="501"/>
      <c r="G25" s="501"/>
      <c r="H25" s="494"/>
      <c r="I25" s="507"/>
      <c r="J25" s="507"/>
      <c r="K25" s="496"/>
      <c r="L25" s="496"/>
      <c r="M25" s="496"/>
      <c r="N25" s="496"/>
      <c r="O25" s="493"/>
      <c r="P25" s="493"/>
      <c r="Q25" s="493"/>
      <c r="R25" s="496"/>
      <c r="S25" s="496"/>
      <c r="T25" s="496"/>
      <c r="U25" s="496"/>
      <c r="V25" s="494"/>
      <c r="W25" s="494"/>
      <c r="X25" s="501"/>
      <c r="Y25" s="501"/>
      <c r="Z25" s="493"/>
    </row>
    <row r="26" ht="26.25" customHeight="1">
      <c r="A26" s="493"/>
      <c r="B26" s="494">
        <v>17.0</v>
      </c>
      <c r="C26" s="516"/>
      <c r="D26" s="510"/>
      <c r="E26" s="494"/>
      <c r="F26" s="501"/>
      <c r="G26" s="501"/>
      <c r="H26" s="494"/>
      <c r="I26" s="507"/>
      <c r="J26" s="507"/>
      <c r="K26" s="496"/>
      <c r="L26" s="496"/>
      <c r="M26" s="496"/>
      <c r="N26" s="496"/>
      <c r="O26" s="493"/>
      <c r="P26" s="493"/>
      <c r="Q26" s="493"/>
      <c r="R26" s="496"/>
      <c r="S26" s="496"/>
      <c r="T26" s="496"/>
      <c r="U26" s="496"/>
      <c r="V26" s="494"/>
      <c r="W26" s="494"/>
      <c r="X26" s="501"/>
      <c r="Y26" s="501"/>
      <c r="Z26" s="493"/>
    </row>
    <row r="27" ht="26.25" customHeight="1">
      <c r="A27" s="493"/>
      <c r="B27" s="494">
        <v>18.0</v>
      </c>
      <c r="C27" s="516"/>
      <c r="D27" s="510"/>
      <c r="E27" s="494"/>
      <c r="F27" s="501"/>
      <c r="G27" s="501"/>
      <c r="H27" s="494"/>
      <c r="I27" s="507"/>
      <c r="J27" s="507"/>
      <c r="K27" s="496"/>
      <c r="L27" s="496"/>
      <c r="M27" s="496"/>
      <c r="N27" s="496"/>
      <c r="O27" s="493"/>
      <c r="P27" s="493"/>
      <c r="Q27" s="493"/>
      <c r="R27" s="496"/>
      <c r="S27" s="496"/>
      <c r="T27" s="496"/>
      <c r="U27" s="496"/>
      <c r="V27" s="494"/>
      <c r="W27" s="494"/>
      <c r="X27" s="501"/>
      <c r="Y27" s="501"/>
      <c r="Z27" s="493"/>
    </row>
    <row r="28" ht="26.25" customHeight="1">
      <c r="A28" s="493"/>
      <c r="B28" s="494">
        <v>19.0</v>
      </c>
      <c r="C28" s="516"/>
      <c r="D28" s="510"/>
      <c r="E28" s="494"/>
      <c r="F28" s="501"/>
      <c r="G28" s="501"/>
      <c r="H28" s="494"/>
      <c r="I28" s="507"/>
      <c r="J28" s="507"/>
      <c r="K28" s="496"/>
      <c r="L28" s="496"/>
      <c r="M28" s="496"/>
      <c r="N28" s="496"/>
      <c r="O28" s="493"/>
      <c r="P28" s="493"/>
      <c r="Q28" s="493"/>
      <c r="R28" s="496"/>
      <c r="S28" s="496"/>
      <c r="T28" s="496"/>
      <c r="U28" s="496"/>
      <c r="V28" s="494"/>
      <c r="W28" s="494"/>
      <c r="X28" s="501"/>
      <c r="Y28" s="501"/>
      <c r="Z28" s="493"/>
    </row>
    <row r="29" ht="26.25" customHeight="1">
      <c r="A29" s="493"/>
      <c r="B29" s="494">
        <v>20.0</v>
      </c>
      <c r="C29" s="509"/>
      <c r="D29" s="510"/>
      <c r="E29" s="494"/>
      <c r="F29" s="501"/>
      <c r="G29" s="501"/>
      <c r="H29" s="494"/>
      <c r="I29" s="507"/>
      <c r="J29" s="507"/>
      <c r="K29" s="496"/>
      <c r="L29" s="496"/>
      <c r="M29" s="496"/>
      <c r="N29" s="496"/>
      <c r="O29" s="493"/>
      <c r="P29" s="493"/>
      <c r="Q29" s="493"/>
      <c r="R29" s="496"/>
      <c r="S29" s="496"/>
      <c r="T29" s="496"/>
      <c r="U29" s="496"/>
      <c r="V29" s="494"/>
      <c r="W29" s="494"/>
      <c r="X29" s="501"/>
      <c r="Y29" s="501"/>
      <c r="Z29" s="493"/>
    </row>
    <row r="30" ht="26.25" customHeight="1">
      <c r="A30" s="493"/>
      <c r="B30" s="494">
        <v>21.0</v>
      </c>
      <c r="C30" s="517"/>
      <c r="D30" s="510"/>
      <c r="E30" s="494"/>
      <c r="F30" s="501"/>
      <c r="G30" s="501"/>
      <c r="H30" s="494"/>
      <c r="I30" s="507"/>
      <c r="J30" s="507"/>
      <c r="K30" s="496"/>
      <c r="L30" s="496"/>
      <c r="M30" s="496"/>
      <c r="N30" s="496"/>
      <c r="O30" s="493"/>
      <c r="P30" s="493"/>
      <c r="Q30" s="493"/>
      <c r="R30" s="496"/>
      <c r="S30" s="496"/>
      <c r="T30" s="496"/>
      <c r="U30" s="496"/>
      <c r="V30" s="494"/>
      <c r="W30" s="494"/>
      <c r="X30" s="501"/>
      <c r="Y30" s="501"/>
      <c r="Z30" s="493"/>
    </row>
    <row r="31" ht="26.25" customHeight="1">
      <c r="A31" s="493"/>
      <c r="B31" s="494">
        <v>22.0</v>
      </c>
      <c r="C31" s="520"/>
      <c r="D31" s="510"/>
      <c r="E31" s="494"/>
      <c r="F31" s="501"/>
      <c r="G31" s="501"/>
      <c r="H31" s="494"/>
      <c r="I31" s="507"/>
      <c r="J31" s="507"/>
      <c r="K31" s="496"/>
      <c r="L31" s="496"/>
      <c r="M31" s="496"/>
      <c r="N31" s="496"/>
      <c r="O31" s="493"/>
      <c r="P31" s="493"/>
      <c r="Q31" s="493"/>
      <c r="R31" s="496"/>
      <c r="S31" s="496"/>
      <c r="T31" s="496"/>
      <c r="U31" s="496"/>
      <c r="V31" s="494"/>
      <c r="W31" s="494"/>
      <c r="X31" s="501"/>
      <c r="Y31" s="501"/>
      <c r="Z31" s="493"/>
    </row>
    <row r="32" ht="26.25" customHeight="1">
      <c r="A32" s="493"/>
      <c r="B32" s="494">
        <v>23.0</v>
      </c>
      <c r="C32" s="515"/>
      <c r="D32" s="510"/>
      <c r="E32" s="494"/>
      <c r="F32" s="501"/>
      <c r="G32" s="501"/>
      <c r="H32" s="494"/>
      <c r="I32" s="507"/>
      <c r="J32" s="507"/>
      <c r="K32" s="496"/>
      <c r="L32" s="496"/>
      <c r="M32" s="496"/>
      <c r="N32" s="496"/>
      <c r="O32" s="493"/>
      <c r="P32" s="493"/>
      <c r="Q32" s="493"/>
      <c r="R32" s="496"/>
      <c r="S32" s="496"/>
      <c r="T32" s="496"/>
      <c r="U32" s="496"/>
      <c r="V32" s="494"/>
      <c r="W32" s="494"/>
      <c r="X32" s="501"/>
      <c r="Y32" s="501"/>
      <c r="Z32" s="493"/>
    </row>
    <row r="33" ht="26.25" customHeight="1">
      <c r="A33" s="493"/>
      <c r="B33" s="494"/>
      <c r="C33" s="494" t="s">
        <v>117</v>
      </c>
      <c r="D33" s="523">
        <f>SUM(D10:D32)</f>
        <v>0</v>
      </c>
      <c r="E33" s="494"/>
      <c r="F33" s="501"/>
      <c r="G33" s="501"/>
      <c r="H33" s="494"/>
      <c r="I33" s="507"/>
      <c r="J33" s="507"/>
      <c r="K33" s="496"/>
      <c r="L33" s="496"/>
      <c r="M33" s="496"/>
      <c r="N33" s="496"/>
      <c r="O33" s="493"/>
      <c r="P33" s="493"/>
      <c r="Q33" s="493"/>
      <c r="R33" s="496"/>
      <c r="S33" s="496"/>
      <c r="T33" s="496"/>
      <c r="U33" s="496"/>
      <c r="V33" s="499"/>
      <c r="W33" s="496"/>
      <c r="X33" s="493"/>
      <c r="Y33" s="493"/>
      <c r="Z33" s="493"/>
    </row>
    <row r="34" ht="26.25" customHeight="1">
      <c r="A34" s="493"/>
      <c r="B34" s="520" t="s">
        <v>242</v>
      </c>
      <c r="C34" s="520">
        <v>30.0</v>
      </c>
      <c r="D34" s="515">
        <v>50.0</v>
      </c>
      <c r="E34" s="510">
        <v>70.0</v>
      </c>
      <c r="F34" s="501"/>
      <c r="G34" s="501"/>
      <c r="H34" s="494"/>
      <c r="I34" s="507"/>
      <c r="J34" s="507"/>
      <c r="K34" s="496"/>
      <c r="L34" s="496"/>
      <c r="M34" s="496"/>
      <c r="N34" s="496"/>
      <c r="O34" s="493"/>
      <c r="P34" s="493"/>
      <c r="Q34" s="493"/>
      <c r="R34" s="496"/>
      <c r="S34" s="496"/>
      <c r="T34" s="496"/>
      <c r="U34" s="496"/>
      <c r="V34" s="499"/>
      <c r="W34" s="496"/>
      <c r="X34" s="493"/>
      <c r="Y34" s="493"/>
      <c r="Z34" s="493"/>
    </row>
    <row r="35" ht="26.25" customHeight="1">
      <c r="A35" s="493"/>
      <c r="B35" s="494" t="s">
        <v>48</v>
      </c>
      <c r="C35" s="501">
        <f>+D10+D16+D20+D25+D29+D30+D31</f>
        <v>0</v>
      </c>
      <c r="D35" s="501">
        <f>+D12+D14+D17+D18+D21+D23+D26+D27+D28+D32</f>
        <v>0</v>
      </c>
      <c r="E35" s="501">
        <f>+D11+D13+D15+D19+D22+D24</f>
        <v>0</v>
      </c>
      <c r="F35" s="523">
        <f>SUM(C35:E35)</f>
        <v>0</v>
      </c>
      <c r="G35" s="501"/>
      <c r="H35" s="494"/>
      <c r="I35" s="507"/>
      <c r="J35" s="507"/>
      <c r="K35" s="496"/>
      <c r="L35" s="496"/>
      <c r="M35" s="496"/>
      <c r="N35" s="496"/>
      <c r="O35" s="493"/>
      <c r="P35" s="493"/>
      <c r="Q35" s="493"/>
      <c r="R35" s="496"/>
      <c r="S35" s="496"/>
      <c r="T35" s="496"/>
      <c r="U35" s="496"/>
      <c r="V35" s="499"/>
      <c r="W35" s="496"/>
      <c r="X35" s="493"/>
      <c r="Y35" s="493"/>
      <c r="Z35" s="493"/>
    </row>
    <row r="36" ht="26.25" customHeight="1">
      <c r="A36" s="493"/>
      <c r="B36" s="494"/>
      <c r="C36" s="494"/>
      <c r="D36" s="494"/>
      <c r="E36" s="494"/>
      <c r="F36" s="501"/>
      <c r="G36" s="501"/>
      <c r="H36" s="494"/>
      <c r="I36" s="507"/>
      <c r="J36" s="507"/>
      <c r="K36" s="496"/>
      <c r="L36" s="496"/>
      <c r="M36" s="496"/>
      <c r="N36" s="496"/>
      <c r="O36" s="493"/>
      <c r="P36" s="493"/>
      <c r="Q36" s="493"/>
      <c r="R36" s="496"/>
      <c r="S36" s="496"/>
      <c r="T36" s="496"/>
      <c r="U36" s="496"/>
      <c r="V36" s="499"/>
      <c r="W36" s="496"/>
      <c r="X36" s="493"/>
      <c r="Y36" s="493"/>
      <c r="Z36" s="493"/>
    </row>
    <row r="37" ht="26.25" customHeight="1">
      <c r="A37" s="493"/>
      <c r="B37" s="494"/>
      <c r="C37" s="494"/>
      <c r="D37" s="494"/>
      <c r="E37" s="494"/>
      <c r="F37" s="501"/>
      <c r="G37" s="501"/>
      <c r="H37" s="494"/>
      <c r="I37" s="507"/>
      <c r="J37" s="507"/>
      <c r="K37" s="496"/>
      <c r="L37" s="496"/>
      <c r="M37" s="496"/>
      <c r="N37" s="496"/>
      <c r="O37" s="493"/>
      <c r="P37" s="493"/>
      <c r="Q37" s="493"/>
      <c r="R37" s="496"/>
      <c r="S37" s="496"/>
      <c r="T37" s="496"/>
      <c r="U37" s="496"/>
      <c r="V37" s="499"/>
      <c r="W37" s="496"/>
      <c r="X37" s="493"/>
      <c r="Y37" s="493"/>
      <c r="Z37" s="493"/>
    </row>
    <row r="38" ht="26.25" customHeight="1">
      <c r="A38" s="493"/>
      <c r="B38" s="494"/>
      <c r="C38" s="501"/>
      <c r="D38" s="494"/>
      <c r="E38" s="494"/>
      <c r="F38" s="501"/>
      <c r="G38" s="501"/>
      <c r="H38" s="494"/>
      <c r="I38" s="507"/>
      <c r="J38" s="507"/>
      <c r="K38" s="496"/>
      <c r="L38" s="496"/>
      <c r="M38" s="496"/>
      <c r="N38" s="496"/>
      <c r="O38" s="493"/>
      <c r="P38" s="493"/>
      <c r="Q38" s="493"/>
      <c r="R38" s="496"/>
      <c r="S38" s="496"/>
      <c r="T38" s="496"/>
      <c r="U38" s="496"/>
      <c r="V38" s="499"/>
      <c r="W38" s="496"/>
      <c r="X38" s="493"/>
      <c r="Y38" s="493"/>
      <c r="Z38" s="493"/>
    </row>
    <row r="39" ht="26.25" customHeight="1">
      <c r="A39" s="493"/>
      <c r="B39" s="494"/>
      <c r="C39" s="494"/>
      <c r="D39" s="494"/>
      <c r="E39" s="494"/>
      <c r="F39" s="501"/>
      <c r="G39" s="501"/>
      <c r="H39" s="494"/>
      <c r="I39" s="507"/>
      <c r="J39" s="507"/>
      <c r="K39" s="496"/>
      <c r="L39" s="496"/>
      <c r="M39" s="496"/>
      <c r="N39" s="496"/>
      <c r="O39" s="493"/>
      <c r="P39" s="493"/>
      <c r="Q39" s="493"/>
      <c r="R39" s="496"/>
      <c r="S39" s="496"/>
      <c r="T39" s="496"/>
      <c r="U39" s="496"/>
      <c r="V39" s="499"/>
      <c r="W39" s="496"/>
      <c r="X39" s="493"/>
      <c r="Y39" s="493"/>
      <c r="Z39" s="493"/>
    </row>
    <row r="40" ht="26.25" customHeight="1">
      <c r="A40" s="493"/>
      <c r="B40" s="494"/>
      <c r="C40" s="494"/>
      <c r="D40" s="494"/>
      <c r="E40" s="494"/>
      <c r="F40" s="501"/>
      <c r="G40" s="501"/>
      <c r="H40" s="494"/>
      <c r="I40" s="507"/>
      <c r="J40" s="507"/>
      <c r="K40" s="496"/>
      <c r="L40" s="496"/>
      <c r="M40" s="496"/>
      <c r="N40" s="496"/>
      <c r="O40" s="493"/>
      <c r="P40" s="493"/>
      <c r="Q40" s="493"/>
      <c r="R40" s="496"/>
      <c r="S40" s="496"/>
      <c r="T40" s="496"/>
      <c r="U40" s="496"/>
      <c r="V40" s="499"/>
      <c r="W40" s="496"/>
      <c r="X40" s="493"/>
      <c r="Y40" s="493"/>
      <c r="Z40" s="493"/>
    </row>
    <row r="41" ht="26.25" customHeight="1">
      <c r="A41" s="493"/>
      <c r="B41" s="494"/>
      <c r="C41" s="494"/>
      <c r="D41" s="494"/>
      <c r="E41" s="494"/>
      <c r="F41" s="501"/>
      <c r="G41" s="501"/>
      <c r="H41" s="494"/>
      <c r="I41" s="507"/>
      <c r="J41" s="507"/>
      <c r="K41" s="496"/>
      <c r="L41" s="496"/>
      <c r="M41" s="496"/>
      <c r="N41" s="496"/>
      <c r="O41" s="493"/>
      <c r="P41" s="493"/>
      <c r="Q41" s="493"/>
      <c r="R41" s="496"/>
      <c r="S41" s="496"/>
      <c r="T41" s="496"/>
      <c r="U41" s="496"/>
      <c r="V41" s="499"/>
      <c r="W41" s="496"/>
      <c r="X41" s="493"/>
      <c r="Y41" s="493"/>
      <c r="Z41" s="493"/>
    </row>
    <row r="42" ht="26.25" customHeight="1">
      <c r="A42" s="493"/>
      <c r="B42" s="494"/>
      <c r="C42" s="494"/>
      <c r="D42" s="494"/>
      <c r="E42" s="494"/>
      <c r="F42" s="501"/>
      <c r="G42" s="501"/>
      <c r="H42" s="494"/>
      <c r="I42" s="507"/>
      <c r="J42" s="507"/>
      <c r="K42" s="496"/>
      <c r="L42" s="496"/>
      <c r="M42" s="496"/>
      <c r="N42" s="496"/>
      <c r="O42" s="493"/>
      <c r="P42" s="493"/>
      <c r="Q42" s="493"/>
      <c r="R42" s="496"/>
      <c r="S42" s="496"/>
      <c r="T42" s="496"/>
      <c r="U42" s="496"/>
      <c r="V42" s="499"/>
      <c r="W42" s="496"/>
      <c r="X42" s="493"/>
      <c r="Y42" s="493"/>
      <c r="Z42" s="493"/>
    </row>
    <row r="43" ht="26.25" customHeight="1">
      <c r="A43" s="493"/>
      <c r="B43" s="494"/>
      <c r="C43" s="494"/>
      <c r="D43" s="494"/>
      <c r="E43" s="494"/>
      <c r="F43" s="501"/>
      <c r="G43" s="501"/>
      <c r="H43" s="494"/>
      <c r="I43" s="507"/>
      <c r="J43" s="507"/>
      <c r="K43" s="496"/>
      <c r="L43" s="496"/>
      <c r="M43" s="496"/>
      <c r="N43" s="496"/>
      <c r="O43" s="493"/>
      <c r="P43" s="493"/>
      <c r="Q43" s="493"/>
      <c r="R43" s="496"/>
      <c r="S43" s="496"/>
      <c r="T43" s="496"/>
      <c r="U43" s="496"/>
      <c r="V43" s="499"/>
      <c r="W43" s="496"/>
      <c r="X43" s="493"/>
      <c r="Y43" s="493"/>
      <c r="Z43" s="493"/>
    </row>
    <row r="44" ht="26.25" customHeight="1">
      <c r="A44" s="493"/>
      <c r="B44" s="494"/>
      <c r="C44" s="494"/>
      <c r="D44" s="494"/>
      <c r="E44" s="494"/>
      <c r="F44" s="501"/>
      <c r="G44" s="501"/>
      <c r="H44" s="494"/>
      <c r="I44" s="507"/>
      <c r="J44" s="507"/>
      <c r="K44" s="496"/>
      <c r="L44" s="496"/>
      <c r="M44" s="496"/>
      <c r="N44" s="496"/>
      <c r="O44" s="493"/>
      <c r="P44" s="493"/>
      <c r="Q44" s="493"/>
      <c r="R44" s="496"/>
      <c r="S44" s="496"/>
      <c r="T44" s="496"/>
      <c r="U44" s="496"/>
      <c r="V44" s="499"/>
      <c r="W44" s="496"/>
      <c r="X44" s="493"/>
      <c r="Y44" s="493"/>
      <c r="Z44" s="493"/>
    </row>
    <row r="45" ht="26.25" customHeight="1">
      <c r="A45" s="493"/>
      <c r="B45" s="494"/>
      <c r="C45" s="494"/>
      <c r="D45" s="494"/>
      <c r="E45" s="494"/>
      <c r="F45" s="501"/>
      <c r="G45" s="501"/>
      <c r="H45" s="494"/>
      <c r="I45" s="507"/>
      <c r="J45" s="507"/>
      <c r="K45" s="496"/>
      <c r="L45" s="496"/>
      <c r="M45" s="496"/>
      <c r="N45" s="496"/>
      <c r="O45" s="493"/>
      <c r="P45" s="493"/>
      <c r="Q45" s="493"/>
      <c r="R45" s="496"/>
      <c r="S45" s="496"/>
      <c r="T45" s="496"/>
      <c r="U45" s="496"/>
      <c r="V45" s="499"/>
      <c r="W45" s="496"/>
      <c r="X45" s="493"/>
      <c r="Y45" s="493"/>
      <c r="Z45" s="493"/>
    </row>
    <row r="46" ht="26.25" customHeight="1">
      <c r="A46" s="493"/>
      <c r="B46" s="494"/>
      <c r="C46" s="494"/>
      <c r="D46" s="494"/>
      <c r="E46" s="494"/>
      <c r="F46" s="501"/>
      <c r="G46" s="501"/>
      <c r="H46" s="494"/>
      <c r="I46" s="507"/>
      <c r="J46" s="507"/>
      <c r="K46" s="496"/>
      <c r="L46" s="496"/>
      <c r="M46" s="496"/>
      <c r="N46" s="496"/>
      <c r="O46" s="493"/>
      <c r="P46" s="493"/>
      <c r="Q46" s="493"/>
      <c r="R46" s="496"/>
      <c r="S46" s="496"/>
      <c r="T46" s="496"/>
      <c r="U46" s="496"/>
      <c r="V46" s="499"/>
      <c r="W46" s="496"/>
      <c r="X46" s="493"/>
      <c r="Y46" s="493"/>
      <c r="Z46" s="493"/>
    </row>
    <row r="47" ht="26.25" customHeight="1">
      <c r="A47" s="493"/>
      <c r="B47" s="494"/>
      <c r="C47" s="494"/>
      <c r="D47" s="494"/>
      <c r="E47" s="494"/>
      <c r="F47" s="501"/>
      <c r="G47" s="501"/>
      <c r="H47" s="494"/>
      <c r="I47" s="507"/>
      <c r="J47" s="507"/>
      <c r="K47" s="496"/>
      <c r="L47" s="496"/>
      <c r="M47" s="496"/>
      <c r="N47" s="496"/>
      <c r="O47" s="493"/>
      <c r="P47" s="493"/>
      <c r="Q47" s="493"/>
      <c r="R47" s="496"/>
      <c r="S47" s="496"/>
      <c r="T47" s="496"/>
      <c r="U47" s="496"/>
      <c r="V47" s="499"/>
      <c r="W47" s="496"/>
      <c r="X47" s="493"/>
      <c r="Y47" s="493"/>
      <c r="Z47" s="493"/>
    </row>
    <row r="48" ht="26.25" customHeight="1">
      <c r="A48" s="493"/>
      <c r="B48" s="494"/>
      <c r="C48" s="494"/>
      <c r="D48" s="494"/>
      <c r="E48" s="494"/>
      <c r="F48" s="501"/>
      <c r="G48" s="501"/>
      <c r="H48" s="494"/>
      <c r="I48" s="507"/>
      <c r="J48" s="507"/>
      <c r="K48" s="496"/>
      <c r="L48" s="496"/>
      <c r="M48" s="496"/>
      <c r="N48" s="496"/>
      <c r="O48" s="493"/>
      <c r="P48" s="493"/>
      <c r="Q48" s="493"/>
      <c r="R48" s="496"/>
      <c r="S48" s="496"/>
      <c r="T48" s="496"/>
      <c r="U48" s="496"/>
      <c r="V48" s="499"/>
      <c r="W48" s="496"/>
      <c r="X48" s="493"/>
      <c r="Y48" s="493"/>
      <c r="Z48" s="493"/>
    </row>
    <row r="49" ht="26.25" customHeight="1">
      <c r="A49" s="493"/>
      <c r="B49" s="494"/>
      <c r="C49" s="494"/>
      <c r="D49" s="494"/>
      <c r="E49" s="494"/>
      <c r="F49" s="501"/>
      <c r="G49" s="501"/>
      <c r="H49" s="494"/>
      <c r="I49" s="507"/>
      <c r="J49" s="507"/>
      <c r="K49" s="496"/>
      <c r="L49" s="496"/>
      <c r="M49" s="496"/>
      <c r="N49" s="496"/>
      <c r="O49" s="493"/>
      <c r="P49" s="493"/>
      <c r="Q49" s="493"/>
      <c r="R49" s="496"/>
      <c r="S49" s="496"/>
      <c r="T49" s="496"/>
      <c r="U49" s="496"/>
      <c r="V49" s="499"/>
      <c r="W49" s="496"/>
      <c r="X49" s="493"/>
      <c r="Y49" s="493"/>
      <c r="Z49" s="493"/>
    </row>
    <row r="50" ht="26.25" customHeight="1">
      <c r="A50" s="493"/>
      <c r="B50" s="494"/>
      <c r="C50" s="494"/>
      <c r="D50" s="494"/>
      <c r="E50" s="494"/>
      <c r="F50" s="501"/>
      <c r="G50" s="501"/>
      <c r="H50" s="494"/>
      <c r="I50" s="507"/>
      <c r="J50" s="507"/>
      <c r="K50" s="496"/>
      <c r="L50" s="496"/>
      <c r="M50" s="496"/>
      <c r="N50" s="496"/>
      <c r="O50" s="493"/>
      <c r="P50" s="493"/>
      <c r="Q50" s="493"/>
      <c r="R50" s="496"/>
      <c r="S50" s="496"/>
      <c r="T50" s="496"/>
      <c r="U50" s="496"/>
      <c r="V50" s="499"/>
      <c r="W50" s="496"/>
      <c r="X50" s="493"/>
      <c r="Y50" s="493"/>
      <c r="Z50" s="493"/>
    </row>
    <row r="51" ht="26.25" customHeight="1">
      <c r="A51" s="493"/>
      <c r="B51" s="494"/>
      <c r="C51" s="494"/>
      <c r="D51" s="494"/>
      <c r="E51" s="494"/>
      <c r="F51" s="501"/>
      <c r="G51" s="501"/>
      <c r="H51" s="494"/>
      <c r="I51" s="507"/>
      <c r="J51" s="507"/>
      <c r="K51" s="496"/>
      <c r="L51" s="496"/>
      <c r="M51" s="496"/>
      <c r="N51" s="496"/>
      <c r="O51" s="493"/>
      <c r="P51" s="493"/>
      <c r="Q51" s="493"/>
      <c r="R51" s="496"/>
      <c r="S51" s="496"/>
      <c r="T51" s="496"/>
      <c r="U51" s="496"/>
      <c r="V51" s="499"/>
      <c r="W51" s="496"/>
      <c r="X51" s="493"/>
      <c r="Y51" s="493"/>
      <c r="Z51" s="493"/>
    </row>
    <row r="52" ht="26.25" customHeight="1">
      <c r="A52" s="493"/>
      <c r="B52" s="494"/>
      <c r="C52" s="494"/>
      <c r="D52" s="494"/>
      <c r="E52" s="494"/>
      <c r="F52" s="501"/>
      <c r="G52" s="501"/>
      <c r="H52" s="494"/>
      <c r="I52" s="507"/>
      <c r="J52" s="507"/>
      <c r="K52" s="496"/>
      <c r="L52" s="496"/>
      <c r="M52" s="496"/>
      <c r="N52" s="496"/>
      <c r="O52" s="493"/>
      <c r="P52" s="493"/>
      <c r="Q52" s="493"/>
      <c r="R52" s="496"/>
      <c r="S52" s="496"/>
      <c r="T52" s="496"/>
      <c r="U52" s="496"/>
      <c r="V52" s="499"/>
      <c r="W52" s="496"/>
      <c r="X52" s="493"/>
      <c r="Y52" s="493"/>
      <c r="Z52" s="493"/>
    </row>
    <row r="53" ht="26.25" customHeight="1">
      <c r="A53" s="493"/>
      <c r="B53" s="494"/>
      <c r="C53" s="494"/>
      <c r="D53" s="494"/>
      <c r="E53" s="494"/>
      <c r="F53" s="501"/>
      <c r="G53" s="501"/>
      <c r="H53" s="494"/>
      <c r="I53" s="507"/>
      <c r="J53" s="507"/>
      <c r="K53" s="496"/>
      <c r="L53" s="496"/>
      <c r="M53" s="496"/>
      <c r="N53" s="496"/>
      <c r="O53" s="493"/>
      <c r="P53" s="493"/>
      <c r="Q53" s="493"/>
      <c r="R53" s="496"/>
      <c r="S53" s="496"/>
      <c r="T53" s="496"/>
      <c r="U53" s="496"/>
      <c r="V53" s="499"/>
      <c r="W53" s="496"/>
      <c r="X53" s="493"/>
      <c r="Y53" s="493"/>
      <c r="Z53" s="493"/>
    </row>
    <row r="54" ht="26.25" customHeight="1">
      <c r="A54" s="493"/>
      <c r="B54" s="494"/>
      <c r="C54" s="494"/>
      <c r="D54" s="494"/>
      <c r="E54" s="494"/>
      <c r="F54" s="501"/>
      <c r="G54" s="501"/>
      <c r="H54" s="494"/>
      <c r="I54" s="507"/>
      <c r="J54" s="507"/>
      <c r="K54" s="496"/>
      <c r="L54" s="496"/>
      <c r="M54" s="496"/>
      <c r="N54" s="496"/>
      <c r="O54" s="493"/>
      <c r="P54" s="493"/>
      <c r="Q54" s="493"/>
      <c r="R54" s="496"/>
      <c r="S54" s="496"/>
      <c r="T54" s="496"/>
      <c r="U54" s="496"/>
      <c r="V54" s="499"/>
      <c r="W54" s="496"/>
      <c r="X54" s="493"/>
      <c r="Y54" s="493"/>
      <c r="Z54" s="493"/>
    </row>
    <row r="55" ht="26.25" customHeight="1">
      <c r="A55" s="493"/>
      <c r="B55" s="494"/>
      <c r="C55" s="494"/>
      <c r="D55" s="494"/>
      <c r="E55" s="494"/>
      <c r="F55" s="501"/>
      <c r="G55" s="501"/>
      <c r="H55" s="494"/>
      <c r="I55" s="507"/>
      <c r="J55" s="507"/>
      <c r="K55" s="496"/>
      <c r="L55" s="496"/>
      <c r="M55" s="496"/>
      <c r="N55" s="496"/>
      <c r="O55" s="493"/>
      <c r="P55" s="493"/>
      <c r="Q55" s="493"/>
      <c r="R55" s="496"/>
      <c r="S55" s="496"/>
      <c r="T55" s="496"/>
      <c r="U55" s="496"/>
      <c r="V55" s="499"/>
      <c r="W55" s="496"/>
      <c r="X55" s="493"/>
      <c r="Y55" s="493"/>
      <c r="Z55" s="493"/>
    </row>
    <row r="56" ht="26.25" customHeight="1">
      <c r="A56" s="493"/>
      <c r="B56" s="494"/>
      <c r="C56" s="494"/>
      <c r="D56" s="494"/>
      <c r="E56" s="494"/>
      <c r="F56" s="501"/>
      <c r="G56" s="501"/>
      <c r="H56" s="494"/>
      <c r="I56" s="507"/>
      <c r="J56" s="507"/>
      <c r="K56" s="496"/>
      <c r="L56" s="496"/>
      <c r="M56" s="496"/>
      <c r="N56" s="496"/>
      <c r="O56" s="493"/>
      <c r="P56" s="493"/>
      <c r="Q56" s="493"/>
      <c r="R56" s="496"/>
      <c r="S56" s="496"/>
      <c r="T56" s="496"/>
      <c r="U56" s="496"/>
      <c r="V56" s="499"/>
      <c r="W56" s="496"/>
      <c r="X56" s="493"/>
      <c r="Y56" s="493"/>
      <c r="Z56" s="493"/>
    </row>
    <row r="57" ht="26.25" customHeight="1">
      <c r="A57" s="493"/>
      <c r="B57" s="494"/>
      <c r="C57" s="494"/>
      <c r="D57" s="494"/>
      <c r="E57" s="494"/>
      <c r="F57" s="501"/>
      <c r="G57" s="501"/>
      <c r="H57" s="494"/>
      <c r="I57" s="507"/>
      <c r="J57" s="507"/>
      <c r="K57" s="496"/>
      <c r="L57" s="496"/>
      <c r="M57" s="496"/>
      <c r="N57" s="496"/>
      <c r="O57" s="493"/>
      <c r="P57" s="493"/>
      <c r="Q57" s="493"/>
      <c r="R57" s="496"/>
      <c r="S57" s="496"/>
      <c r="T57" s="496"/>
      <c r="U57" s="496"/>
      <c r="V57" s="499"/>
      <c r="W57" s="496"/>
      <c r="X57" s="493"/>
      <c r="Y57" s="493"/>
      <c r="Z57" s="493"/>
    </row>
    <row r="58" ht="26.25" customHeight="1">
      <c r="A58" s="493"/>
      <c r="B58" s="494"/>
      <c r="C58" s="494"/>
      <c r="D58" s="494" t="s">
        <v>117</v>
      </c>
      <c r="E58" s="524">
        <f>SUM(E37:E57)</f>
        <v>0</v>
      </c>
      <c r="F58" s="501"/>
      <c r="G58" s="501"/>
      <c r="H58" s="494"/>
      <c r="I58" s="507"/>
      <c r="J58" s="507"/>
      <c r="K58" s="496"/>
      <c r="L58" s="496"/>
      <c r="M58" s="496"/>
      <c r="N58" s="496"/>
      <c r="O58" s="493"/>
      <c r="P58" s="493"/>
      <c r="Q58" s="493"/>
      <c r="R58" s="496"/>
      <c r="S58" s="496"/>
      <c r="T58" s="496"/>
      <c r="U58" s="496"/>
      <c r="V58" s="499"/>
      <c r="W58" s="496"/>
      <c r="X58" s="493"/>
      <c r="Y58" s="493"/>
      <c r="Z58" s="493"/>
    </row>
    <row r="59" ht="26.25" customHeight="1">
      <c r="A59" s="493"/>
      <c r="B59" s="494"/>
      <c r="C59" s="494"/>
      <c r="D59" s="494"/>
      <c r="E59" s="494"/>
      <c r="F59" s="501"/>
      <c r="G59" s="501"/>
      <c r="H59" s="494"/>
      <c r="I59" s="507"/>
      <c r="J59" s="507"/>
      <c r="K59" s="496"/>
      <c r="L59" s="496"/>
      <c r="M59" s="496"/>
      <c r="N59" s="496"/>
      <c r="O59" s="493"/>
      <c r="P59" s="493"/>
      <c r="Q59" s="493"/>
      <c r="R59" s="496"/>
      <c r="S59" s="496"/>
      <c r="T59" s="496"/>
      <c r="U59" s="496"/>
      <c r="V59" s="499"/>
      <c r="W59" s="496"/>
      <c r="X59" s="493"/>
      <c r="Y59" s="493"/>
      <c r="Z59" s="493"/>
    </row>
    <row r="60" ht="26.25" customHeight="1">
      <c r="A60" s="493"/>
      <c r="B60" s="494"/>
      <c r="C60" s="494"/>
      <c r="D60" s="494"/>
      <c r="E60" s="494"/>
      <c r="F60" s="501"/>
      <c r="G60" s="501"/>
      <c r="H60" s="494"/>
      <c r="I60" s="507"/>
      <c r="J60" s="507"/>
      <c r="K60" s="496"/>
      <c r="L60" s="496"/>
      <c r="M60" s="496"/>
      <c r="N60" s="496"/>
      <c r="O60" s="493"/>
      <c r="P60" s="493"/>
      <c r="Q60" s="493"/>
      <c r="R60" s="496"/>
      <c r="S60" s="496"/>
      <c r="T60" s="496"/>
      <c r="U60" s="496"/>
      <c r="V60" s="499"/>
      <c r="W60" s="496"/>
      <c r="X60" s="493"/>
      <c r="Y60" s="493"/>
      <c r="Z60" s="493"/>
    </row>
    <row r="61" ht="26.25" customHeight="1">
      <c r="A61" s="493"/>
      <c r="B61" s="494"/>
      <c r="C61" s="494"/>
      <c r="D61" s="494"/>
      <c r="E61" s="494"/>
      <c r="F61" s="501"/>
      <c r="G61" s="501"/>
      <c r="H61" s="494"/>
      <c r="I61" s="507"/>
      <c r="J61" s="507"/>
      <c r="K61" s="496"/>
      <c r="L61" s="496"/>
      <c r="M61" s="496"/>
      <c r="N61" s="496"/>
      <c r="O61" s="493"/>
      <c r="P61" s="493"/>
      <c r="Q61" s="493"/>
      <c r="R61" s="496"/>
      <c r="S61" s="496"/>
      <c r="T61" s="496"/>
      <c r="U61" s="496"/>
      <c r="V61" s="499"/>
      <c r="W61" s="496"/>
      <c r="X61" s="493"/>
      <c r="Y61" s="493"/>
      <c r="Z61" s="493"/>
    </row>
    <row r="62" ht="26.25" customHeight="1">
      <c r="A62" s="493"/>
      <c r="B62" s="494"/>
      <c r="C62" s="494"/>
      <c r="D62" s="494"/>
      <c r="E62" s="494"/>
      <c r="F62" s="501"/>
      <c r="G62" s="501"/>
      <c r="H62" s="494"/>
      <c r="I62" s="507"/>
      <c r="J62" s="507"/>
      <c r="K62" s="496"/>
      <c r="L62" s="496"/>
      <c r="M62" s="496"/>
      <c r="N62" s="496"/>
      <c r="O62" s="493"/>
      <c r="P62" s="493"/>
      <c r="Q62" s="493"/>
      <c r="R62" s="496"/>
      <c r="S62" s="496"/>
      <c r="T62" s="496"/>
      <c r="U62" s="496"/>
      <c r="V62" s="499"/>
      <c r="W62" s="496"/>
      <c r="X62" s="493"/>
      <c r="Y62" s="493"/>
      <c r="Z62" s="493"/>
    </row>
    <row r="63" ht="26.25" customHeight="1">
      <c r="A63" s="493"/>
      <c r="B63" s="494"/>
      <c r="C63" s="494"/>
      <c r="D63" s="494"/>
      <c r="E63" s="494"/>
      <c r="F63" s="501"/>
      <c r="G63" s="501"/>
      <c r="H63" s="494"/>
      <c r="I63" s="507"/>
      <c r="J63" s="507"/>
      <c r="K63" s="496"/>
      <c r="L63" s="496"/>
      <c r="M63" s="496"/>
      <c r="N63" s="496"/>
      <c r="O63" s="493"/>
      <c r="P63" s="493"/>
      <c r="Q63" s="493"/>
      <c r="R63" s="496"/>
      <c r="S63" s="496"/>
      <c r="T63" s="496"/>
      <c r="U63" s="496"/>
      <c r="V63" s="499"/>
      <c r="W63" s="496"/>
      <c r="X63" s="493"/>
      <c r="Y63" s="493"/>
      <c r="Z63" s="493"/>
    </row>
    <row r="64" ht="26.25" customHeight="1">
      <c r="A64" s="493"/>
      <c r="B64" s="494"/>
      <c r="C64" s="494"/>
      <c r="D64" s="494"/>
      <c r="E64" s="494"/>
      <c r="F64" s="501"/>
      <c r="G64" s="501"/>
      <c r="H64" s="494"/>
      <c r="I64" s="507"/>
      <c r="J64" s="507"/>
      <c r="K64" s="496"/>
      <c r="L64" s="496"/>
      <c r="M64" s="496"/>
      <c r="N64" s="496"/>
      <c r="O64" s="493"/>
      <c r="P64" s="493"/>
      <c r="Q64" s="493"/>
      <c r="R64" s="496"/>
      <c r="S64" s="496"/>
      <c r="T64" s="496"/>
      <c r="U64" s="496"/>
      <c r="V64" s="499"/>
      <c r="W64" s="496"/>
      <c r="X64" s="493"/>
      <c r="Y64" s="493"/>
      <c r="Z64" s="493"/>
    </row>
    <row r="65" ht="26.25" customHeight="1">
      <c r="A65" s="493"/>
      <c r="B65" s="494"/>
      <c r="C65" s="494"/>
      <c r="D65" s="494"/>
      <c r="E65" s="494"/>
      <c r="F65" s="501"/>
      <c r="G65" s="501"/>
      <c r="H65" s="494"/>
      <c r="I65" s="507"/>
      <c r="J65" s="507"/>
      <c r="K65" s="496"/>
      <c r="L65" s="496"/>
      <c r="M65" s="496"/>
      <c r="N65" s="496"/>
      <c r="O65" s="493"/>
      <c r="P65" s="493"/>
      <c r="Q65" s="493"/>
      <c r="R65" s="496"/>
      <c r="S65" s="496"/>
      <c r="T65" s="496"/>
      <c r="U65" s="496"/>
      <c r="V65" s="499"/>
      <c r="W65" s="496"/>
      <c r="X65" s="493"/>
      <c r="Y65" s="493"/>
      <c r="Z65" s="493"/>
    </row>
    <row r="66" ht="26.25" customHeight="1">
      <c r="A66" s="493"/>
      <c r="B66" s="494"/>
      <c r="C66" s="494"/>
      <c r="D66" s="494"/>
      <c r="E66" s="494"/>
      <c r="F66" s="501"/>
      <c r="G66" s="501"/>
      <c r="H66" s="494"/>
      <c r="I66" s="507"/>
      <c r="J66" s="507"/>
      <c r="K66" s="496"/>
      <c r="L66" s="496"/>
      <c r="M66" s="496"/>
      <c r="N66" s="496"/>
      <c r="O66" s="493"/>
      <c r="P66" s="493"/>
      <c r="Q66" s="493"/>
      <c r="R66" s="496"/>
      <c r="S66" s="496"/>
      <c r="T66" s="496"/>
      <c r="U66" s="496"/>
      <c r="V66" s="499"/>
      <c r="W66" s="496"/>
      <c r="X66" s="493"/>
      <c r="Y66" s="493"/>
      <c r="Z66" s="493"/>
    </row>
    <row r="67" ht="26.25" customHeight="1">
      <c r="A67" s="493"/>
      <c r="B67" s="494"/>
      <c r="C67" s="494"/>
      <c r="D67" s="494"/>
      <c r="E67" s="494"/>
      <c r="F67" s="501"/>
      <c r="G67" s="501"/>
      <c r="H67" s="494"/>
      <c r="I67" s="507"/>
      <c r="J67" s="507"/>
      <c r="K67" s="496"/>
      <c r="L67" s="496"/>
      <c r="M67" s="496"/>
      <c r="N67" s="496"/>
      <c r="O67" s="493"/>
      <c r="P67" s="493"/>
      <c r="Q67" s="493"/>
      <c r="R67" s="496"/>
      <c r="S67" s="496"/>
      <c r="T67" s="496"/>
      <c r="U67" s="496"/>
      <c r="V67" s="499"/>
      <c r="W67" s="496"/>
      <c r="X67" s="493"/>
      <c r="Y67" s="493"/>
      <c r="Z67" s="493"/>
    </row>
    <row r="68" ht="26.25" customHeight="1">
      <c r="A68" s="493"/>
      <c r="B68" s="494"/>
      <c r="C68" s="494"/>
      <c r="D68" s="494"/>
      <c r="E68" s="494"/>
      <c r="F68" s="501"/>
      <c r="G68" s="501"/>
      <c r="H68" s="494"/>
      <c r="I68" s="507"/>
      <c r="J68" s="507"/>
      <c r="K68" s="496"/>
      <c r="L68" s="496"/>
      <c r="M68" s="496"/>
      <c r="N68" s="496"/>
      <c r="O68" s="493"/>
      <c r="P68" s="493"/>
      <c r="Q68" s="493"/>
      <c r="R68" s="496"/>
      <c r="S68" s="496"/>
      <c r="T68" s="496"/>
      <c r="U68" s="496"/>
      <c r="V68" s="499"/>
      <c r="W68" s="496"/>
      <c r="X68" s="493"/>
      <c r="Y68" s="493"/>
      <c r="Z68" s="493"/>
    </row>
    <row r="69" ht="26.25" customHeight="1">
      <c r="A69" s="493"/>
      <c r="B69" s="494"/>
      <c r="C69" s="494"/>
      <c r="D69" s="494"/>
      <c r="E69" s="494"/>
      <c r="F69" s="501"/>
      <c r="G69" s="501"/>
      <c r="H69" s="494"/>
      <c r="I69" s="507"/>
      <c r="J69" s="507"/>
      <c r="K69" s="496"/>
      <c r="L69" s="496"/>
      <c r="M69" s="496"/>
      <c r="N69" s="496"/>
      <c r="O69" s="493"/>
      <c r="P69" s="493"/>
      <c r="Q69" s="493"/>
      <c r="R69" s="496"/>
      <c r="S69" s="496"/>
      <c r="T69" s="496"/>
      <c r="U69" s="496"/>
      <c r="V69" s="499"/>
      <c r="W69" s="496"/>
      <c r="X69" s="493"/>
      <c r="Y69" s="493"/>
      <c r="Z69" s="493"/>
    </row>
    <row r="70" ht="26.25" customHeight="1">
      <c r="A70" s="493"/>
      <c r="B70" s="494"/>
      <c r="C70" s="494"/>
      <c r="D70" s="494"/>
      <c r="E70" s="494"/>
      <c r="F70" s="501"/>
      <c r="G70" s="501"/>
      <c r="H70" s="494"/>
      <c r="I70" s="507"/>
      <c r="J70" s="507"/>
      <c r="K70" s="496"/>
      <c r="L70" s="496"/>
      <c r="M70" s="496"/>
      <c r="N70" s="496"/>
      <c r="O70" s="493"/>
      <c r="P70" s="493"/>
      <c r="Q70" s="493"/>
      <c r="R70" s="496"/>
      <c r="S70" s="496"/>
      <c r="T70" s="496"/>
      <c r="U70" s="496"/>
      <c r="V70" s="499"/>
      <c r="W70" s="496"/>
      <c r="X70" s="493"/>
      <c r="Y70" s="493"/>
      <c r="Z70" s="493"/>
    </row>
    <row r="71" ht="26.25" customHeight="1">
      <c r="A71" s="493"/>
      <c r="B71" s="494"/>
      <c r="C71" s="494"/>
      <c r="D71" s="494"/>
      <c r="E71" s="494"/>
      <c r="F71" s="501"/>
      <c r="G71" s="501"/>
      <c r="H71" s="494"/>
      <c r="I71" s="507"/>
      <c r="J71" s="507"/>
      <c r="K71" s="496"/>
      <c r="L71" s="496"/>
      <c r="M71" s="496"/>
      <c r="N71" s="496"/>
      <c r="O71" s="493"/>
      <c r="P71" s="493"/>
      <c r="Q71" s="493"/>
      <c r="R71" s="496"/>
      <c r="S71" s="496"/>
      <c r="T71" s="496"/>
      <c r="U71" s="496"/>
      <c r="V71" s="499"/>
      <c r="W71" s="496"/>
      <c r="X71" s="493"/>
      <c r="Y71" s="493"/>
      <c r="Z71" s="493"/>
    </row>
    <row r="72" ht="26.25" customHeight="1">
      <c r="A72" s="493"/>
      <c r="B72" s="494"/>
      <c r="C72" s="494"/>
      <c r="D72" s="494"/>
      <c r="E72" s="494"/>
      <c r="F72" s="501"/>
      <c r="G72" s="501"/>
      <c r="H72" s="494"/>
      <c r="I72" s="507"/>
      <c r="J72" s="507"/>
      <c r="K72" s="496"/>
      <c r="L72" s="496"/>
      <c r="M72" s="496"/>
      <c r="N72" s="496"/>
      <c r="O72" s="493"/>
      <c r="P72" s="493"/>
      <c r="Q72" s="493"/>
      <c r="R72" s="496"/>
      <c r="S72" s="496"/>
      <c r="T72" s="496"/>
      <c r="U72" s="496"/>
      <c r="V72" s="499"/>
      <c r="W72" s="496"/>
      <c r="X72" s="493"/>
      <c r="Y72" s="493"/>
      <c r="Z72" s="493"/>
    </row>
    <row r="73" ht="26.25" customHeight="1">
      <c r="A73" s="493"/>
      <c r="B73" s="494"/>
      <c r="C73" s="494"/>
      <c r="D73" s="494"/>
      <c r="E73" s="494"/>
      <c r="F73" s="501"/>
      <c r="G73" s="501"/>
      <c r="H73" s="494"/>
      <c r="I73" s="507"/>
      <c r="J73" s="507"/>
      <c r="K73" s="496"/>
      <c r="L73" s="496"/>
      <c r="M73" s="496"/>
      <c r="N73" s="496"/>
      <c r="O73" s="493"/>
      <c r="P73" s="493"/>
      <c r="Q73" s="493"/>
      <c r="R73" s="496"/>
      <c r="S73" s="496"/>
      <c r="T73" s="496"/>
      <c r="U73" s="496"/>
      <c r="V73" s="499"/>
      <c r="W73" s="496"/>
      <c r="X73" s="493"/>
      <c r="Y73" s="493"/>
      <c r="Z73" s="493"/>
    </row>
    <row r="74" ht="26.25" customHeight="1">
      <c r="A74" s="493"/>
      <c r="B74" s="494"/>
      <c r="C74" s="494"/>
      <c r="D74" s="494"/>
      <c r="E74" s="494"/>
      <c r="F74" s="501"/>
      <c r="G74" s="501"/>
      <c r="H74" s="494"/>
      <c r="I74" s="507"/>
      <c r="J74" s="507"/>
      <c r="K74" s="496"/>
      <c r="L74" s="496"/>
      <c r="M74" s="496"/>
      <c r="N74" s="496"/>
      <c r="O74" s="493"/>
      <c r="P74" s="493"/>
      <c r="Q74" s="493"/>
      <c r="R74" s="496"/>
      <c r="S74" s="496"/>
      <c r="T74" s="496"/>
      <c r="U74" s="496"/>
      <c r="V74" s="499"/>
      <c r="W74" s="496"/>
      <c r="X74" s="493"/>
      <c r="Y74" s="493"/>
      <c r="Z74" s="493"/>
    </row>
    <row r="75" ht="26.25" customHeight="1">
      <c r="A75" s="493"/>
      <c r="B75" s="494"/>
      <c r="C75" s="494"/>
      <c r="D75" s="494"/>
      <c r="E75" s="494"/>
      <c r="F75" s="501"/>
      <c r="G75" s="501"/>
      <c r="H75" s="494"/>
      <c r="I75" s="507"/>
      <c r="J75" s="507"/>
      <c r="K75" s="496"/>
      <c r="L75" s="496"/>
      <c r="M75" s="496"/>
      <c r="N75" s="496"/>
      <c r="O75" s="493"/>
      <c r="P75" s="493"/>
      <c r="Q75" s="493"/>
      <c r="R75" s="496"/>
      <c r="S75" s="496"/>
      <c r="T75" s="496"/>
      <c r="U75" s="496"/>
      <c r="V75" s="499"/>
      <c r="W75" s="496"/>
      <c r="X75" s="493"/>
      <c r="Y75" s="493"/>
      <c r="Z75" s="493"/>
    </row>
    <row r="76" ht="26.25" customHeight="1">
      <c r="A76" s="493"/>
      <c r="B76" s="494"/>
      <c r="C76" s="494"/>
      <c r="D76" s="494"/>
      <c r="E76" s="494"/>
      <c r="F76" s="501"/>
      <c r="G76" s="501"/>
      <c r="H76" s="494"/>
      <c r="I76" s="507"/>
      <c r="J76" s="507"/>
      <c r="K76" s="496"/>
      <c r="L76" s="496"/>
      <c r="M76" s="496"/>
      <c r="N76" s="496"/>
      <c r="O76" s="493"/>
      <c r="P76" s="493"/>
      <c r="Q76" s="493"/>
      <c r="R76" s="496"/>
      <c r="S76" s="496"/>
      <c r="T76" s="496"/>
      <c r="U76" s="496"/>
      <c r="V76" s="499"/>
      <c r="W76" s="496"/>
      <c r="X76" s="493"/>
      <c r="Y76" s="493"/>
      <c r="Z76" s="493"/>
    </row>
    <row r="77" ht="26.25" customHeight="1">
      <c r="A77" s="493"/>
      <c r="B77" s="494"/>
      <c r="C77" s="494"/>
      <c r="D77" s="494"/>
      <c r="E77" s="494"/>
      <c r="F77" s="501"/>
      <c r="G77" s="501"/>
      <c r="H77" s="494"/>
      <c r="I77" s="507"/>
      <c r="J77" s="507"/>
      <c r="K77" s="496"/>
      <c r="L77" s="496"/>
      <c r="M77" s="496"/>
      <c r="N77" s="496"/>
      <c r="O77" s="493"/>
      <c r="P77" s="493"/>
      <c r="Q77" s="493"/>
      <c r="R77" s="496"/>
      <c r="S77" s="496"/>
      <c r="T77" s="496"/>
      <c r="U77" s="496"/>
      <c r="V77" s="499"/>
      <c r="W77" s="496"/>
      <c r="X77" s="493"/>
      <c r="Y77" s="493"/>
      <c r="Z77" s="493"/>
    </row>
    <row r="78" ht="26.25" customHeight="1">
      <c r="A78" s="493"/>
      <c r="B78" s="494"/>
      <c r="C78" s="494"/>
      <c r="D78" s="494"/>
      <c r="E78" s="494"/>
      <c r="F78" s="501"/>
      <c r="G78" s="501"/>
      <c r="H78" s="494"/>
      <c r="I78" s="507"/>
      <c r="J78" s="507"/>
      <c r="K78" s="496"/>
      <c r="L78" s="496"/>
      <c r="M78" s="496"/>
      <c r="N78" s="496"/>
      <c r="O78" s="493"/>
      <c r="P78" s="493"/>
      <c r="Q78" s="493"/>
      <c r="R78" s="496"/>
      <c r="S78" s="496"/>
      <c r="T78" s="496"/>
      <c r="U78" s="496"/>
      <c r="V78" s="499"/>
      <c r="W78" s="496"/>
      <c r="X78" s="493"/>
      <c r="Y78" s="493"/>
      <c r="Z78" s="493"/>
    </row>
    <row r="79" ht="26.25" customHeight="1">
      <c r="A79" s="493"/>
      <c r="B79" s="494"/>
      <c r="C79" s="494"/>
      <c r="D79" s="494"/>
      <c r="E79" s="494"/>
      <c r="F79" s="501"/>
      <c r="G79" s="501"/>
      <c r="H79" s="494"/>
      <c r="I79" s="507"/>
      <c r="J79" s="507"/>
      <c r="K79" s="496"/>
      <c r="L79" s="496"/>
      <c r="M79" s="496"/>
      <c r="N79" s="496"/>
      <c r="O79" s="493"/>
      <c r="P79" s="493"/>
      <c r="Q79" s="493"/>
      <c r="R79" s="496"/>
      <c r="S79" s="496"/>
      <c r="T79" s="496"/>
      <c r="U79" s="496"/>
      <c r="V79" s="499"/>
      <c r="W79" s="496"/>
      <c r="X79" s="493"/>
      <c r="Y79" s="493"/>
      <c r="Z79" s="493"/>
    </row>
    <row r="80" ht="26.25" customHeight="1">
      <c r="A80" s="493"/>
      <c r="B80" s="494"/>
      <c r="C80" s="494"/>
      <c r="D80" s="494"/>
      <c r="E80" s="494"/>
      <c r="F80" s="501"/>
      <c r="G80" s="501"/>
      <c r="H80" s="494"/>
      <c r="I80" s="507"/>
      <c r="J80" s="507"/>
      <c r="K80" s="496"/>
      <c r="L80" s="496"/>
      <c r="M80" s="496"/>
      <c r="N80" s="496"/>
      <c r="O80" s="493"/>
      <c r="P80" s="493"/>
      <c r="Q80" s="493"/>
      <c r="R80" s="496"/>
      <c r="S80" s="496"/>
      <c r="T80" s="496"/>
      <c r="U80" s="496"/>
      <c r="V80" s="499"/>
      <c r="W80" s="496"/>
      <c r="X80" s="493"/>
      <c r="Y80" s="493"/>
      <c r="Z80" s="493"/>
    </row>
    <row r="81" ht="26.25" customHeight="1">
      <c r="A81" s="493"/>
      <c r="B81" s="494"/>
      <c r="C81" s="494"/>
      <c r="D81" s="494"/>
      <c r="E81" s="494"/>
      <c r="F81" s="501"/>
      <c r="G81" s="501"/>
      <c r="H81" s="494"/>
      <c r="I81" s="525"/>
      <c r="J81" s="507"/>
      <c r="K81" s="496"/>
      <c r="L81" s="496"/>
      <c r="M81" s="496"/>
      <c r="N81" s="496"/>
      <c r="O81" s="493"/>
      <c r="P81" s="493"/>
      <c r="Q81" s="493"/>
      <c r="R81" s="496"/>
      <c r="S81" s="496"/>
      <c r="T81" s="496"/>
      <c r="U81" s="496"/>
      <c r="V81" s="499"/>
      <c r="W81" s="496"/>
      <c r="X81" s="493"/>
      <c r="Y81" s="493"/>
      <c r="Z81" s="493"/>
    </row>
    <row r="82" ht="26.25" customHeight="1">
      <c r="A82" s="493"/>
      <c r="B82" s="494"/>
      <c r="C82" s="494"/>
      <c r="D82" s="494"/>
      <c r="E82" s="494"/>
      <c r="F82" s="501"/>
      <c r="G82" s="501"/>
      <c r="H82" s="494"/>
      <c r="I82" s="507"/>
      <c r="J82" s="507"/>
      <c r="K82" s="496"/>
      <c r="L82" s="496"/>
      <c r="M82" s="496"/>
      <c r="N82" s="496"/>
      <c r="O82" s="493"/>
      <c r="P82" s="493"/>
      <c r="Q82" s="493"/>
      <c r="R82" s="496"/>
      <c r="S82" s="496"/>
      <c r="T82" s="496"/>
      <c r="U82" s="496"/>
      <c r="V82" s="499"/>
      <c r="W82" s="496"/>
      <c r="X82" s="493"/>
      <c r="Y82" s="493"/>
      <c r="Z82" s="493"/>
    </row>
    <row r="83" ht="26.25" customHeight="1">
      <c r="A83" s="493"/>
      <c r="B83" s="494"/>
      <c r="C83" s="494"/>
      <c r="D83" s="494"/>
      <c r="E83" s="494"/>
      <c r="F83" s="501"/>
      <c r="G83" s="501"/>
      <c r="H83" s="494"/>
      <c r="I83" s="507"/>
      <c r="J83" s="507"/>
      <c r="K83" s="496"/>
      <c r="L83" s="496"/>
      <c r="M83" s="496"/>
      <c r="N83" s="496"/>
      <c r="O83" s="493"/>
      <c r="P83" s="493"/>
      <c r="Q83" s="493"/>
      <c r="R83" s="496"/>
      <c r="S83" s="496"/>
      <c r="T83" s="496"/>
      <c r="U83" s="496"/>
      <c r="V83" s="499"/>
      <c r="W83" s="496"/>
      <c r="X83" s="493"/>
      <c r="Y83" s="493"/>
      <c r="Z83" s="493"/>
    </row>
    <row r="84" ht="26.25" customHeight="1">
      <c r="A84" s="493"/>
      <c r="B84" s="494"/>
      <c r="C84" s="494"/>
      <c r="D84" s="494"/>
      <c r="E84" s="494"/>
      <c r="F84" s="501"/>
      <c r="G84" s="501"/>
      <c r="H84" s="494"/>
      <c r="I84" s="507"/>
      <c r="J84" s="507"/>
      <c r="K84" s="496"/>
      <c r="L84" s="496"/>
      <c r="M84" s="496"/>
      <c r="N84" s="496"/>
      <c r="O84" s="493"/>
      <c r="P84" s="493"/>
      <c r="Q84" s="493"/>
      <c r="R84" s="496"/>
      <c r="S84" s="496"/>
      <c r="T84" s="496"/>
      <c r="U84" s="496"/>
      <c r="V84" s="499"/>
      <c r="W84" s="496"/>
      <c r="X84" s="493"/>
      <c r="Y84" s="493"/>
      <c r="Z84" s="493"/>
    </row>
    <row r="85" ht="26.25" customHeight="1">
      <c r="A85" s="493"/>
      <c r="B85" s="494"/>
      <c r="C85" s="494"/>
      <c r="D85" s="494"/>
      <c r="E85" s="494"/>
      <c r="F85" s="501"/>
      <c r="G85" s="501"/>
      <c r="H85" s="494"/>
      <c r="I85" s="507"/>
      <c r="J85" s="507"/>
      <c r="K85" s="496"/>
      <c r="L85" s="496"/>
      <c r="M85" s="496"/>
      <c r="N85" s="496"/>
      <c r="O85" s="493"/>
      <c r="P85" s="493"/>
      <c r="Q85" s="493"/>
      <c r="R85" s="496"/>
      <c r="S85" s="496"/>
      <c r="T85" s="496"/>
      <c r="U85" s="496"/>
      <c r="V85" s="499"/>
      <c r="W85" s="496"/>
      <c r="X85" s="493"/>
      <c r="Y85" s="493"/>
      <c r="Z85" s="493"/>
    </row>
    <row r="86" ht="26.25" customHeight="1">
      <c r="A86" s="493"/>
      <c r="B86" s="494"/>
      <c r="C86" s="494"/>
      <c r="D86" s="494"/>
      <c r="E86" s="494"/>
      <c r="F86" s="501"/>
      <c r="G86" s="501"/>
      <c r="H86" s="494"/>
      <c r="I86" s="507"/>
      <c r="J86" s="507"/>
      <c r="K86" s="496"/>
      <c r="L86" s="496"/>
      <c r="M86" s="496"/>
      <c r="N86" s="496"/>
      <c r="O86" s="493"/>
      <c r="P86" s="493"/>
      <c r="Q86" s="493"/>
      <c r="R86" s="496"/>
      <c r="S86" s="496"/>
      <c r="T86" s="496"/>
      <c r="U86" s="496"/>
      <c r="V86" s="499"/>
      <c r="W86" s="496"/>
      <c r="X86" s="493"/>
      <c r="Y86" s="493"/>
      <c r="Z86" s="493"/>
    </row>
    <row r="87" ht="26.25" customHeight="1">
      <c r="A87" s="493"/>
      <c r="B87" s="494"/>
      <c r="C87" s="494"/>
      <c r="D87" s="494"/>
      <c r="E87" s="494"/>
      <c r="F87" s="501"/>
      <c r="G87" s="501"/>
      <c r="H87" s="494"/>
      <c r="I87" s="507"/>
      <c r="J87" s="507"/>
      <c r="K87" s="496"/>
      <c r="L87" s="496"/>
      <c r="M87" s="496"/>
      <c r="N87" s="496"/>
      <c r="O87" s="493"/>
      <c r="P87" s="493"/>
      <c r="Q87" s="493"/>
      <c r="R87" s="496"/>
      <c r="S87" s="496"/>
      <c r="T87" s="496"/>
      <c r="U87" s="496"/>
      <c r="V87" s="499"/>
      <c r="W87" s="496"/>
      <c r="X87" s="493"/>
      <c r="Y87" s="493"/>
      <c r="Z87" s="493"/>
    </row>
    <row r="88" ht="26.25" customHeight="1">
      <c r="A88" s="493"/>
      <c r="B88" s="494"/>
      <c r="C88" s="494"/>
      <c r="D88" s="494"/>
      <c r="E88" s="494"/>
      <c r="F88" s="501"/>
      <c r="G88" s="501"/>
      <c r="H88" s="494"/>
      <c r="I88" s="507"/>
      <c r="J88" s="507"/>
      <c r="K88" s="496"/>
      <c r="L88" s="496"/>
      <c r="M88" s="496"/>
      <c r="N88" s="496"/>
      <c r="O88" s="493"/>
      <c r="P88" s="493"/>
      <c r="Q88" s="493"/>
      <c r="R88" s="496"/>
      <c r="S88" s="496"/>
      <c r="T88" s="496"/>
      <c r="U88" s="496"/>
      <c r="V88" s="499"/>
      <c r="W88" s="496"/>
      <c r="X88" s="493"/>
      <c r="Y88" s="493"/>
      <c r="Z88" s="493"/>
    </row>
    <row r="89" ht="26.25" customHeight="1">
      <c r="A89" s="493"/>
      <c r="B89" s="494"/>
      <c r="C89" s="494"/>
      <c r="D89" s="494"/>
      <c r="E89" s="494"/>
      <c r="F89" s="501"/>
      <c r="G89" s="501"/>
      <c r="H89" s="494"/>
      <c r="I89" s="507"/>
      <c r="J89" s="507"/>
      <c r="K89" s="496"/>
      <c r="L89" s="496"/>
      <c r="M89" s="496"/>
      <c r="N89" s="496"/>
      <c r="O89" s="493"/>
      <c r="P89" s="493"/>
      <c r="Q89" s="493"/>
      <c r="R89" s="496"/>
      <c r="S89" s="496"/>
      <c r="T89" s="496"/>
      <c r="U89" s="496"/>
      <c r="V89" s="499"/>
      <c r="W89" s="496"/>
      <c r="X89" s="493"/>
      <c r="Y89" s="493"/>
      <c r="Z89" s="493"/>
    </row>
    <row r="90" ht="26.25" customHeight="1">
      <c r="A90" s="493"/>
      <c r="B90" s="494"/>
      <c r="C90" s="494"/>
      <c r="D90" s="494"/>
      <c r="E90" s="494"/>
      <c r="F90" s="501"/>
      <c r="G90" s="501"/>
      <c r="H90" s="494"/>
      <c r="I90" s="507"/>
      <c r="J90" s="507"/>
      <c r="K90" s="496"/>
      <c r="L90" s="496"/>
      <c r="M90" s="496"/>
      <c r="N90" s="496"/>
      <c r="O90" s="493"/>
      <c r="P90" s="493"/>
      <c r="Q90" s="493"/>
      <c r="R90" s="496"/>
      <c r="S90" s="496"/>
      <c r="T90" s="496"/>
      <c r="U90" s="496"/>
      <c r="V90" s="499"/>
      <c r="W90" s="496"/>
      <c r="X90" s="493"/>
      <c r="Y90" s="493"/>
      <c r="Z90" s="493"/>
    </row>
    <row r="91" ht="26.25" customHeight="1">
      <c r="A91" s="493"/>
      <c r="B91" s="494"/>
      <c r="C91" s="494"/>
      <c r="D91" s="494"/>
      <c r="E91" s="494"/>
      <c r="F91" s="501"/>
      <c r="G91" s="501"/>
      <c r="H91" s="494"/>
      <c r="I91" s="507"/>
      <c r="J91" s="507"/>
      <c r="K91" s="496"/>
      <c r="L91" s="496"/>
      <c r="M91" s="496"/>
      <c r="N91" s="496"/>
      <c r="O91" s="493"/>
      <c r="P91" s="493"/>
      <c r="Q91" s="493"/>
      <c r="R91" s="496"/>
      <c r="S91" s="496"/>
      <c r="T91" s="496"/>
      <c r="U91" s="496"/>
      <c r="V91" s="499"/>
      <c r="W91" s="496"/>
      <c r="X91" s="493"/>
      <c r="Y91" s="493"/>
      <c r="Z91" s="493"/>
    </row>
    <row r="92" ht="26.25" customHeight="1">
      <c r="A92" s="493"/>
      <c r="B92" s="494"/>
      <c r="C92" s="494"/>
      <c r="D92" s="494"/>
      <c r="E92" s="494"/>
      <c r="F92" s="501"/>
      <c r="G92" s="501"/>
      <c r="H92" s="494"/>
      <c r="I92" s="507"/>
      <c r="J92" s="507"/>
      <c r="K92" s="496"/>
      <c r="L92" s="496"/>
      <c r="M92" s="496"/>
      <c r="N92" s="496"/>
      <c r="O92" s="493"/>
      <c r="P92" s="493"/>
      <c r="Q92" s="493"/>
      <c r="R92" s="496"/>
      <c r="S92" s="496"/>
      <c r="T92" s="496"/>
      <c r="U92" s="496"/>
      <c r="V92" s="499"/>
      <c r="W92" s="496"/>
      <c r="X92" s="493"/>
      <c r="Y92" s="493"/>
      <c r="Z92" s="493"/>
    </row>
    <row r="93" ht="26.25" customHeight="1">
      <c r="A93" s="493"/>
      <c r="B93" s="494"/>
      <c r="C93" s="494"/>
      <c r="D93" s="494"/>
      <c r="E93" s="494"/>
      <c r="F93" s="501"/>
      <c r="G93" s="501"/>
      <c r="H93" s="494"/>
      <c r="I93" s="507"/>
      <c r="J93" s="507"/>
      <c r="K93" s="496"/>
      <c r="L93" s="496"/>
      <c r="M93" s="496"/>
      <c r="N93" s="496"/>
      <c r="O93" s="493"/>
      <c r="P93" s="493"/>
      <c r="Q93" s="493"/>
      <c r="R93" s="496"/>
      <c r="S93" s="496"/>
      <c r="T93" s="496"/>
      <c r="U93" s="496"/>
      <c r="V93" s="499"/>
      <c r="W93" s="496"/>
      <c r="X93" s="493"/>
      <c r="Y93" s="493"/>
      <c r="Z93" s="493"/>
    </row>
    <row r="94" ht="26.25" customHeight="1">
      <c r="A94" s="493"/>
      <c r="B94" s="494"/>
      <c r="C94" s="494"/>
      <c r="D94" s="494"/>
      <c r="E94" s="494"/>
      <c r="F94" s="501"/>
      <c r="G94" s="501"/>
      <c r="H94" s="494"/>
      <c r="I94" s="507"/>
      <c r="J94" s="507"/>
      <c r="K94" s="496"/>
      <c r="L94" s="496"/>
      <c r="M94" s="496"/>
      <c r="N94" s="496"/>
      <c r="O94" s="493"/>
      <c r="P94" s="493"/>
      <c r="Q94" s="493"/>
      <c r="R94" s="496"/>
      <c r="S94" s="496"/>
      <c r="T94" s="496"/>
      <c r="U94" s="496"/>
      <c r="V94" s="499"/>
      <c r="W94" s="496"/>
      <c r="X94" s="493"/>
      <c r="Y94" s="493"/>
      <c r="Z94" s="493"/>
    </row>
    <row r="95" ht="26.25" customHeight="1">
      <c r="A95" s="493"/>
      <c r="B95" s="494"/>
      <c r="C95" s="494"/>
      <c r="D95" s="494"/>
      <c r="E95" s="494"/>
      <c r="F95" s="501"/>
      <c r="G95" s="501"/>
      <c r="H95" s="494"/>
      <c r="I95" s="507"/>
      <c r="J95" s="507"/>
      <c r="K95" s="496"/>
      <c r="L95" s="496"/>
      <c r="M95" s="496"/>
      <c r="N95" s="496"/>
      <c r="O95" s="493"/>
      <c r="P95" s="493"/>
      <c r="Q95" s="493"/>
      <c r="R95" s="496"/>
      <c r="S95" s="496"/>
      <c r="T95" s="496"/>
      <c r="U95" s="496"/>
      <c r="V95" s="499"/>
      <c r="W95" s="496"/>
      <c r="X95" s="493"/>
      <c r="Y95" s="493"/>
      <c r="Z95" s="493"/>
    </row>
    <row r="96" ht="26.25" customHeight="1">
      <c r="A96" s="493"/>
      <c r="B96" s="494"/>
      <c r="C96" s="494"/>
      <c r="D96" s="494"/>
      <c r="E96" s="494"/>
      <c r="F96" s="501"/>
      <c r="G96" s="501"/>
      <c r="H96" s="494"/>
      <c r="I96" s="507"/>
      <c r="J96" s="507"/>
      <c r="K96" s="496"/>
      <c r="L96" s="496"/>
      <c r="M96" s="496"/>
      <c r="N96" s="496"/>
      <c r="O96" s="493"/>
      <c r="P96" s="493"/>
      <c r="Q96" s="493"/>
      <c r="R96" s="496"/>
      <c r="S96" s="496"/>
      <c r="T96" s="496"/>
      <c r="U96" s="496"/>
      <c r="V96" s="499"/>
      <c r="W96" s="496"/>
      <c r="X96" s="493"/>
      <c r="Y96" s="493"/>
      <c r="Z96" s="493"/>
    </row>
    <row r="97" ht="26.25" customHeight="1">
      <c r="A97" s="493"/>
      <c r="B97" s="494"/>
      <c r="C97" s="494"/>
      <c r="D97" s="494"/>
      <c r="E97" s="494"/>
      <c r="F97" s="501"/>
      <c r="G97" s="501"/>
      <c r="H97" s="494"/>
      <c r="I97" s="507"/>
      <c r="J97" s="507"/>
      <c r="K97" s="496"/>
      <c r="L97" s="496"/>
      <c r="M97" s="496"/>
      <c r="N97" s="496"/>
      <c r="O97" s="493"/>
      <c r="P97" s="493"/>
      <c r="Q97" s="493"/>
      <c r="R97" s="496"/>
      <c r="S97" s="496"/>
      <c r="T97" s="496"/>
      <c r="U97" s="496"/>
      <c r="V97" s="499"/>
      <c r="W97" s="496"/>
      <c r="X97" s="493"/>
      <c r="Y97" s="493"/>
      <c r="Z97" s="493"/>
    </row>
    <row r="98" ht="26.25" customHeight="1">
      <c r="A98" s="493"/>
      <c r="B98" s="494"/>
      <c r="C98" s="494"/>
      <c r="D98" s="494"/>
      <c r="E98" s="494"/>
      <c r="F98" s="501"/>
      <c r="G98" s="501"/>
      <c r="H98" s="494"/>
      <c r="I98" s="507"/>
      <c r="J98" s="507"/>
      <c r="K98" s="496"/>
      <c r="L98" s="496"/>
      <c r="M98" s="496"/>
      <c r="N98" s="496"/>
      <c r="O98" s="493"/>
      <c r="P98" s="493"/>
      <c r="Q98" s="493"/>
      <c r="R98" s="496"/>
      <c r="S98" s="496"/>
      <c r="T98" s="496"/>
      <c r="U98" s="496"/>
      <c r="V98" s="499"/>
      <c r="W98" s="496"/>
      <c r="X98" s="493"/>
      <c r="Y98" s="493"/>
      <c r="Z98" s="493"/>
    </row>
    <row r="99" ht="26.25" customHeight="1">
      <c r="A99" s="493"/>
      <c r="B99" s="494"/>
      <c r="C99" s="494"/>
      <c r="D99" s="494"/>
      <c r="E99" s="494"/>
      <c r="F99" s="501"/>
      <c r="G99" s="501"/>
      <c r="H99" s="494"/>
      <c r="I99" s="507"/>
      <c r="J99" s="507"/>
      <c r="K99" s="496"/>
      <c r="L99" s="496"/>
      <c r="M99" s="496"/>
      <c r="N99" s="496"/>
      <c r="O99" s="493"/>
      <c r="P99" s="493"/>
      <c r="Q99" s="493"/>
      <c r="R99" s="496"/>
      <c r="S99" s="496"/>
      <c r="T99" s="496"/>
      <c r="U99" s="496"/>
      <c r="V99" s="499"/>
      <c r="W99" s="496"/>
      <c r="X99" s="493"/>
      <c r="Y99" s="493"/>
      <c r="Z99" s="493"/>
    </row>
    <row r="100" ht="26.25" customHeight="1">
      <c r="A100" s="493"/>
      <c r="B100" s="494"/>
      <c r="C100" s="494"/>
      <c r="D100" s="494"/>
      <c r="E100" s="494"/>
      <c r="F100" s="501"/>
      <c r="G100" s="501"/>
      <c r="H100" s="494"/>
      <c r="I100" s="507"/>
      <c r="J100" s="507"/>
      <c r="K100" s="496"/>
      <c r="L100" s="496"/>
      <c r="M100" s="496"/>
      <c r="N100" s="496"/>
      <c r="O100" s="493"/>
      <c r="P100" s="493"/>
      <c r="Q100" s="493"/>
      <c r="R100" s="496"/>
      <c r="S100" s="496"/>
      <c r="T100" s="496"/>
      <c r="U100" s="496"/>
      <c r="V100" s="499"/>
      <c r="W100" s="496"/>
      <c r="X100" s="493"/>
      <c r="Y100" s="493"/>
      <c r="Z100" s="493"/>
    </row>
    <row r="101" ht="26.25" customHeight="1">
      <c r="A101" s="493"/>
      <c r="B101" s="494"/>
      <c r="C101" s="494"/>
      <c r="D101" s="494"/>
      <c r="E101" s="494"/>
      <c r="F101" s="501"/>
      <c r="G101" s="501"/>
      <c r="H101" s="494"/>
      <c r="I101" s="507"/>
      <c r="J101" s="507"/>
      <c r="K101" s="496"/>
      <c r="L101" s="496"/>
      <c r="M101" s="496"/>
      <c r="N101" s="496"/>
      <c r="O101" s="493"/>
      <c r="P101" s="493"/>
      <c r="Q101" s="493"/>
      <c r="R101" s="496"/>
      <c r="S101" s="496"/>
      <c r="T101" s="496"/>
      <c r="U101" s="496"/>
      <c r="V101" s="499"/>
      <c r="W101" s="496"/>
      <c r="X101" s="493"/>
      <c r="Y101" s="493"/>
      <c r="Z101" s="493"/>
    </row>
    <row r="102" ht="26.25" customHeight="1">
      <c r="A102" s="493"/>
      <c r="B102" s="494"/>
      <c r="C102" s="494"/>
      <c r="D102" s="494"/>
      <c r="E102" s="494"/>
      <c r="F102" s="501"/>
      <c r="G102" s="501"/>
      <c r="H102" s="494"/>
      <c r="I102" s="507"/>
      <c r="J102" s="507"/>
      <c r="K102" s="496"/>
      <c r="L102" s="496"/>
      <c r="M102" s="496"/>
      <c r="N102" s="496"/>
      <c r="O102" s="493"/>
      <c r="P102" s="493"/>
      <c r="Q102" s="493"/>
      <c r="R102" s="496"/>
      <c r="S102" s="496"/>
      <c r="T102" s="496"/>
      <c r="U102" s="496"/>
      <c r="V102" s="499"/>
      <c r="W102" s="496"/>
      <c r="X102" s="493"/>
      <c r="Y102" s="493"/>
      <c r="Z102" s="493"/>
    </row>
    <row r="103" ht="26.25" customHeight="1">
      <c r="A103" s="493"/>
      <c r="B103" s="494"/>
      <c r="C103" s="494"/>
      <c r="D103" s="494"/>
      <c r="E103" s="494"/>
      <c r="F103" s="501"/>
      <c r="G103" s="501"/>
      <c r="H103" s="494"/>
      <c r="I103" s="507"/>
      <c r="J103" s="507"/>
      <c r="K103" s="496"/>
      <c r="L103" s="496"/>
      <c r="M103" s="496"/>
      <c r="N103" s="496"/>
      <c r="O103" s="493"/>
      <c r="P103" s="493"/>
      <c r="Q103" s="493"/>
      <c r="R103" s="496"/>
      <c r="S103" s="496"/>
      <c r="T103" s="496"/>
      <c r="U103" s="496"/>
      <c r="V103" s="499"/>
      <c r="W103" s="496"/>
      <c r="X103" s="493"/>
      <c r="Y103" s="493"/>
      <c r="Z103" s="493"/>
    </row>
    <row r="104" ht="26.25" customHeight="1">
      <c r="A104" s="493"/>
      <c r="B104" s="494"/>
      <c r="C104" s="494"/>
      <c r="D104" s="494"/>
      <c r="E104" s="494"/>
      <c r="F104" s="501"/>
      <c r="G104" s="501"/>
      <c r="H104" s="494"/>
      <c r="I104" s="507"/>
      <c r="J104" s="507"/>
      <c r="K104" s="496"/>
      <c r="L104" s="496"/>
      <c r="M104" s="496"/>
      <c r="N104" s="496"/>
      <c r="O104" s="493"/>
      <c r="P104" s="493"/>
      <c r="Q104" s="493"/>
      <c r="R104" s="496"/>
      <c r="S104" s="496"/>
      <c r="T104" s="496"/>
      <c r="U104" s="496"/>
      <c r="V104" s="499"/>
      <c r="W104" s="496"/>
      <c r="X104" s="493"/>
      <c r="Y104" s="493"/>
      <c r="Z104" s="493"/>
    </row>
    <row r="105" ht="26.25" customHeight="1">
      <c r="A105" s="493"/>
      <c r="B105" s="494"/>
      <c r="C105" s="494"/>
      <c r="D105" s="494"/>
      <c r="E105" s="494"/>
      <c r="F105" s="501"/>
      <c r="G105" s="501"/>
      <c r="H105" s="494"/>
      <c r="I105" s="507"/>
      <c r="J105" s="507"/>
      <c r="K105" s="496"/>
      <c r="L105" s="496"/>
      <c r="M105" s="496"/>
      <c r="N105" s="496"/>
      <c r="O105" s="493"/>
      <c r="P105" s="493"/>
      <c r="Q105" s="493"/>
      <c r="R105" s="496"/>
      <c r="S105" s="496"/>
      <c r="T105" s="496"/>
      <c r="U105" s="496"/>
      <c r="V105" s="499"/>
      <c r="W105" s="496"/>
      <c r="X105" s="493"/>
      <c r="Y105" s="493"/>
      <c r="Z105" s="493"/>
    </row>
    <row r="106" ht="26.25" customHeight="1">
      <c r="A106" s="493"/>
      <c r="B106" s="494"/>
      <c r="C106" s="494"/>
      <c r="D106" s="494"/>
      <c r="E106" s="494"/>
      <c r="F106" s="501"/>
      <c r="G106" s="501"/>
      <c r="H106" s="494"/>
      <c r="I106" s="507"/>
      <c r="J106" s="507"/>
      <c r="K106" s="496"/>
      <c r="L106" s="496"/>
      <c r="M106" s="496"/>
      <c r="N106" s="496"/>
      <c r="O106" s="493"/>
      <c r="P106" s="493"/>
      <c r="Q106" s="493"/>
      <c r="R106" s="496"/>
      <c r="S106" s="496"/>
      <c r="T106" s="496"/>
      <c r="U106" s="496"/>
      <c r="V106" s="499"/>
      <c r="W106" s="496"/>
      <c r="X106" s="493"/>
      <c r="Y106" s="493"/>
      <c r="Z106" s="493"/>
    </row>
    <row r="107" ht="26.25" customHeight="1">
      <c r="A107" s="493"/>
      <c r="B107" s="494"/>
      <c r="C107" s="494"/>
      <c r="D107" s="494"/>
      <c r="E107" s="494"/>
      <c r="F107" s="501"/>
      <c r="G107" s="501"/>
      <c r="H107" s="494"/>
      <c r="I107" s="507"/>
      <c r="J107" s="507"/>
      <c r="K107" s="496"/>
      <c r="L107" s="496"/>
      <c r="M107" s="496"/>
      <c r="N107" s="496"/>
      <c r="O107" s="493"/>
      <c r="P107" s="493"/>
      <c r="Q107" s="493"/>
      <c r="R107" s="496"/>
      <c r="S107" s="496"/>
      <c r="T107" s="496"/>
      <c r="U107" s="496"/>
      <c r="V107" s="499"/>
      <c r="W107" s="496"/>
      <c r="X107" s="493"/>
      <c r="Y107" s="493"/>
      <c r="Z107" s="493"/>
    </row>
    <row r="108" ht="26.25" customHeight="1">
      <c r="A108" s="493"/>
      <c r="B108" s="494"/>
      <c r="C108" s="494"/>
      <c r="D108" s="494"/>
      <c r="E108" s="494"/>
      <c r="F108" s="501"/>
      <c r="G108" s="501"/>
      <c r="H108" s="494"/>
      <c r="I108" s="507"/>
      <c r="J108" s="507"/>
      <c r="K108" s="496"/>
      <c r="L108" s="496"/>
      <c r="M108" s="496"/>
      <c r="N108" s="496"/>
      <c r="O108" s="493"/>
      <c r="P108" s="493"/>
      <c r="Q108" s="493"/>
      <c r="R108" s="496"/>
      <c r="S108" s="496"/>
      <c r="T108" s="496"/>
      <c r="U108" s="496"/>
      <c r="V108" s="499"/>
      <c r="W108" s="496"/>
      <c r="X108" s="493"/>
      <c r="Y108" s="493"/>
      <c r="Z108" s="493"/>
    </row>
    <row r="109" ht="26.25" customHeight="1">
      <c r="A109" s="493"/>
      <c r="B109" s="494"/>
      <c r="C109" s="494"/>
      <c r="D109" s="494"/>
      <c r="E109" s="494"/>
      <c r="F109" s="501"/>
      <c r="G109" s="501"/>
      <c r="H109" s="494"/>
      <c r="I109" s="507"/>
      <c r="J109" s="507"/>
      <c r="K109" s="496"/>
      <c r="L109" s="496"/>
      <c r="M109" s="496"/>
      <c r="N109" s="496"/>
      <c r="O109" s="493"/>
      <c r="P109" s="493"/>
      <c r="Q109" s="493"/>
      <c r="R109" s="496"/>
      <c r="S109" s="496"/>
      <c r="T109" s="496"/>
      <c r="U109" s="496"/>
      <c r="V109" s="499"/>
      <c r="W109" s="496"/>
      <c r="X109" s="493"/>
      <c r="Y109" s="493"/>
      <c r="Z109" s="493"/>
    </row>
    <row r="110" ht="26.25" customHeight="1">
      <c r="A110" s="493"/>
      <c r="B110" s="494"/>
      <c r="C110" s="494"/>
      <c r="D110" s="494"/>
      <c r="E110" s="494"/>
      <c r="F110" s="501"/>
      <c r="G110" s="501"/>
      <c r="H110" s="494"/>
      <c r="I110" s="507"/>
      <c r="J110" s="507"/>
      <c r="K110" s="496"/>
      <c r="L110" s="496"/>
      <c r="M110" s="496"/>
      <c r="N110" s="496"/>
      <c r="O110" s="493"/>
      <c r="P110" s="493"/>
      <c r="Q110" s="493"/>
      <c r="R110" s="496"/>
      <c r="S110" s="496"/>
      <c r="T110" s="496"/>
      <c r="U110" s="496"/>
      <c r="V110" s="499"/>
      <c r="W110" s="496"/>
      <c r="X110" s="493"/>
      <c r="Y110" s="493"/>
      <c r="Z110" s="493"/>
    </row>
    <row r="111" ht="26.25" customHeight="1">
      <c r="A111" s="493"/>
      <c r="B111" s="494"/>
      <c r="C111" s="494"/>
      <c r="D111" s="494"/>
      <c r="E111" s="494"/>
      <c r="F111" s="501"/>
      <c r="G111" s="501"/>
      <c r="H111" s="494"/>
      <c r="I111" s="507"/>
      <c r="J111" s="507"/>
      <c r="K111" s="496"/>
      <c r="L111" s="496"/>
      <c r="M111" s="496"/>
      <c r="N111" s="496"/>
      <c r="O111" s="493"/>
      <c r="P111" s="493"/>
      <c r="Q111" s="493"/>
      <c r="R111" s="496"/>
      <c r="S111" s="496"/>
      <c r="T111" s="496"/>
      <c r="U111" s="496"/>
      <c r="V111" s="499"/>
      <c r="W111" s="496"/>
      <c r="X111" s="493"/>
      <c r="Y111" s="493"/>
      <c r="Z111" s="493"/>
    </row>
    <row r="112" ht="26.25" customHeight="1">
      <c r="A112" s="493"/>
      <c r="B112" s="494"/>
      <c r="C112" s="494"/>
      <c r="D112" s="494"/>
      <c r="E112" s="494"/>
      <c r="F112" s="501"/>
      <c r="G112" s="501"/>
      <c r="H112" s="494"/>
      <c r="I112" s="507"/>
      <c r="J112" s="507"/>
      <c r="K112" s="496"/>
      <c r="L112" s="496"/>
      <c r="M112" s="496"/>
      <c r="N112" s="496"/>
      <c r="O112" s="493"/>
      <c r="P112" s="493"/>
      <c r="Q112" s="493"/>
      <c r="R112" s="496"/>
      <c r="S112" s="496"/>
      <c r="T112" s="496"/>
      <c r="U112" s="496"/>
      <c r="V112" s="499"/>
      <c r="W112" s="496"/>
      <c r="X112" s="493"/>
      <c r="Y112" s="493"/>
      <c r="Z112" s="493"/>
    </row>
    <row r="113" ht="26.25" customHeight="1">
      <c r="A113" s="493"/>
      <c r="B113" s="494"/>
      <c r="C113" s="494"/>
      <c r="D113" s="494"/>
      <c r="E113" s="494"/>
      <c r="F113" s="501"/>
      <c r="G113" s="501"/>
      <c r="H113" s="494"/>
      <c r="I113" s="507"/>
      <c r="J113" s="507"/>
      <c r="K113" s="496"/>
      <c r="L113" s="496"/>
      <c r="M113" s="496"/>
      <c r="N113" s="496"/>
      <c r="O113" s="493"/>
      <c r="P113" s="493"/>
      <c r="Q113" s="493"/>
      <c r="R113" s="496"/>
      <c r="S113" s="496"/>
      <c r="T113" s="496"/>
      <c r="U113" s="496"/>
      <c r="V113" s="499"/>
      <c r="W113" s="496"/>
      <c r="X113" s="493"/>
      <c r="Y113" s="493"/>
      <c r="Z113" s="493"/>
    </row>
    <row r="114" ht="26.25" customHeight="1">
      <c r="A114" s="493"/>
      <c r="B114" s="494"/>
      <c r="C114" s="494"/>
      <c r="D114" s="494"/>
      <c r="E114" s="494"/>
      <c r="F114" s="501"/>
      <c r="G114" s="501"/>
      <c r="H114" s="494"/>
      <c r="I114" s="507"/>
      <c r="J114" s="507"/>
      <c r="K114" s="496"/>
      <c r="L114" s="496"/>
      <c r="M114" s="496"/>
      <c r="N114" s="496"/>
      <c r="O114" s="493"/>
      <c r="P114" s="493"/>
      <c r="Q114" s="493"/>
      <c r="R114" s="496"/>
      <c r="S114" s="496"/>
      <c r="T114" s="496"/>
      <c r="U114" s="496"/>
      <c r="V114" s="499"/>
      <c r="W114" s="496"/>
      <c r="X114" s="493"/>
      <c r="Y114" s="493"/>
      <c r="Z114" s="493"/>
    </row>
    <row r="115" ht="26.25" customHeight="1">
      <c r="A115" s="493"/>
      <c r="B115" s="494"/>
      <c r="C115" s="494"/>
      <c r="D115" s="494"/>
      <c r="E115" s="494"/>
      <c r="F115" s="501"/>
      <c r="G115" s="501"/>
      <c r="H115" s="494"/>
      <c r="I115" s="507"/>
      <c r="J115" s="507"/>
      <c r="K115" s="496"/>
      <c r="L115" s="496"/>
      <c r="M115" s="496"/>
      <c r="N115" s="496"/>
      <c r="O115" s="493"/>
      <c r="P115" s="493"/>
      <c r="Q115" s="493"/>
      <c r="R115" s="496"/>
      <c r="S115" s="496"/>
      <c r="T115" s="496"/>
      <c r="U115" s="496"/>
      <c r="V115" s="499"/>
      <c r="W115" s="496"/>
      <c r="X115" s="493"/>
      <c r="Y115" s="493"/>
      <c r="Z115" s="493"/>
    </row>
    <row r="116" ht="26.25" customHeight="1">
      <c r="A116" s="493"/>
      <c r="B116" s="494"/>
      <c r="C116" s="494"/>
      <c r="D116" s="494"/>
      <c r="E116" s="494"/>
      <c r="F116" s="501"/>
      <c r="G116" s="501"/>
      <c r="H116" s="494"/>
      <c r="I116" s="507"/>
      <c r="J116" s="507"/>
      <c r="K116" s="496"/>
      <c r="L116" s="496"/>
      <c r="M116" s="496"/>
      <c r="N116" s="496"/>
      <c r="O116" s="493"/>
      <c r="P116" s="493"/>
      <c r="Q116" s="493"/>
      <c r="R116" s="496"/>
      <c r="S116" s="496"/>
      <c r="T116" s="496"/>
      <c r="U116" s="496"/>
      <c r="V116" s="499"/>
      <c r="W116" s="496"/>
      <c r="X116" s="493"/>
      <c r="Y116" s="493"/>
      <c r="Z116" s="493"/>
    </row>
    <row r="117" ht="26.25" customHeight="1">
      <c r="A117" s="493"/>
      <c r="B117" s="494"/>
      <c r="C117" s="494"/>
      <c r="D117" s="494"/>
      <c r="E117" s="494"/>
      <c r="F117" s="501"/>
      <c r="G117" s="501"/>
      <c r="H117" s="494"/>
      <c r="I117" s="507"/>
      <c r="J117" s="507"/>
      <c r="K117" s="496"/>
      <c r="L117" s="496"/>
      <c r="M117" s="496"/>
      <c r="N117" s="496"/>
      <c r="O117" s="493"/>
      <c r="P117" s="493"/>
      <c r="Q117" s="493"/>
      <c r="R117" s="496"/>
      <c r="S117" s="496"/>
      <c r="T117" s="496"/>
      <c r="U117" s="496"/>
      <c r="V117" s="499"/>
      <c r="W117" s="496"/>
      <c r="X117" s="493"/>
      <c r="Y117" s="493"/>
      <c r="Z117" s="493"/>
    </row>
    <row r="118" ht="26.25" customHeight="1">
      <c r="A118" s="493"/>
      <c r="B118" s="494"/>
      <c r="C118" s="494"/>
      <c r="D118" s="494"/>
      <c r="E118" s="494"/>
      <c r="F118" s="501"/>
      <c r="G118" s="501"/>
      <c r="H118" s="494"/>
      <c r="I118" s="507"/>
      <c r="J118" s="507"/>
      <c r="K118" s="496"/>
      <c r="L118" s="496"/>
      <c r="M118" s="496"/>
      <c r="N118" s="496"/>
      <c r="O118" s="493"/>
      <c r="P118" s="493"/>
      <c r="Q118" s="493"/>
      <c r="R118" s="496"/>
      <c r="S118" s="496"/>
      <c r="T118" s="496"/>
      <c r="U118" s="496"/>
      <c r="V118" s="499"/>
      <c r="W118" s="496"/>
      <c r="X118" s="493"/>
      <c r="Y118" s="493"/>
      <c r="Z118" s="493"/>
    </row>
    <row r="119" ht="26.25" customHeight="1">
      <c r="A119" s="493"/>
      <c r="B119" s="494"/>
      <c r="C119" s="494"/>
      <c r="D119" s="494"/>
      <c r="E119" s="494"/>
      <c r="F119" s="501"/>
      <c r="G119" s="501"/>
      <c r="H119" s="494"/>
      <c r="I119" s="507"/>
      <c r="J119" s="507"/>
      <c r="K119" s="496"/>
      <c r="L119" s="496"/>
      <c r="M119" s="496"/>
      <c r="N119" s="496"/>
      <c r="O119" s="493"/>
      <c r="P119" s="493"/>
      <c r="Q119" s="493"/>
      <c r="R119" s="496"/>
      <c r="S119" s="496"/>
      <c r="T119" s="496"/>
      <c r="U119" s="496"/>
      <c r="V119" s="499"/>
      <c r="W119" s="496"/>
      <c r="X119" s="493"/>
      <c r="Y119" s="493"/>
      <c r="Z119" s="493"/>
    </row>
    <row r="120" ht="26.25" customHeight="1">
      <c r="A120" s="493"/>
      <c r="B120" s="494"/>
      <c r="C120" s="494"/>
      <c r="D120" s="494"/>
      <c r="E120" s="494"/>
      <c r="F120" s="501"/>
      <c r="G120" s="501"/>
      <c r="H120" s="494"/>
      <c r="I120" s="507"/>
      <c r="J120" s="507"/>
      <c r="K120" s="496"/>
      <c r="L120" s="496"/>
      <c r="M120" s="496"/>
      <c r="N120" s="496"/>
      <c r="O120" s="493"/>
      <c r="P120" s="493"/>
      <c r="Q120" s="493"/>
      <c r="R120" s="496"/>
      <c r="S120" s="496"/>
      <c r="T120" s="496"/>
      <c r="U120" s="496"/>
      <c r="V120" s="499"/>
      <c r="W120" s="496"/>
      <c r="X120" s="493"/>
      <c r="Y120" s="493"/>
      <c r="Z120" s="493"/>
    </row>
    <row r="121" ht="26.25" customHeight="1">
      <c r="A121" s="493"/>
      <c r="B121" s="494"/>
      <c r="C121" s="494"/>
      <c r="D121" s="494"/>
      <c r="E121" s="494"/>
      <c r="F121" s="501"/>
      <c r="G121" s="501"/>
      <c r="H121" s="494"/>
      <c r="I121" s="507"/>
      <c r="J121" s="507"/>
      <c r="K121" s="496"/>
      <c r="L121" s="496"/>
      <c r="M121" s="496"/>
      <c r="N121" s="496"/>
      <c r="O121" s="493"/>
      <c r="P121" s="493"/>
      <c r="Q121" s="493"/>
      <c r="R121" s="496"/>
      <c r="S121" s="496"/>
      <c r="T121" s="496"/>
      <c r="U121" s="496"/>
      <c r="V121" s="499"/>
      <c r="W121" s="496"/>
      <c r="X121" s="493"/>
      <c r="Y121" s="493"/>
      <c r="Z121" s="493"/>
    </row>
    <row r="122" ht="26.25" customHeight="1">
      <c r="A122" s="493"/>
      <c r="B122" s="494"/>
      <c r="C122" s="494"/>
      <c r="D122" s="494"/>
      <c r="E122" s="494"/>
      <c r="F122" s="501"/>
      <c r="G122" s="501"/>
      <c r="H122" s="494"/>
      <c r="I122" s="507"/>
      <c r="J122" s="507"/>
      <c r="K122" s="496"/>
      <c r="L122" s="496"/>
      <c r="M122" s="496"/>
      <c r="N122" s="496"/>
      <c r="O122" s="493"/>
      <c r="P122" s="493"/>
      <c r="Q122" s="493"/>
      <c r="R122" s="496"/>
      <c r="S122" s="496"/>
      <c r="T122" s="496"/>
      <c r="U122" s="496"/>
      <c r="V122" s="499"/>
      <c r="W122" s="496"/>
      <c r="X122" s="493"/>
      <c r="Y122" s="493"/>
      <c r="Z122" s="493"/>
    </row>
    <row r="123" ht="26.25" customHeight="1">
      <c r="A123" s="493"/>
      <c r="B123" s="494"/>
      <c r="C123" s="494"/>
      <c r="D123" s="494"/>
      <c r="E123" s="494"/>
      <c r="F123" s="501"/>
      <c r="G123" s="501"/>
      <c r="H123" s="494"/>
      <c r="I123" s="507"/>
      <c r="J123" s="507"/>
      <c r="K123" s="496"/>
      <c r="L123" s="496"/>
      <c r="M123" s="496"/>
      <c r="N123" s="496"/>
      <c r="O123" s="493"/>
      <c r="P123" s="493"/>
      <c r="Q123" s="493"/>
      <c r="R123" s="496"/>
      <c r="S123" s="496"/>
      <c r="T123" s="496"/>
      <c r="U123" s="496"/>
      <c r="V123" s="499"/>
      <c r="W123" s="496"/>
      <c r="X123" s="493"/>
      <c r="Y123" s="493"/>
      <c r="Z123" s="493"/>
    </row>
    <row r="124" ht="26.25" customHeight="1">
      <c r="A124" s="493"/>
      <c r="B124" s="494"/>
      <c r="C124" s="494"/>
      <c r="D124" s="494"/>
      <c r="E124" s="494"/>
      <c r="F124" s="501"/>
      <c r="G124" s="501"/>
      <c r="H124" s="494"/>
      <c r="I124" s="507"/>
      <c r="J124" s="507"/>
      <c r="K124" s="496"/>
      <c r="L124" s="496"/>
      <c r="M124" s="496"/>
      <c r="N124" s="496"/>
      <c r="O124" s="493"/>
      <c r="P124" s="493"/>
      <c r="Q124" s="493"/>
      <c r="R124" s="496"/>
      <c r="S124" s="496"/>
      <c r="T124" s="496"/>
      <c r="U124" s="496"/>
      <c r="V124" s="499"/>
      <c r="W124" s="496"/>
      <c r="X124" s="493"/>
      <c r="Y124" s="493"/>
      <c r="Z124" s="493"/>
    </row>
    <row r="125" ht="26.25" customHeight="1">
      <c r="A125" s="493"/>
      <c r="B125" s="494"/>
      <c r="C125" s="494"/>
      <c r="D125" s="494"/>
      <c r="E125" s="494"/>
      <c r="F125" s="501"/>
      <c r="G125" s="501"/>
      <c r="H125" s="494"/>
      <c r="I125" s="507"/>
      <c r="J125" s="507"/>
      <c r="K125" s="496"/>
      <c r="L125" s="496"/>
      <c r="M125" s="496"/>
      <c r="N125" s="496"/>
      <c r="O125" s="493"/>
      <c r="P125" s="493"/>
      <c r="Q125" s="493"/>
      <c r="R125" s="496"/>
      <c r="S125" s="496"/>
      <c r="T125" s="496"/>
      <c r="U125" s="496"/>
      <c r="V125" s="499"/>
      <c r="W125" s="496"/>
      <c r="X125" s="493"/>
      <c r="Y125" s="493"/>
      <c r="Z125" s="493"/>
    </row>
    <row r="126" ht="26.25" customHeight="1">
      <c r="A126" s="493"/>
      <c r="B126" s="494"/>
      <c r="C126" s="494"/>
      <c r="D126" s="494"/>
      <c r="E126" s="494"/>
      <c r="F126" s="501"/>
      <c r="G126" s="501"/>
      <c r="H126" s="494"/>
      <c r="I126" s="507"/>
      <c r="J126" s="507"/>
      <c r="K126" s="496"/>
      <c r="L126" s="496"/>
      <c r="M126" s="496"/>
      <c r="N126" s="496"/>
      <c r="O126" s="493"/>
      <c r="P126" s="493"/>
      <c r="Q126" s="493"/>
      <c r="R126" s="496"/>
      <c r="S126" s="496"/>
      <c r="T126" s="496"/>
      <c r="U126" s="496"/>
      <c r="V126" s="499"/>
      <c r="W126" s="496"/>
      <c r="X126" s="493"/>
      <c r="Y126" s="493"/>
      <c r="Z126" s="493"/>
    </row>
    <row r="127" ht="26.25" customHeight="1">
      <c r="A127" s="493"/>
      <c r="B127" s="494"/>
      <c r="C127" s="494"/>
      <c r="D127" s="494"/>
      <c r="E127" s="494"/>
      <c r="F127" s="501"/>
      <c r="G127" s="501"/>
      <c r="H127" s="494"/>
      <c r="I127" s="507"/>
      <c r="J127" s="507"/>
      <c r="K127" s="496"/>
      <c r="L127" s="496"/>
      <c r="M127" s="496"/>
      <c r="N127" s="496"/>
      <c r="O127" s="493"/>
      <c r="P127" s="493"/>
      <c r="Q127" s="493"/>
      <c r="R127" s="496"/>
      <c r="S127" s="496"/>
      <c r="T127" s="496"/>
      <c r="U127" s="496"/>
      <c r="V127" s="499"/>
      <c r="W127" s="496"/>
      <c r="X127" s="493"/>
      <c r="Y127" s="493"/>
      <c r="Z127" s="493"/>
    </row>
    <row r="128" ht="26.25" customHeight="1">
      <c r="A128" s="493"/>
      <c r="B128" s="494"/>
      <c r="C128" s="494"/>
      <c r="D128" s="494"/>
      <c r="E128" s="494"/>
      <c r="F128" s="501"/>
      <c r="G128" s="501"/>
      <c r="H128" s="494"/>
      <c r="I128" s="507"/>
      <c r="J128" s="507"/>
      <c r="K128" s="496"/>
      <c r="L128" s="496"/>
      <c r="M128" s="496"/>
      <c r="N128" s="496"/>
      <c r="O128" s="493"/>
      <c r="P128" s="493"/>
      <c r="Q128" s="493"/>
      <c r="R128" s="496"/>
      <c r="S128" s="496"/>
      <c r="T128" s="496"/>
      <c r="U128" s="496"/>
      <c r="V128" s="499"/>
      <c r="W128" s="496"/>
      <c r="X128" s="493"/>
      <c r="Y128" s="493"/>
      <c r="Z128" s="493"/>
    </row>
    <row r="129" ht="26.25" customHeight="1">
      <c r="A129" s="493"/>
      <c r="B129" s="494"/>
      <c r="C129" s="494"/>
      <c r="D129" s="494"/>
      <c r="E129" s="494"/>
      <c r="F129" s="501"/>
      <c r="G129" s="501"/>
      <c r="H129" s="494"/>
      <c r="I129" s="507"/>
      <c r="J129" s="507"/>
      <c r="K129" s="496"/>
      <c r="L129" s="496"/>
      <c r="M129" s="496"/>
      <c r="N129" s="496"/>
      <c r="O129" s="493"/>
      <c r="P129" s="493"/>
      <c r="Q129" s="493"/>
      <c r="R129" s="496"/>
      <c r="S129" s="496"/>
      <c r="T129" s="496"/>
      <c r="U129" s="496"/>
      <c r="V129" s="499"/>
      <c r="W129" s="496"/>
      <c r="X129" s="493"/>
      <c r="Y129" s="493"/>
      <c r="Z129" s="493"/>
    </row>
    <row r="130" ht="26.25" customHeight="1">
      <c r="A130" s="493"/>
      <c r="B130" s="494"/>
      <c r="C130" s="494"/>
      <c r="D130" s="494"/>
      <c r="E130" s="494"/>
      <c r="F130" s="501"/>
      <c r="G130" s="501"/>
      <c r="H130" s="494"/>
      <c r="I130" s="507"/>
      <c r="J130" s="507"/>
      <c r="K130" s="496"/>
      <c r="L130" s="496"/>
      <c r="M130" s="496"/>
      <c r="N130" s="496"/>
      <c r="O130" s="493"/>
      <c r="P130" s="493"/>
      <c r="Q130" s="493"/>
      <c r="R130" s="496"/>
      <c r="S130" s="496"/>
      <c r="T130" s="496"/>
      <c r="U130" s="496"/>
      <c r="V130" s="499"/>
      <c r="W130" s="496"/>
      <c r="X130" s="493"/>
      <c r="Y130" s="493"/>
      <c r="Z130" s="493"/>
    </row>
    <row r="131" ht="26.25" customHeight="1">
      <c r="A131" s="493"/>
      <c r="B131" s="494"/>
      <c r="C131" s="494"/>
      <c r="D131" s="494"/>
      <c r="E131" s="494"/>
      <c r="F131" s="501"/>
      <c r="G131" s="501"/>
      <c r="H131" s="494"/>
      <c r="I131" s="507"/>
      <c r="J131" s="507"/>
      <c r="K131" s="496"/>
      <c r="L131" s="496"/>
      <c r="M131" s="496"/>
      <c r="N131" s="496"/>
      <c r="O131" s="493"/>
      <c r="P131" s="493"/>
      <c r="Q131" s="493"/>
      <c r="R131" s="496"/>
      <c r="S131" s="496"/>
      <c r="T131" s="496"/>
      <c r="U131" s="496"/>
      <c r="V131" s="499"/>
      <c r="W131" s="496"/>
      <c r="X131" s="493"/>
      <c r="Y131" s="493"/>
      <c r="Z131" s="493"/>
    </row>
    <row r="132" ht="26.25" customHeight="1">
      <c r="A132" s="493"/>
      <c r="B132" s="494"/>
      <c r="C132" s="494"/>
      <c r="D132" s="494"/>
      <c r="E132" s="494"/>
      <c r="F132" s="501"/>
      <c r="G132" s="501"/>
      <c r="H132" s="494"/>
      <c r="I132" s="507"/>
      <c r="J132" s="507"/>
      <c r="K132" s="496"/>
      <c r="L132" s="496"/>
      <c r="M132" s="496"/>
      <c r="N132" s="496"/>
      <c r="O132" s="493"/>
      <c r="P132" s="493"/>
      <c r="Q132" s="493"/>
      <c r="R132" s="496"/>
      <c r="S132" s="496"/>
      <c r="T132" s="496"/>
      <c r="U132" s="496"/>
      <c r="V132" s="499"/>
      <c r="W132" s="496"/>
      <c r="X132" s="493"/>
      <c r="Y132" s="493"/>
      <c r="Z132" s="493"/>
    </row>
    <row r="133" ht="26.25" customHeight="1">
      <c r="A133" s="493"/>
      <c r="B133" s="494"/>
      <c r="C133" s="494"/>
      <c r="D133" s="494"/>
      <c r="E133" s="494"/>
      <c r="F133" s="501"/>
      <c r="G133" s="501"/>
      <c r="H133" s="494"/>
      <c r="I133" s="507"/>
      <c r="J133" s="507"/>
      <c r="K133" s="496"/>
      <c r="L133" s="496"/>
      <c r="M133" s="496"/>
      <c r="N133" s="496"/>
      <c r="O133" s="493"/>
      <c r="P133" s="493"/>
      <c r="Q133" s="493"/>
      <c r="R133" s="496"/>
      <c r="S133" s="496"/>
      <c r="T133" s="496"/>
      <c r="U133" s="496"/>
      <c r="V133" s="499"/>
      <c r="W133" s="496"/>
      <c r="X133" s="493"/>
      <c r="Y133" s="493"/>
      <c r="Z133" s="493"/>
    </row>
    <row r="134" ht="26.25" customHeight="1">
      <c r="A134" s="493"/>
      <c r="B134" s="494"/>
      <c r="C134" s="494"/>
      <c r="D134" s="494"/>
      <c r="E134" s="494"/>
      <c r="F134" s="501"/>
      <c r="G134" s="501"/>
      <c r="H134" s="494"/>
      <c r="I134" s="507"/>
      <c r="J134" s="507"/>
      <c r="K134" s="496"/>
      <c r="L134" s="496"/>
      <c r="M134" s="496"/>
      <c r="N134" s="496"/>
      <c r="O134" s="493"/>
      <c r="P134" s="493"/>
      <c r="Q134" s="493"/>
      <c r="R134" s="496"/>
      <c r="S134" s="496"/>
      <c r="T134" s="496"/>
      <c r="U134" s="496"/>
      <c r="V134" s="499"/>
      <c r="W134" s="496"/>
      <c r="X134" s="493"/>
      <c r="Y134" s="493"/>
      <c r="Z134" s="493"/>
    </row>
    <row r="135" ht="26.25" customHeight="1">
      <c r="A135" s="493"/>
      <c r="B135" s="494"/>
      <c r="C135" s="494"/>
      <c r="D135" s="494"/>
      <c r="E135" s="494"/>
      <c r="F135" s="501"/>
      <c r="G135" s="501"/>
      <c r="H135" s="494"/>
      <c r="I135" s="507"/>
      <c r="J135" s="507"/>
      <c r="K135" s="496"/>
      <c r="L135" s="496"/>
      <c r="M135" s="496"/>
      <c r="N135" s="496"/>
      <c r="O135" s="493"/>
      <c r="P135" s="493"/>
      <c r="Q135" s="493"/>
      <c r="R135" s="496"/>
      <c r="S135" s="496"/>
      <c r="T135" s="496"/>
      <c r="U135" s="496"/>
      <c r="V135" s="499"/>
      <c r="W135" s="496"/>
      <c r="X135" s="493"/>
      <c r="Y135" s="493"/>
      <c r="Z135" s="493"/>
    </row>
    <row r="136" ht="26.25" customHeight="1">
      <c r="A136" s="493"/>
      <c r="B136" s="494"/>
      <c r="C136" s="494"/>
      <c r="D136" s="494"/>
      <c r="E136" s="494"/>
      <c r="F136" s="501"/>
      <c r="G136" s="501"/>
      <c r="H136" s="494"/>
      <c r="I136" s="507"/>
      <c r="J136" s="507"/>
      <c r="K136" s="496"/>
      <c r="L136" s="496"/>
      <c r="M136" s="496"/>
      <c r="N136" s="496"/>
      <c r="O136" s="493"/>
      <c r="P136" s="493"/>
      <c r="Q136" s="493"/>
      <c r="R136" s="496"/>
      <c r="S136" s="496"/>
      <c r="T136" s="496"/>
      <c r="U136" s="496"/>
      <c r="V136" s="499"/>
      <c r="W136" s="496"/>
      <c r="X136" s="493"/>
      <c r="Y136" s="493"/>
      <c r="Z136" s="493"/>
    </row>
    <row r="137" ht="26.25" customHeight="1">
      <c r="A137" s="493"/>
      <c r="B137" s="494"/>
      <c r="C137" s="494"/>
      <c r="D137" s="494"/>
      <c r="E137" s="494"/>
      <c r="F137" s="501"/>
      <c r="G137" s="501"/>
      <c r="H137" s="494"/>
      <c r="I137" s="507"/>
      <c r="J137" s="507"/>
      <c r="K137" s="496"/>
      <c r="L137" s="496"/>
      <c r="M137" s="496"/>
      <c r="N137" s="496"/>
      <c r="O137" s="493"/>
      <c r="P137" s="493"/>
      <c r="Q137" s="493"/>
      <c r="R137" s="496"/>
      <c r="S137" s="496"/>
      <c r="T137" s="496"/>
      <c r="U137" s="496"/>
      <c r="V137" s="499"/>
      <c r="W137" s="496"/>
      <c r="X137" s="493"/>
      <c r="Y137" s="493"/>
      <c r="Z137" s="493"/>
    </row>
    <row r="138" ht="26.25" customHeight="1">
      <c r="A138" s="493"/>
      <c r="B138" s="494"/>
      <c r="C138" s="494"/>
      <c r="D138" s="494"/>
      <c r="E138" s="494"/>
      <c r="F138" s="501"/>
      <c r="G138" s="501"/>
      <c r="H138" s="494"/>
      <c r="I138" s="507"/>
      <c r="J138" s="507"/>
      <c r="K138" s="496"/>
      <c r="L138" s="496"/>
      <c r="M138" s="496"/>
      <c r="N138" s="496"/>
      <c r="O138" s="493"/>
      <c r="P138" s="493"/>
      <c r="Q138" s="493"/>
      <c r="R138" s="496"/>
      <c r="S138" s="496"/>
      <c r="T138" s="496"/>
      <c r="U138" s="496"/>
      <c r="V138" s="499"/>
      <c r="W138" s="496"/>
      <c r="X138" s="493"/>
      <c r="Y138" s="493"/>
      <c r="Z138" s="493"/>
    </row>
    <row r="139" ht="26.25" customHeight="1">
      <c r="A139" s="493"/>
      <c r="B139" s="494"/>
      <c r="C139" s="494"/>
      <c r="D139" s="494"/>
      <c r="E139" s="494"/>
      <c r="F139" s="501"/>
      <c r="G139" s="501"/>
      <c r="H139" s="494"/>
      <c r="I139" s="507"/>
      <c r="J139" s="507"/>
      <c r="K139" s="496"/>
      <c r="L139" s="496"/>
      <c r="M139" s="496"/>
      <c r="N139" s="496"/>
      <c r="O139" s="493"/>
      <c r="P139" s="493"/>
      <c r="Q139" s="493"/>
      <c r="R139" s="496"/>
      <c r="S139" s="496"/>
      <c r="T139" s="496"/>
      <c r="U139" s="496"/>
      <c r="V139" s="499"/>
      <c r="W139" s="496"/>
      <c r="X139" s="493"/>
      <c r="Y139" s="493"/>
      <c r="Z139" s="493"/>
    </row>
    <row r="140" ht="26.25" customHeight="1">
      <c r="A140" s="493"/>
      <c r="B140" s="494"/>
      <c r="C140" s="494"/>
      <c r="D140" s="494"/>
      <c r="E140" s="494"/>
      <c r="F140" s="501"/>
      <c r="G140" s="501"/>
      <c r="H140" s="494"/>
      <c r="I140" s="507"/>
      <c r="J140" s="507"/>
      <c r="K140" s="496"/>
      <c r="L140" s="496"/>
      <c r="M140" s="496"/>
      <c r="N140" s="496"/>
      <c r="O140" s="493"/>
      <c r="P140" s="493"/>
      <c r="Q140" s="493"/>
      <c r="R140" s="496"/>
      <c r="S140" s="496"/>
      <c r="T140" s="496"/>
      <c r="U140" s="496"/>
      <c r="V140" s="499"/>
      <c r="W140" s="496"/>
      <c r="X140" s="493"/>
      <c r="Y140" s="493"/>
      <c r="Z140" s="493"/>
    </row>
    <row r="141" ht="26.25" customHeight="1">
      <c r="A141" s="493"/>
      <c r="B141" s="494"/>
      <c r="C141" s="494"/>
      <c r="D141" s="494"/>
      <c r="E141" s="494"/>
      <c r="F141" s="501"/>
      <c r="G141" s="501"/>
      <c r="H141" s="494"/>
      <c r="I141" s="507"/>
      <c r="J141" s="507"/>
      <c r="K141" s="496"/>
      <c r="L141" s="496"/>
      <c r="M141" s="496"/>
      <c r="N141" s="496"/>
      <c r="O141" s="493"/>
      <c r="P141" s="493"/>
      <c r="Q141" s="493"/>
      <c r="R141" s="496"/>
      <c r="S141" s="496"/>
      <c r="T141" s="496"/>
      <c r="U141" s="496"/>
      <c r="V141" s="499"/>
      <c r="W141" s="496"/>
      <c r="X141" s="493"/>
      <c r="Y141" s="493"/>
      <c r="Z141" s="493"/>
    </row>
    <row r="142" ht="26.25" customHeight="1">
      <c r="A142" s="493"/>
      <c r="B142" s="494"/>
      <c r="C142" s="494"/>
      <c r="D142" s="494"/>
      <c r="E142" s="494"/>
      <c r="F142" s="501"/>
      <c r="G142" s="501"/>
      <c r="H142" s="494"/>
      <c r="I142" s="507"/>
      <c r="J142" s="507"/>
      <c r="K142" s="496"/>
      <c r="L142" s="496"/>
      <c r="M142" s="496"/>
      <c r="N142" s="496"/>
      <c r="O142" s="493"/>
      <c r="P142" s="493"/>
      <c r="Q142" s="493"/>
      <c r="R142" s="496"/>
      <c r="S142" s="496"/>
      <c r="T142" s="496"/>
      <c r="U142" s="496"/>
      <c r="V142" s="499"/>
      <c r="W142" s="496"/>
      <c r="X142" s="493"/>
      <c r="Y142" s="493"/>
      <c r="Z142" s="493"/>
    </row>
    <row r="143" ht="26.25" customHeight="1">
      <c r="A143" s="493"/>
      <c r="B143" s="494"/>
      <c r="C143" s="494"/>
      <c r="D143" s="494"/>
      <c r="E143" s="494"/>
      <c r="F143" s="501"/>
      <c r="G143" s="501"/>
      <c r="H143" s="494"/>
      <c r="I143" s="507"/>
      <c r="J143" s="507"/>
      <c r="K143" s="496"/>
      <c r="L143" s="496"/>
      <c r="M143" s="496"/>
      <c r="N143" s="496"/>
      <c r="O143" s="493"/>
      <c r="P143" s="493"/>
      <c r="Q143" s="493"/>
      <c r="R143" s="496"/>
      <c r="S143" s="496"/>
      <c r="T143" s="496"/>
      <c r="U143" s="496"/>
      <c r="V143" s="499"/>
      <c r="W143" s="496"/>
      <c r="X143" s="493"/>
      <c r="Y143" s="493"/>
      <c r="Z143" s="493"/>
    </row>
    <row r="144" ht="26.25" customHeight="1">
      <c r="A144" s="493"/>
      <c r="B144" s="494"/>
      <c r="C144" s="494"/>
      <c r="D144" s="494"/>
      <c r="E144" s="494"/>
      <c r="F144" s="501"/>
      <c r="G144" s="501"/>
      <c r="H144" s="494"/>
      <c r="I144" s="507"/>
      <c r="J144" s="507"/>
      <c r="K144" s="496"/>
      <c r="L144" s="496"/>
      <c r="M144" s="496"/>
      <c r="N144" s="496"/>
      <c r="O144" s="493"/>
      <c r="P144" s="493"/>
      <c r="Q144" s="493"/>
      <c r="R144" s="496"/>
      <c r="S144" s="496"/>
      <c r="T144" s="496"/>
      <c r="U144" s="496"/>
      <c r="V144" s="499"/>
      <c r="W144" s="496"/>
      <c r="X144" s="493"/>
      <c r="Y144" s="493"/>
      <c r="Z144" s="493"/>
    </row>
    <row r="145" ht="26.25" customHeight="1">
      <c r="A145" s="493"/>
      <c r="B145" s="494"/>
      <c r="C145" s="494"/>
      <c r="D145" s="494"/>
      <c r="E145" s="494"/>
      <c r="F145" s="501"/>
      <c r="G145" s="501"/>
      <c r="H145" s="494"/>
      <c r="I145" s="507"/>
      <c r="J145" s="507"/>
      <c r="K145" s="496"/>
      <c r="L145" s="496"/>
      <c r="M145" s="496"/>
      <c r="N145" s="496"/>
      <c r="O145" s="493"/>
      <c r="P145" s="493"/>
      <c r="Q145" s="493"/>
      <c r="R145" s="496"/>
      <c r="S145" s="496"/>
      <c r="T145" s="496"/>
      <c r="U145" s="496"/>
      <c r="V145" s="499"/>
      <c r="W145" s="496"/>
      <c r="X145" s="493"/>
      <c r="Y145" s="493"/>
      <c r="Z145" s="493"/>
    </row>
    <row r="146" ht="26.25" customHeight="1">
      <c r="A146" s="493"/>
      <c r="B146" s="494"/>
      <c r="C146" s="494"/>
      <c r="D146" s="494"/>
      <c r="E146" s="494"/>
      <c r="F146" s="501"/>
      <c r="G146" s="501"/>
      <c r="H146" s="494"/>
      <c r="I146" s="507"/>
      <c r="J146" s="507"/>
      <c r="K146" s="496"/>
      <c r="L146" s="496"/>
      <c r="M146" s="496"/>
      <c r="N146" s="496"/>
      <c r="O146" s="493"/>
      <c r="P146" s="493"/>
      <c r="Q146" s="493"/>
      <c r="R146" s="496"/>
      <c r="S146" s="496"/>
      <c r="T146" s="496"/>
      <c r="U146" s="496"/>
      <c r="V146" s="499"/>
      <c r="W146" s="496"/>
      <c r="X146" s="493"/>
      <c r="Y146" s="493"/>
      <c r="Z146" s="493"/>
    </row>
    <row r="147" ht="26.25" customHeight="1">
      <c r="A147" s="493"/>
      <c r="B147" s="494"/>
      <c r="C147" s="494"/>
      <c r="D147" s="494"/>
      <c r="E147" s="494"/>
      <c r="F147" s="501"/>
      <c r="G147" s="501"/>
      <c r="H147" s="494"/>
      <c r="I147" s="507"/>
      <c r="J147" s="507"/>
      <c r="K147" s="496"/>
      <c r="L147" s="496"/>
      <c r="M147" s="496"/>
      <c r="N147" s="496"/>
      <c r="O147" s="493"/>
      <c r="P147" s="493"/>
      <c r="Q147" s="493"/>
      <c r="R147" s="496"/>
      <c r="S147" s="496"/>
      <c r="T147" s="496"/>
      <c r="U147" s="496"/>
      <c r="V147" s="499"/>
      <c r="W147" s="496"/>
      <c r="X147" s="493"/>
      <c r="Y147" s="493"/>
      <c r="Z147" s="493"/>
    </row>
    <row r="148" ht="26.25" customHeight="1">
      <c r="A148" s="493"/>
      <c r="B148" s="494"/>
      <c r="C148" s="494"/>
      <c r="D148" s="494"/>
      <c r="E148" s="494"/>
      <c r="F148" s="501"/>
      <c r="G148" s="501"/>
      <c r="H148" s="494"/>
      <c r="I148" s="507"/>
      <c r="J148" s="507"/>
      <c r="K148" s="496"/>
      <c r="L148" s="496"/>
      <c r="M148" s="496"/>
      <c r="N148" s="496"/>
      <c r="O148" s="493"/>
      <c r="P148" s="493"/>
      <c r="Q148" s="493"/>
      <c r="R148" s="496"/>
      <c r="S148" s="496"/>
      <c r="T148" s="496"/>
      <c r="U148" s="496"/>
      <c r="V148" s="499"/>
      <c r="W148" s="496"/>
      <c r="X148" s="493"/>
      <c r="Y148" s="493"/>
      <c r="Z148" s="493"/>
    </row>
    <row r="149" ht="26.25" customHeight="1">
      <c r="A149" s="493"/>
      <c r="B149" s="494"/>
      <c r="C149" s="494"/>
      <c r="D149" s="494"/>
      <c r="E149" s="494"/>
      <c r="F149" s="501"/>
      <c r="G149" s="501"/>
      <c r="H149" s="494"/>
      <c r="I149" s="507"/>
      <c r="J149" s="507"/>
      <c r="K149" s="496"/>
      <c r="L149" s="496"/>
      <c r="M149" s="496"/>
      <c r="N149" s="496"/>
      <c r="O149" s="493"/>
      <c r="P149" s="493"/>
      <c r="Q149" s="493"/>
      <c r="R149" s="496"/>
      <c r="S149" s="496"/>
      <c r="T149" s="496"/>
      <c r="U149" s="496"/>
      <c r="V149" s="499"/>
      <c r="W149" s="496"/>
      <c r="X149" s="493"/>
      <c r="Y149" s="493"/>
      <c r="Z149" s="493"/>
    </row>
    <row r="150" ht="26.25" customHeight="1">
      <c r="A150" s="493"/>
      <c r="B150" s="494"/>
      <c r="C150" s="494"/>
      <c r="D150" s="494"/>
      <c r="E150" s="494"/>
      <c r="F150" s="501"/>
      <c r="G150" s="501"/>
      <c r="H150" s="494"/>
      <c r="I150" s="507"/>
      <c r="J150" s="507"/>
      <c r="K150" s="496"/>
      <c r="L150" s="496"/>
      <c r="M150" s="496"/>
      <c r="N150" s="496"/>
      <c r="O150" s="493"/>
      <c r="P150" s="493"/>
      <c r="Q150" s="493"/>
      <c r="R150" s="496"/>
      <c r="S150" s="496"/>
      <c r="T150" s="496"/>
      <c r="U150" s="496"/>
      <c r="V150" s="499"/>
      <c r="W150" s="496"/>
      <c r="X150" s="493"/>
      <c r="Y150" s="493"/>
      <c r="Z150" s="493"/>
    </row>
    <row r="151" ht="26.25" customHeight="1">
      <c r="A151" s="493"/>
      <c r="B151" s="494"/>
      <c r="C151" s="494"/>
      <c r="D151" s="494"/>
      <c r="E151" s="494"/>
      <c r="F151" s="501"/>
      <c r="G151" s="501"/>
      <c r="H151" s="494"/>
      <c r="I151" s="507"/>
      <c r="J151" s="507"/>
      <c r="K151" s="496"/>
      <c r="L151" s="496"/>
      <c r="M151" s="496"/>
      <c r="N151" s="496"/>
      <c r="O151" s="493"/>
      <c r="P151" s="493"/>
      <c r="Q151" s="493"/>
      <c r="R151" s="496"/>
      <c r="S151" s="496"/>
      <c r="T151" s="496"/>
      <c r="U151" s="496"/>
      <c r="V151" s="499"/>
      <c r="W151" s="496"/>
      <c r="X151" s="493"/>
      <c r="Y151" s="493"/>
      <c r="Z151" s="493"/>
    </row>
    <row r="152" ht="26.25" customHeight="1">
      <c r="A152" s="493"/>
      <c r="B152" s="494"/>
      <c r="C152" s="494"/>
      <c r="D152" s="494"/>
      <c r="E152" s="494"/>
      <c r="F152" s="501"/>
      <c r="G152" s="501"/>
      <c r="H152" s="494"/>
      <c r="I152" s="507"/>
      <c r="J152" s="507"/>
      <c r="K152" s="496"/>
      <c r="L152" s="496"/>
      <c r="M152" s="496"/>
      <c r="N152" s="496"/>
      <c r="O152" s="493"/>
      <c r="P152" s="493"/>
      <c r="Q152" s="493"/>
      <c r="R152" s="496"/>
      <c r="S152" s="496"/>
      <c r="T152" s="496"/>
      <c r="U152" s="496"/>
      <c r="V152" s="499"/>
      <c r="W152" s="496"/>
      <c r="X152" s="493"/>
      <c r="Y152" s="493"/>
      <c r="Z152" s="493"/>
    </row>
    <row r="153" ht="26.25" customHeight="1">
      <c r="A153" s="493"/>
      <c r="B153" s="494"/>
      <c r="C153" s="494"/>
      <c r="D153" s="494"/>
      <c r="E153" s="494"/>
      <c r="F153" s="501"/>
      <c r="G153" s="501"/>
      <c r="H153" s="494"/>
      <c r="I153" s="507"/>
      <c r="J153" s="507"/>
      <c r="K153" s="496"/>
      <c r="L153" s="496"/>
      <c r="M153" s="496"/>
      <c r="N153" s="496"/>
      <c r="O153" s="493"/>
      <c r="P153" s="493"/>
      <c r="Q153" s="493"/>
      <c r="R153" s="496"/>
      <c r="S153" s="496"/>
      <c r="T153" s="496"/>
      <c r="U153" s="496"/>
      <c r="V153" s="499"/>
      <c r="W153" s="496"/>
      <c r="X153" s="493"/>
      <c r="Y153" s="493"/>
      <c r="Z153" s="493"/>
    </row>
    <row r="154" ht="26.25" customHeight="1">
      <c r="A154" s="493"/>
      <c r="B154" s="494"/>
      <c r="C154" s="494"/>
      <c r="D154" s="494"/>
      <c r="E154" s="494"/>
      <c r="F154" s="501"/>
      <c r="G154" s="501"/>
      <c r="H154" s="494"/>
      <c r="I154" s="507"/>
      <c r="J154" s="507"/>
      <c r="K154" s="496"/>
      <c r="L154" s="496"/>
      <c r="M154" s="496"/>
      <c r="N154" s="496"/>
      <c r="O154" s="493"/>
      <c r="P154" s="493"/>
      <c r="Q154" s="493"/>
      <c r="R154" s="496"/>
      <c r="S154" s="496"/>
      <c r="T154" s="496"/>
      <c r="U154" s="496"/>
      <c r="V154" s="499"/>
      <c r="W154" s="496"/>
      <c r="X154" s="493"/>
      <c r="Y154" s="493"/>
      <c r="Z154" s="493"/>
    </row>
    <row r="155" ht="26.25" customHeight="1">
      <c r="A155" s="493"/>
      <c r="B155" s="494"/>
      <c r="C155" s="494"/>
      <c r="D155" s="494"/>
      <c r="E155" s="494"/>
      <c r="F155" s="501"/>
      <c r="G155" s="501"/>
      <c r="H155" s="494"/>
      <c r="I155" s="507"/>
      <c r="J155" s="507"/>
      <c r="K155" s="496"/>
      <c r="L155" s="496"/>
      <c r="M155" s="496"/>
      <c r="N155" s="496"/>
      <c r="O155" s="493"/>
      <c r="P155" s="493"/>
      <c r="Q155" s="493"/>
      <c r="R155" s="496"/>
      <c r="S155" s="496"/>
      <c r="T155" s="496"/>
      <c r="U155" s="496"/>
      <c r="V155" s="499"/>
      <c r="W155" s="496"/>
      <c r="X155" s="493"/>
      <c r="Y155" s="493"/>
      <c r="Z155" s="493"/>
    </row>
    <row r="156" ht="26.25" customHeight="1">
      <c r="A156" s="493"/>
      <c r="B156" s="494"/>
      <c r="C156" s="494"/>
      <c r="D156" s="494"/>
      <c r="E156" s="494"/>
      <c r="F156" s="501"/>
      <c r="G156" s="501"/>
      <c r="H156" s="494"/>
      <c r="I156" s="507"/>
      <c r="J156" s="507"/>
      <c r="K156" s="496"/>
      <c r="L156" s="496"/>
      <c r="M156" s="496"/>
      <c r="N156" s="496"/>
      <c r="O156" s="493"/>
      <c r="P156" s="493"/>
      <c r="Q156" s="493"/>
      <c r="R156" s="496"/>
      <c r="S156" s="496"/>
      <c r="T156" s="496"/>
      <c r="U156" s="496"/>
      <c r="V156" s="499"/>
      <c r="W156" s="496"/>
      <c r="X156" s="493"/>
      <c r="Y156" s="493"/>
      <c r="Z156" s="493"/>
    </row>
    <row r="157" ht="26.25" customHeight="1">
      <c r="A157" s="493"/>
      <c r="B157" s="494"/>
      <c r="C157" s="494"/>
      <c r="D157" s="494"/>
      <c r="E157" s="494"/>
      <c r="F157" s="501"/>
      <c r="G157" s="501"/>
      <c r="H157" s="494"/>
      <c r="I157" s="507"/>
      <c r="J157" s="507"/>
      <c r="K157" s="496"/>
      <c r="L157" s="496"/>
      <c r="M157" s="496"/>
      <c r="N157" s="496"/>
      <c r="O157" s="493"/>
      <c r="P157" s="493"/>
      <c r="Q157" s="493"/>
      <c r="R157" s="496"/>
      <c r="S157" s="496"/>
      <c r="T157" s="496"/>
      <c r="U157" s="496"/>
      <c r="V157" s="499"/>
      <c r="W157" s="496"/>
      <c r="X157" s="493"/>
      <c r="Y157" s="493"/>
      <c r="Z157" s="493"/>
    </row>
    <row r="158" ht="26.25" customHeight="1">
      <c r="A158" s="493"/>
      <c r="B158" s="494"/>
      <c r="C158" s="494"/>
      <c r="D158" s="494"/>
      <c r="E158" s="494"/>
      <c r="F158" s="501"/>
      <c r="G158" s="501"/>
      <c r="H158" s="494"/>
      <c r="I158" s="507"/>
      <c r="J158" s="507"/>
      <c r="K158" s="496"/>
      <c r="L158" s="496"/>
      <c r="M158" s="496"/>
      <c r="N158" s="496"/>
      <c r="O158" s="493"/>
      <c r="P158" s="493"/>
      <c r="Q158" s="493"/>
      <c r="R158" s="496"/>
      <c r="S158" s="496"/>
      <c r="T158" s="496"/>
      <c r="U158" s="496"/>
      <c r="V158" s="499"/>
      <c r="W158" s="496"/>
      <c r="X158" s="493"/>
      <c r="Y158" s="493"/>
      <c r="Z158" s="493"/>
    </row>
    <row r="159" ht="26.25" customHeight="1">
      <c r="A159" s="493"/>
      <c r="B159" s="494"/>
      <c r="C159" s="494"/>
      <c r="D159" s="494"/>
      <c r="E159" s="494"/>
      <c r="F159" s="501"/>
      <c r="G159" s="501"/>
      <c r="H159" s="494"/>
      <c r="I159" s="507"/>
      <c r="J159" s="507"/>
      <c r="K159" s="496"/>
      <c r="L159" s="496"/>
      <c r="M159" s="496"/>
      <c r="N159" s="496"/>
      <c r="O159" s="493"/>
      <c r="P159" s="493"/>
      <c r="Q159" s="493"/>
      <c r="R159" s="496"/>
      <c r="S159" s="496"/>
      <c r="T159" s="496"/>
      <c r="U159" s="496"/>
      <c r="V159" s="499"/>
      <c r="W159" s="496"/>
      <c r="X159" s="493"/>
      <c r="Y159" s="493"/>
      <c r="Z159" s="493"/>
    </row>
    <row r="160" ht="26.25" customHeight="1">
      <c r="A160" s="493"/>
      <c r="B160" s="494"/>
      <c r="C160" s="494"/>
      <c r="D160" s="494"/>
      <c r="E160" s="494"/>
      <c r="F160" s="501"/>
      <c r="G160" s="501"/>
      <c r="H160" s="494"/>
      <c r="I160" s="507"/>
      <c r="J160" s="507"/>
      <c r="K160" s="496"/>
      <c r="L160" s="496"/>
      <c r="M160" s="496"/>
      <c r="N160" s="496"/>
      <c r="O160" s="493"/>
      <c r="P160" s="493"/>
      <c r="Q160" s="493"/>
      <c r="R160" s="496"/>
      <c r="S160" s="496"/>
      <c r="T160" s="496"/>
      <c r="U160" s="496"/>
      <c r="V160" s="499"/>
      <c r="W160" s="496"/>
      <c r="X160" s="493"/>
      <c r="Y160" s="493"/>
      <c r="Z160" s="493"/>
    </row>
    <row r="161" ht="26.25" customHeight="1">
      <c r="A161" s="493"/>
      <c r="B161" s="494"/>
      <c r="C161" s="494"/>
      <c r="D161" s="494"/>
      <c r="E161" s="494"/>
      <c r="F161" s="501"/>
      <c r="G161" s="501"/>
      <c r="H161" s="494"/>
      <c r="I161" s="507"/>
      <c r="J161" s="507"/>
      <c r="K161" s="496"/>
      <c r="L161" s="496"/>
      <c r="M161" s="496"/>
      <c r="N161" s="496"/>
      <c r="O161" s="493"/>
      <c r="P161" s="493"/>
      <c r="Q161" s="493"/>
      <c r="R161" s="496"/>
      <c r="S161" s="496"/>
      <c r="T161" s="496"/>
      <c r="U161" s="496"/>
      <c r="V161" s="499"/>
      <c r="W161" s="496"/>
      <c r="X161" s="493"/>
      <c r="Y161" s="493"/>
      <c r="Z161" s="493"/>
    </row>
    <row r="162" ht="26.25" customHeight="1">
      <c r="A162" s="493"/>
      <c r="B162" s="494"/>
      <c r="C162" s="494"/>
      <c r="D162" s="494"/>
      <c r="E162" s="494"/>
      <c r="F162" s="501"/>
      <c r="G162" s="501"/>
      <c r="H162" s="494"/>
      <c r="I162" s="507"/>
      <c r="J162" s="507"/>
      <c r="K162" s="496"/>
      <c r="L162" s="496"/>
      <c r="M162" s="496"/>
      <c r="N162" s="496"/>
      <c r="O162" s="493"/>
      <c r="P162" s="493"/>
      <c r="Q162" s="493"/>
      <c r="R162" s="496"/>
      <c r="S162" s="496"/>
      <c r="T162" s="496"/>
      <c r="U162" s="496"/>
      <c r="V162" s="499"/>
      <c r="W162" s="496"/>
      <c r="X162" s="493"/>
      <c r="Y162" s="493"/>
      <c r="Z162" s="493"/>
    </row>
    <row r="163" ht="26.25" customHeight="1">
      <c r="A163" s="493"/>
      <c r="B163" s="494"/>
      <c r="C163" s="494"/>
      <c r="D163" s="494"/>
      <c r="E163" s="494"/>
      <c r="F163" s="501"/>
      <c r="G163" s="501"/>
      <c r="H163" s="494"/>
      <c r="I163" s="507"/>
      <c r="J163" s="507"/>
      <c r="K163" s="496"/>
      <c r="L163" s="496"/>
      <c r="M163" s="496"/>
      <c r="N163" s="496"/>
      <c r="O163" s="493"/>
      <c r="P163" s="493"/>
      <c r="Q163" s="493"/>
      <c r="R163" s="496"/>
      <c r="S163" s="496"/>
      <c r="T163" s="496"/>
      <c r="U163" s="496"/>
      <c r="V163" s="499"/>
      <c r="W163" s="496"/>
      <c r="X163" s="493"/>
      <c r="Y163" s="493"/>
      <c r="Z163" s="493"/>
    </row>
    <row r="164" ht="26.25" customHeight="1">
      <c r="A164" s="493"/>
      <c r="B164" s="494"/>
      <c r="C164" s="494"/>
      <c r="D164" s="494"/>
      <c r="E164" s="494"/>
      <c r="F164" s="501"/>
      <c r="G164" s="501"/>
      <c r="H164" s="494"/>
      <c r="I164" s="507"/>
      <c r="J164" s="507"/>
      <c r="K164" s="496"/>
      <c r="L164" s="496"/>
      <c r="M164" s="496"/>
      <c r="N164" s="496"/>
      <c r="O164" s="493"/>
      <c r="P164" s="493"/>
      <c r="Q164" s="493"/>
      <c r="R164" s="496"/>
      <c r="S164" s="496"/>
      <c r="T164" s="496"/>
      <c r="U164" s="496"/>
      <c r="V164" s="499"/>
      <c r="W164" s="496"/>
      <c r="X164" s="493"/>
      <c r="Y164" s="493"/>
      <c r="Z164" s="493"/>
    </row>
    <row r="165" ht="26.25" customHeight="1">
      <c r="A165" s="493"/>
      <c r="B165" s="494"/>
      <c r="C165" s="494"/>
      <c r="D165" s="494"/>
      <c r="E165" s="494"/>
      <c r="F165" s="501"/>
      <c r="G165" s="501"/>
      <c r="H165" s="494"/>
      <c r="I165" s="507"/>
      <c r="J165" s="507"/>
      <c r="K165" s="496"/>
      <c r="L165" s="496"/>
      <c r="M165" s="496"/>
      <c r="N165" s="496"/>
      <c r="O165" s="493"/>
      <c r="P165" s="493"/>
      <c r="Q165" s="493"/>
      <c r="R165" s="496"/>
      <c r="S165" s="496"/>
      <c r="T165" s="496"/>
      <c r="U165" s="496"/>
      <c r="V165" s="499"/>
      <c r="W165" s="496"/>
      <c r="X165" s="493"/>
      <c r="Y165" s="493"/>
      <c r="Z165" s="493"/>
    </row>
    <row r="166" ht="26.25" customHeight="1">
      <c r="A166" s="493"/>
      <c r="B166" s="494"/>
      <c r="C166" s="494"/>
      <c r="D166" s="494"/>
      <c r="E166" s="494"/>
      <c r="F166" s="501"/>
      <c r="G166" s="501"/>
      <c r="H166" s="494"/>
      <c r="I166" s="507"/>
      <c r="J166" s="507"/>
      <c r="K166" s="496"/>
      <c r="L166" s="496"/>
      <c r="M166" s="496"/>
      <c r="N166" s="496"/>
      <c r="O166" s="493"/>
      <c r="P166" s="493"/>
      <c r="Q166" s="493"/>
      <c r="R166" s="496"/>
      <c r="S166" s="496"/>
      <c r="T166" s="496"/>
      <c r="U166" s="496"/>
      <c r="V166" s="499"/>
      <c r="W166" s="496"/>
      <c r="X166" s="493"/>
      <c r="Y166" s="493"/>
      <c r="Z166" s="493"/>
    </row>
    <row r="167" ht="26.25" customHeight="1">
      <c r="A167" s="493"/>
      <c r="B167" s="494"/>
      <c r="C167" s="494"/>
      <c r="D167" s="494"/>
      <c r="E167" s="494"/>
      <c r="F167" s="501"/>
      <c r="G167" s="501"/>
      <c r="H167" s="494"/>
      <c r="I167" s="507"/>
      <c r="J167" s="507"/>
      <c r="K167" s="496"/>
      <c r="L167" s="496"/>
      <c r="M167" s="496"/>
      <c r="N167" s="496"/>
      <c r="O167" s="493"/>
      <c r="P167" s="493"/>
      <c r="Q167" s="493"/>
      <c r="R167" s="496"/>
      <c r="S167" s="496"/>
      <c r="T167" s="496"/>
      <c r="U167" s="496"/>
      <c r="V167" s="499"/>
      <c r="W167" s="496"/>
      <c r="X167" s="493"/>
      <c r="Y167" s="493"/>
      <c r="Z167" s="493"/>
    </row>
    <row r="168" ht="26.25" customHeight="1">
      <c r="A168" s="493"/>
      <c r="B168" s="494"/>
      <c r="C168" s="494"/>
      <c r="D168" s="494"/>
      <c r="E168" s="494"/>
      <c r="F168" s="501"/>
      <c r="G168" s="501"/>
      <c r="H168" s="494"/>
      <c r="I168" s="507"/>
      <c r="J168" s="507"/>
      <c r="K168" s="496"/>
      <c r="L168" s="496"/>
      <c r="M168" s="496"/>
      <c r="N168" s="496"/>
      <c r="O168" s="493"/>
      <c r="P168" s="493"/>
      <c r="Q168" s="493"/>
      <c r="R168" s="496"/>
      <c r="S168" s="496"/>
      <c r="T168" s="496"/>
      <c r="U168" s="496"/>
      <c r="V168" s="499"/>
      <c r="W168" s="496"/>
      <c r="X168" s="493"/>
      <c r="Y168" s="493"/>
      <c r="Z168" s="493"/>
    </row>
    <row r="169" ht="26.25" customHeight="1">
      <c r="A169" s="493"/>
      <c r="B169" s="494"/>
      <c r="C169" s="494"/>
      <c r="D169" s="494"/>
      <c r="E169" s="494"/>
      <c r="F169" s="501"/>
      <c r="G169" s="501"/>
      <c r="H169" s="494"/>
      <c r="I169" s="507"/>
      <c r="J169" s="507"/>
      <c r="K169" s="496"/>
      <c r="L169" s="496"/>
      <c r="M169" s="496"/>
      <c r="N169" s="496"/>
      <c r="O169" s="493"/>
      <c r="P169" s="493"/>
      <c r="Q169" s="493"/>
      <c r="R169" s="496"/>
      <c r="S169" s="496"/>
      <c r="T169" s="496"/>
      <c r="U169" s="496"/>
      <c r="V169" s="499"/>
      <c r="W169" s="496"/>
      <c r="X169" s="493"/>
      <c r="Y169" s="493"/>
      <c r="Z169" s="493"/>
    </row>
    <row r="170" ht="26.25" customHeight="1">
      <c r="A170" s="493"/>
      <c r="B170" s="494"/>
      <c r="C170" s="494"/>
      <c r="D170" s="494"/>
      <c r="E170" s="494"/>
      <c r="F170" s="501"/>
      <c r="G170" s="501"/>
      <c r="H170" s="494"/>
      <c r="I170" s="507"/>
      <c r="J170" s="507"/>
      <c r="K170" s="496"/>
      <c r="L170" s="496"/>
      <c r="M170" s="496"/>
      <c r="N170" s="496"/>
      <c r="O170" s="493"/>
      <c r="P170" s="493"/>
      <c r="Q170" s="493"/>
      <c r="R170" s="496"/>
      <c r="S170" s="496"/>
      <c r="T170" s="496"/>
      <c r="U170" s="496"/>
      <c r="V170" s="499"/>
      <c r="W170" s="496"/>
      <c r="X170" s="493"/>
      <c r="Y170" s="493"/>
      <c r="Z170" s="493"/>
    </row>
    <row r="171" ht="26.25" customHeight="1">
      <c r="A171" s="493"/>
      <c r="B171" s="494"/>
      <c r="C171" s="526"/>
      <c r="D171" s="494"/>
      <c r="E171" s="526"/>
      <c r="F171" s="527"/>
      <c r="G171" s="527"/>
      <c r="H171" s="526"/>
      <c r="I171" s="507"/>
      <c r="J171" s="507"/>
      <c r="K171" s="496"/>
      <c r="L171" s="496"/>
      <c r="M171" s="496"/>
      <c r="N171" s="496"/>
      <c r="O171" s="493"/>
      <c r="P171" s="493"/>
      <c r="Q171" s="493"/>
      <c r="R171" s="496"/>
      <c r="S171" s="496"/>
      <c r="T171" s="496"/>
      <c r="U171" s="496"/>
      <c r="V171" s="499"/>
      <c r="W171" s="496"/>
      <c r="X171" s="493"/>
      <c r="Y171" s="493"/>
      <c r="Z171" s="493"/>
    </row>
    <row r="172" ht="26.25" customHeight="1">
      <c r="A172" s="493"/>
      <c r="B172" s="526"/>
      <c r="C172" s="526"/>
      <c r="D172" s="526"/>
      <c r="E172" s="526"/>
      <c r="F172" s="527"/>
      <c r="G172" s="527"/>
      <c r="H172" s="526"/>
      <c r="I172" s="507"/>
      <c r="J172" s="507"/>
      <c r="K172" s="496"/>
      <c r="L172" s="496"/>
      <c r="M172" s="496"/>
      <c r="N172" s="496"/>
      <c r="O172" s="493"/>
      <c r="P172" s="493"/>
      <c r="Q172" s="493"/>
      <c r="R172" s="496"/>
      <c r="S172" s="496"/>
      <c r="T172" s="496"/>
      <c r="U172" s="496"/>
      <c r="V172" s="499"/>
      <c r="W172" s="496"/>
      <c r="X172" s="493"/>
      <c r="Y172" s="493"/>
      <c r="Z172" s="493"/>
    </row>
    <row r="173" ht="26.25" customHeight="1">
      <c r="A173" s="493"/>
      <c r="B173" s="526"/>
      <c r="C173" s="526"/>
      <c r="D173" s="526"/>
      <c r="E173" s="526"/>
      <c r="F173" s="527"/>
      <c r="G173" s="527"/>
      <c r="H173" s="526"/>
      <c r="I173" s="507"/>
      <c r="J173" s="507"/>
      <c r="K173" s="496"/>
      <c r="L173" s="496"/>
      <c r="M173" s="496"/>
      <c r="N173" s="496"/>
      <c r="O173" s="493"/>
      <c r="P173" s="493"/>
      <c r="Q173" s="493"/>
      <c r="R173" s="496"/>
      <c r="S173" s="496"/>
      <c r="T173" s="496"/>
      <c r="U173" s="496"/>
      <c r="V173" s="499"/>
      <c r="W173" s="496"/>
      <c r="X173" s="493"/>
      <c r="Y173" s="493"/>
      <c r="Z173" s="493"/>
    </row>
    <row r="174" ht="26.25" customHeight="1">
      <c r="A174" s="493"/>
      <c r="B174" s="526"/>
      <c r="C174" s="526"/>
      <c r="D174" s="526"/>
      <c r="E174" s="526"/>
      <c r="F174" s="527"/>
      <c r="G174" s="527"/>
      <c r="H174" s="526"/>
      <c r="I174" s="507"/>
      <c r="J174" s="507"/>
      <c r="K174" s="496"/>
      <c r="L174" s="496"/>
      <c r="M174" s="496"/>
      <c r="N174" s="496"/>
      <c r="O174" s="493"/>
      <c r="P174" s="493"/>
      <c r="Q174" s="493"/>
      <c r="R174" s="496"/>
      <c r="S174" s="496"/>
      <c r="T174" s="496"/>
      <c r="U174" s="496"/>
      <c r="V174" s="499"/>
      <c r="W174" s="496"/>
      <c r="X174" s="493"/>
      <c r="Y174" s="493"/>
      <c r="Z174" s="493"/>
    </row>
    <row r="175" ht="26.25" customHeight="1">
      <c r="A175" s="493"/>
      <c r="B175" s="526"/>
      <c r="C175" s="526"/>
      <c r="D175" s="526"/>
      <c r="E175" s="526"/>
      <c r="F175" s="527"/>
      <c r="G175" s="527"/>
      <c r="H175" s="526"/>
      <c r="I175" s="507"/>
      <c r="J175" s="507"/>
      <c r="K175" s="496"/>
      <c r="L175" s="496"/>
      <c r="M175" s="496"/>
      <c r="N175" s="496"/>
      <c r="O175" s="493"/>
      <c r="P175" s="493"/>
      <c r="Q175" s="493"/>
      <c r="R175" s="496"/>
      <c r="S175" s="496"/>
      <c r="T175" s="496"/>
      <c r="U175" s="496"/>
      <c r="V175" s="499"/>
      <c r="W175" s="496"/>
      <c r="X175" s="493"/>
      <c r="Y175" s="493"/>
      <c r="Z175" s="493"/>
    </row>
    <row r="176" ht="26.25" customHeight="1">
      <c r="A176" s="493"/>
      <c r="B176" s="526"/>
      <c r="C176" s="526"/>
      <c r="D176" s="526"/>
      <c r="E176" s="526"/>
      <c r="F176" s="527"/>
      <c r="G176" s="527"/>
      <c r="H176" s="526"/>
      <c r="I176" s="507"/>
      <c r="J176" s="507"/>
      <c r="K176" s="496"/>
      <c r="L176" s="496"/>
      <c r="M176" s="496"/>
      <c r="N176" s="496"/>
      <c r="O176" s="493"/>
      <c r="P176" s="493"/>
      <c r="Q176" s="493"/>
      <c r="R176" s="496"/>
      <c r="S176" s="496"/>
      <c r="T176" s="496"/>
      <c r="U176" s="496"/>
      <c r="V176" s="499"/>
      <c r="W176" s="496"/>
      <c r="X176" s="493"/>
      <c r="Y176" s="493"/>
      <c r="Z176" s="493"/>
    </row>
    <row r="177" ht="26.25" customHeight="1">
      <c r="A177" s="493"/>
      <c r="B177" s="526"/>
      <c r="C177" s="526"/>
      <c r="D177" s="526"/>
      <c r="E177" s="526"/>
      <c r="F177" s="527"/>
      <c r="G177" s="527"/>
      <c r="H177" s="526"/>
      <c r="I177" s="507"/>
      <c r="J177" s="507"/>
      <c r="K177" s="496"/>
      <c r="L177" s="496"/>
      <c r="M177" s="496"/>
      <c r="N177" s="496"/>
      <c r="O177" s="493"/>
      <c r="P177" s="493"/>
      <c r="Q177" s="493"/>
      <c r="R177" s="496"/>
      <c r="S177" s="496"/>
      <c r="T177" s="496"/>
      <c r="U177" s="496"/>
      <c r="V177" s="499"/>
      <c r="W177" s="496"/>
      <c r="X177" s="493"/>
      <c r="Y177" s="493"/>
      <c r="Z177" s="493"/>
    </row>
    <row r="178" ht="26.25" customHeight="1">
      <c r="A178" s="493"/>
      <c r="B178" s="526"/>
      <c r="C178" s="526"/>
      <c r="D178" s="526"/>
      <c r="E178" s="526"/>
      <c r="F178" s="527"/>
      <c r="G178" s="527"/>
      <c r="H178" s="526"/>
      <c r="I178" s="507"/>
      <c r="J178" s="507"/>
      <c r="K178" s="496"/>
      <c r="L178" s="496"/>
      <c r="M178" s="496"/>
      <c r="N178" s="496"/>
      <c r="O178" s="493"/>
      <c r="P178" s="493"/>
      <c r="Q178" s="493"/>
      <c r="R178" s="496"/>
      <c r="S178" s="496"/>
      <c r="T178" s="496"/>
      <c r="U178" s="496"/>
      <c r="V178" s="499"/>
      <c r="W178" s="496"/>
      <c r="X178" s="493"/>
      <c r="Y178" s="493"/>
      <c r="Z178" s="493"/>
    </row>
    <row r="179" ht="26.25" customHeight="1">
      <c r="A179" s="493"/>
      <c r="B179" s="526"/>
      <c r="C179" s="526"/>
      <c r="D179" s="526"/>
      <c r="E179" s="526"/>
      <c r="F179" s="527"/>
      <c r="G179" s="527"/>
      <c r="H179" s="526"/>
      <c r="I179" s="507"/>
      <c r="J179" s="507"/>
      <c r="K179" s="496"/>
      <c r="L179" s="496"/>
      <c r="M179" s="496"/>
      <c r="N179" s="496"/>
      <c r="O179" s="493"/>
      <c r="P179" s="493"/>
      <c r="Q179" s="493"/>
      <c r="R179" s="496"/>
      <c r="S179" s="496"/>
      <c r="T179" s="496"/>
      <c r="U179" s="496"/>
      <c r="V179" s="499"/>
      <c r="W179" s="496"/>
      <c r="X179" s="493"/>
      <c r="Y179" s="493"/>
      <c r="Z179" s="493"/>
    </row>
    <row r="180" ht="26.25" customHeight="1">
      <c r="A180" s="493"/>
      <c r="B180" s="526"/>
      <c r="C180" s="526"/>
      <c r="D180" s="526"/>
      <c r="E180" s="526"/>
      <c r="F180" s="527"/>
      <c r="G180" s="527"/>
      <c r="H180" s="526"/>
      <c r="I180" s="507"/>
      <c r="J180" s="507"/>
      <c r="K180" s="496"/>
      <c r="L180" s="496"/>
      <c r="M180" s="496"/>
      <c r="N180" s="496"/>
      <c r="O180" s="493"/>
      <c r="P180" s="493"/>
      <c r="Q180" s="493"/>
      <c r="R180" s="496"/>
      <c r="S180" s="496"/>
      <c r="T180" s="496"/>
      <c r="U180" s="496"/>
      <c r="V180" s="499"/>
      <c r="W180" s="496"/>
      <c r="X180" s="493"/>
      <c r="Y180" s="493"/>
      <c r="Z180" s="493"/>
    </row>
    <row r="181" ht="26.25" customHeight="1">
      <c r="A181" s="493"/>
      <c r="B181" s="526"/>
      <c r="C181" s="526"/>
      <c r="D181" s="526"/>
      <c r="E181" s="526"/>
      <c r="F181" s="527"/>
      <c r="G181" s="527"/>
      <c r="H181" s="526"/>
      <c r="I181" s="507"/>
      <c r="J181" s="507"/>
      <c r="K181" s="496"/>
      <c r="L181" s="496"/>
      <c r="M181" s="496"/>
      <c r="N181" s="496"/>
      <c r="O181" s="493"/>
      <c r="P181" s="493"/>
      <c r="Q181" s="493"/>
      <c r="R181" s="496"/>
      <c r="S181" s="496"/>
      <c r="T181" s="496"/>
      <c r="U181" s="496"/>
      <c r="V181" s="499"/>
      <c r="W181" s="496"/>
      <c r="X181" s="493"/>
      <c r="Y181" s="493"/>
      <c r="Z181" s="493"/>
    </row>
    <row r="182" ht="26.25" customHeight="1">
      <c r="A182" s="493"/>
      <c r="B182" s="526"/>
      <c r="C182" s="526"/>
      <c r="D182" s="526"/>
      <c r="E182" s="526"/>
      <c r="F182" s="527"/>
      <c r="G182" s="527"/>
      <c r="H182" s="526"/>
      <c r="I182" s="507"/>
      <c r="J182" s="507"/>
      <c r="K182" s="496"/>
      <c r="L182" s="496"/>
      <c r="M182" s="496"/>
      <c r="N182" s="496"/>
      <c r="O182" s="493"/>
      <c r="P182" s="493"/>
      <c r="Q182" s="493"/>
      <c r="R182" s="496"/>
      <c r="S182" s="496"/>
      <c r="T182" s="496"/>
      <c r="U182" s="496"/>
      <c r="V182" s="499"/>
      <c r="W182" s="496"/>
      <c r="X182" s="493"/>
      <c r="Y182" s="493"/>
      <c r="Z182" s="493"/>
    </row>
    <row r="183" ht="26.25" customHeight="1">
      <c r="A183" s="493"/>
      <c r="B183" s="526"/>
      <c r="C183" s="526"/>
      <c r="D183" s="526"/>
      <c r="E183" s="526"/>
      <c r="F183" s="527"/>
      <c r="G183" s="527"/>
      <c r="H183" s="526"/>
      <c r="I183" s="507"/>
      <c r="J183" s="507"/>
      <c r="K183" s="496"/>
      <c r="L183" s="496"/>
      <c r="M183" s="496"/>
      <c r="N183" s="496"/>
      <c r="O183" s="493"/>
      <c r="P183" s="493"/>
      <c r="Q183" s="493"/>
      <c r="R183" s="496"/>
      <c r="S183" s="496"/>
      <c r="T183" s="496"/>
      <c r="U183" s="496"/>
      <c r="V183" s="499"/>
      <c r="W183" s="496"/>
      <c r="X183" s="493"/>
      <c r="Y183" s="493"/>
      <c r="Z183" s="493"/>
    </row>
    <row r="184" ht="26.25" customHeight="1">
      <c r="A184" s="493"/>
      <c r="B184" s="526"/>
      <c r="C184" s="526"/>
      <c r="D184" s="526"/>
      <c r="E184" s="526"/>
      <c r="F184" s="527"/>
      <c r="G184" s="527"/>
      <c r="H184" s="526"/>
      <c r="I184" s="507"/>
      <c r="J184" s="507"/>
      <c r="K184" s="496"/>
      <c r="L184" s="496"/>
      <c r="M184" s="496"/>
      <c r="N184" s="496"/>
      <c r="O184" s="493"/>
      <c r="P184" s="493"/>
      <c r="Q184" s="493"/>
      <c r="R184" s="496"/>
      <c r="S184" s="496"/>
      <c r="T184" s="496"/>
      <c r="U184" s="496"/>
      <c r="V184" s="499"/>
      <c r="W184" s="496"/>
      <c r="X184" s="493"/>
      <c r="Y184" s="493"/>
      <c r="Z184" s="493"/>
    </row>
    <row r="185" ht="26.25" customHeight="1">
      <c r="A185" s="493"/>
      <c r="B185" s="526"/>
      <c r="C185" s="526"/>
      <c r="D185" s="526"/>
      <c r="E185" s="526"/>
      <c r="F185" s="527"/>
      <c r="G185" s="527"/>
      <c r="H185" s="526"/>
      <c r="I185" s="507"/>
      <c r="J185" s="507"/>
      <c r="K185" s="496"/>
      <c r="L185" s="496"/>
      <c r="M185" s="496"/>
      <c r="N185" s="496"/>
      <c r="O185" s="493"/>
      <c r="P185" s="493"/>
      <c r="Q185" s="493"/>
      <c r="R185" s="496"/>
      <c r="S185" s="496"/>
      <c r="T185" s="496"/>
      <c r="U185" s="496"/>
      <c r="V185" s="499"/>
      <c r="W185" s="496"/>
      <c r="X185" s="493"/>
      <c r="Y185" s="493"/>
      <c r="Z185" s="493"/>
    </row>
    <row r="186" ht="26.25" customHeight="1">
      <c r="A186" s="493"/>
      <c r="B186" s="526"/>
      <c r="C186" s="526"/>
      <c r="D186" s="526"/>
      <c r="E186" s="526"/>
      <c r="F186" s="527"/>
      <c r="G186" s="527"/>
      <c r="H186" s="526"/>
      <c r="I186" s="507"/>
      <c r="J186" s="507"/>
      <c r="K186" s="496"/>
      <c r="L186" s="496"/>
      <c r="M186" s="496"/>
      <c r="N186" s="496"/>
      <c r="O186" s="493"/>
      <c r="P186" s="493"/>
      <c r="Q186" s="493"/>
      <c r="R186" s="496"/>
      <c r="S186" s="496"/>
      <c r="T186" s="496"/>
      <c r="U186" s="496"/>
      <c r="V186" s="499"/>
      <c r="W186" s="496"/>
      <c r="X186" s="493"/>
      <c r="Y186" s="493"/>
      <c r="Z186" s="493"/>
    </row>
    <row r="187" ht="26.25" customHeight="1">
      <c r="A187" s="493"/>
      <c r="B187" s="526"/>
      <c r="C187" s="526"/>
      <c r="D187" s="526"/>
      <c r="E187" s="526"/>
      <c r="F187" s="527"/>
      <c r="G187" s="527"/>
      <c r="H187" s="526"/>
      <c r="I187" s="507"/>
      <c r="J187" s="507"/>
      <c r="K187" s="496"/>
      <c r="L187" s="496"/>
      <c r="M187" s="496"/>
      <c r="N187" s="496"/>
      <c r="O187" s="493"/>
      <c r="P187" s="493"/>
      <c r="Q187" s="493"/>
      <c r="R187" s="496"/>
      <c r="S187" s="496"/>
      <c r="T187" s="496"/>
      <c r="U187" s="496"/>
      <c r="V187" s="499"/>
      <c r="W187" s="496"/>
      <c r="X187" s="493"/>
      <c r="Y187" s="493"/>
      <c r="Z187" s="493"/>
    </row>
    <row r="188" ht="26.25" customHeight="1">
      <c r="A188" s="493"/>
      <c r="B188" s="526"/>
      <c r="C188" s="526"/>
      <c r="D188" s="526"/>
      <c r="E188" s="526"/>
      <c r="F188" s="527"/>
      <c r="G188" s="527"/>
      <c r="H188" s="526"/>
      <c r="I188" s="507"/>
      <c r="J188" s="507"/>
      <c r="K188" s="496"/>
      <c r="L188" s="496"/>
      <c r="M188" s="496"/>
      <c r="N188" s="496"/>
      <c r="O188" s="493"/>
      <c r="P188" s="493"/>
      <c r="Q188" s="493"/>
      <c r="R188" s="496"/>
      <c r="S188" s="496"/>
      <c r="T188" s="496"/>
      <c r="U188" s="496"/>
      <c r="V188" s="499"/>
      <c r="W188" s="496"/>
      <c r="X188" s="493"/>
      <c r="Y188" s="493"/>
      <c r="Z188" s="493"/>
    </row>
    <row r="189" ht="26.25" customHeight="1">
      <c r="A189" s="493"/>
      <c r="B189" s="526"/>
      <c r="C189" s="526"/>
      <c r="D189" s="526"/>
      <c r="E189" s="526"/>
      <c r="F189" s="527"/>
      <c r="G189" s="527"/>
      <c r="H189" s="526"/>
      <c r="I189" s="507"/>
      <c r="J189" s="507"/>
      <c r="K189" s="496"/>
      <c r="L189" s="496"/>
      <c r="M189" s="496"/>
      <c r="N189" s="496"/>
      <c r="O189" s="493"/>
      <c r="P189" s="493"/>
      <c r="Q189" s="493"/>
      <c r="R189" s="496"/>
      <c r="S189" s="496"/>
      <c r="T189" s="496"/>
      <c r="U189" s="496"/>
      <c r="V189" s="499"/>
      <c r="W189" s="496"/>
      <c r="X189" s="493"/>
      <c r="Y189" s="493"/>
      <c r="Z189" s="493"/>
    </row>
    <row r="190" ht="26.25" customHeight="1">
      <c r="A190" s="493"/>
      <c r="B190" s="528"/>
      <c r="C190" s="528"/>
      <c r="D190" s="528"/>
      <c r="E190" s="528"/>
      <c r="F190" s="529"/>
      <c r="G190" s="529"/>
      <c r="H190" s="528"/>
      <c r="I190" s="530"/>
      <c r="J190" s="530"/>
      <c r="K190" s="496"/>
      <c r="L190" s="496"/>
      <c r="M190" s="496"/>
      <c r="N190" s="496"/>
      <c r="O190" s="493"/>
      <c r="P190" s="493"/>
      <c r="Q190" s="493"/>
      <c r="R190" s="496"/>
      <c r="S190" s="496"/>
      <c r="T190" s="496"/>
      <c r="U190" s="496"/>
      <c r="V190" s="499"/>
      <c r="W190" s="496"/>
      <c r="X190" s="493"/>
      <c r="Y190" s="493"/>
      <c r="Z190" s="493"/>
    </row>
    <row r="191" ht="26.25" customHeight="1">
      <c r="A191" s="493"/>
      <c r="B191" s="528"/>
      <c r="C191" s="528"/>
      <c r="D191" s="528"/>
      <c r="E191" s="528"/>
      <c r="F191" s="529"/>
      <c r="G191" s="529"/>
      <c r="H191" s="528"/>
      <c r="I191" s="530"/>
      <c r="J191" s="530"/>
      <c r="K191" s="496"/>
      <c r="L191" s="496"/>
      <c r="M191" s="496"/>
      <c r="N191" s="496"/>
      <c r="O191" s="493"/>
      <c r="P191" s="493"/>
      <c r="Q191" s="493"/>
      <c r="R191" s="496"/>
      <c r="S191" s="496"/>
      <c r="T191" s="496"/>
      <c r="U191" s="496"/>
      <c r="V191" s="496"/>
      <c r="W191" s="496"/>
      <c r="X191" s="493"/>
      <c r="Y191" s="493"/>
      <c r="Z191" s="493"/>
    </row>
    <row r="192" ht="26.25" customHeight="1">
      <c r="A192" s="493"/>
      <c r="B192" s="528"/>
      <c r="C192" s="528"/>
      <c r="D192" s="528"/>
      <c r="E192" s="528"/>
      <c r="F192" s="529"/>
      <c r="G192" s="529"/>
      <c r="H192" s="528"/>
      <c r="I192" s="530"/>
      <c r="J192" s="530"/>
      <c r="K192" s="496"/>
      <c r="L192" s="496"/>
      <c r="M192" s="496"/>
      <c r="N192" s="496"/>
      <c r="O192" s="493"/>
      <c r="P192" s="493"/>
      <c r="Q192" s="493"/>
      <c r="R192" s="496"/>
      <c r="S192" s="496"/>
      <c r="T192" s="496"/>
      <c r="U192" s="496"/>
      <c r="V192" s="496"/>
      <c r="W192" s="496"/>
      <c r="X192" s="493"/>
      <c r="Y192" s="493"/>
      <c r="Z192" s="493"/>
    </row>
    <row r="193" ht="26.25" customHeight="1">
      <c r="A193" s="493"/>
      <c r="B193" s="528"/>
      <c r="C193" s="528"/>
      <c r="D193" s="528"/>
      <c r="E193" s="528"/>
      <c r="F193" s="529"/>
      <c r="G193" s="529"/>
      <c r="H193" s="528"/>
      <c r="I193" s="530"/>
      <c r="J193" s="530"/>
      <c r="K193" s="496"/>
      <c r="L193" s="496"/>
      <c r="M193" s="496"/>
      <c r="N193" s="496"/>
      <c r="O193" s="493"/>
      <c r="P193" s="493"/>
      <c r="Q193" s="493"/>
      <c r="R193" s="496"/>
      <c r="S193" s="496"/>
      <c r="T193" s="496"/>
      <c r="U193" s="496"/>
      <c r="V193" s="496"/>
      <c r="W193" s="496"/>
      <c r="X193" s="493"/>
      <c r="Y193" s="493"/>
      <c r="Z193" s="493"/>
    </row>
    <row r="194" ht="26.25" customHeight="1">
      <c r="A194" s="493"/>
      <c r="B194" s="528"/>
      <c r="C194" s="528"/>
      <c r="D194" s="528"/>
      <c r="E194" s="528"/>
      <c r="F194" s="529"/>
      <c r="G194" s="529"/>
      <c r="H194" s="528"/>
      <c r="I194" s="530"/>
      <c r="J194" s="530"/>
      <c r="K194" s="496"/>
      <c r="L194" s="496"/>
      <c r="M194" s="496"/>
      <c r="N194" s="496"/>
      <c r="O194" s="493"/>
      <c r="P194" s="493"/>
      <c r="Q194" s="493"/>
      <c r="R194" s="496"/>
      <c r="S194" s="496"/>
      <c r="T194" s="496"/>
      <c r="U194" s="496"/>
      <c r="V194" s="496"/>
      <c r="W194" s="496"/>
      <c r="X194" s="493"/>
      <c r="Y194" s="493"/>
      <c r="Z194" s="493"/>
    </row>
    <row r="195" ht="26.25" customHeight="1">
      <c r="A195" s="493"/>
      <c r="B195" s="531"/>
      <c r="C195" s="531"/>
      <c r="D195" s="531"/>
      <c r="E195" s="531"/>
      <c r="F195" s="532"/>
      <c r="G195" s="532"/>
      <c r="H195" s="531"/>
      <c r="I195" s="533"/>
      <c r="J195" s="533"/>
      <c r="K195" s="496"/>
      <c r="L195" s="496"/>
      <c r="M195" s="496"/>
      <c r="N195" s="496"/>
      <c r="O195" s="493"/>
      <c r="P195" s="493"/>
      <c r="Q195" s="493"/>
      <c r="R195" s="496"/>
      <c r="S195" s="496"/>
      <c r="T195" s="496"/>
      <c r="U195" s="496"/>
      <c r="V195" s="496"/>
      <c r="W195" s="496"/>
      <c r="X195" s="493"/>
      <c r="Y195" s="493"/>
      <c r="Z195" s="493"/>
    </row>
    <row r="196" ht="26.25" customHeight="1">
      <c r="A196" s="493"/>
      <c r="B196" s="531"/>
      <c r="C196" s="531"/>
      <c r="D196" s="531"/>
      <c r="E196" s="531"/>
      <c r="F196" s="532"/>
      <c r="G196" s="532"/>
      <c r="H196" s="531"/>
      <c r="I196" s="533"/>
      <c r="J196" s="533"/>
      <c r="K196" s="496"/>
      <c r="L196" s="496"/>
      <c r="M196" s="496"/>
      <c r="N196" s="496"/>
      <c r="O196" s="493"/>
      <c r="P196" s="493"/>
      <c r="Q196" s="493"/>
      <c r="R196" s="496"/>
      <c r="S196" s="496"/>
      <c r="T196" s="496"/>
      <c r="U196" s="496"/>
      <c r="V196" s="496"/>
      <c r="W196" s="496"/>
      <c r="X196" s="493"/>
      <c r="Y196" s="493"/>
      <c r="Z196" s="493"/>
    </row>
    <row r="197" ht="26.25" customHeight="1">
      <c r="A197" s="493"/>
      <c r="B197" s="531"/>
      <c r="C197" s="531"/>
      <c r="D197" s="531"/>
      <c r="E197" s="531"/>
      <c r="F197" s="532"/>
      <c r="G197" s="532"/>
      <c r="H197" s="531"/>
      <c r="I197" s="533"/>
      <c r="J197" s="533"/>
      <c r="K197" s="496"/>
      <c r="L197" s="496"/>
      <c r="M197" s="496"/>
      <c r="N197" s="496"/>
      <c r="O197" s="493"/>
      <c r="P197" s="493"/>
      <c r="Q197" s="493"/>
      <c r="R197" s="496"/>
      <c r="S197" s="496"/>
      <c r="T197" s="496"/>
      <c r="U197" s="496"/>
      <c r="V197" s="496"/>
      <c r="W197" s="496"/>
      <c r="X197" s="493"/>
      <c r="Y197" s="493"/>
      <c r="Z197" s="493"/>
    </row>
    <row r="198" ht="26.25" customHeight="1">
      <c r="A198" s="493"/>
      <c r="B198" s="531"/>
      <c r="C198" s="531"/>
      <c r="D198" s="531"/>
      <c r="E198" s="531"/>
      <c r="F198" s="532"/>
      <c r="G198" s="532"/>
      <c r="H198" s="531"/>
      <c r="I198" s="533"/>
      <c r="J198" s="533"/>
      <c r="K198" s="496"/>
      <c r="L198" s="496"/>
      <c r="M198" s="496"/>
      <c r="N198" s="496"/>
      <c r="O198" s="493"/>
      <c r="P198" s="493"/>
      <c r="Q198" s="493"/>
      <c r="R198" s="496"/>
      <c r="S198" s="496"/>
      <c r="T198" s="496"/>
      <c r="U198" s="496"/>
      <c r="V198" s="496"/>
      <c r="W198" s="496"/>
      <c r="X198" s="493"/>
      <c r="Y198" s="493"/>
      <c r="Z198" s="493"/>
    </row>
    <row r="199" ht="26.25" customHeight="1">
      <c r="A199" s="493"/>
      <c r="B199" s="531"/>
      <c r="C199" s="531"/>
      <c r="D199" s="531"/>
      <c r="E199" s="531"/>
      <c r="F199" s="532"/>
      <c r="G199" s="532"/>
      <c r="H199" s="531"/>
      <c r="I199" s="533"/>
      <c r="J199" s="533"/>
      <c r="K199" s="496"/>
      <c r="L199" s="496"/>
      <c r="M199" s="496"/>
      <c r="N199" s="496"/>
      <c r="O199" s="493"/>
      <c r="P199" s="493"/>
      <c r="Q199" s="493"/>
      <c r="R199" s="496"/>
      <c r="S199" s="496"/>
      <c r="T199" s="496"/>
      <c r="U199" s="496"/>
      <c r="V199" s="496"/>
      <c r="W199" s="496"/>
      <c r="X199" s="493"/>
      <c r="Y199" s="493"/>
      <c r="Z199" s="493"/>
    </row>
    <row r="200" ht="26.25" customHeight="1">
      <c r="A200" s="493"/>
      <c r="B200" s="531"/>
      <c r="C200" s="531"/>
      <c r="D200" s="531"/>
      <c r="E200" s="531"/>
      <c r="F200" s="532"/>
      <c r="G200" s="532"/>
      <c r="H200" s="531"/>
      <c r="I200" s="533"/>
      <c r="J200" s="533"/>
      <c r="K200" s="496"/>
      <c r="L200" s="496"/>
      <c r="M200" s="496"/>
      <c r="N200" s="496"/>
      <c r="O200" s="493"/>
      <c r="P200" s="493"/>
      <c r="Q200" s="493"/>
      <c r="R200" s="496"/>
      <c r="S200" s="496"/>
      <c r="T200" s="496"/>
      <c r="U200" s="496"/>
      <c r="V200" s="496"/>
      <c r="W200" s="496"/>
      <c r="X200" s="493"/>
      <c r="Y200" s="493"/>
      <c r="Z200" s="493"/>
    </row>
    <row r="201" ht="26.25" customHeight="1">
      <c r="A201" s="493"/>
      <c r="B201" s="531"/>
      <c r="C201" s="531"/>
      <c r="D201" s="531"/>
      <c r="E201" s="531"/>
      <c r="F201" s="532"/>
      <c r="G201" s="532"/>
      <c r="H201" s="531"/>
      <c r="I201" s="533"/>
      <c r="J201" s="533"/>
      <c r="K201" s="496"/>
      <c r="L201" s="496"/>
      <c r="M201" s="496"/>
      <c r="N201" s="496"/>
      <c r="O201" s="493"/>
      <c r="P201" s="493"/>
      <c r="Q201" s="493"/>
      <c r="R201" s="496"/>
      <c r="S201" s="496"/>
      <c r="T201" s="496"/>
      <c r="U201" s="496"/>
      <c r="V201" s="496"/>
      <c r="W201" s="496"/>
      <c r="X201" s="493"/>
      <c r="Y201" s="493"/>
      <c r="Z201" s="493"/>
    </row>
    <row r="202" ht="26.25" customHeight="1">
      <c r="A202" s="493"/>
      <c r="B202" s="531"/>
      <c r="C202" s="531"/>
      <c r="D202" s="531"/>
      <c r="E202" s="531"/>
      <c r="F202" s="532"/>
      <c r="G202" s="532"/>
      <c r="H202" s="531"/>
      <c r="I202" s="533"/>
      <c r="J202" s="533"/>
      <c r="K202" s="496"/>
      <c r="L202" s="496"/>
      <c r="M202" s="496"/>
      <c r="N202" s="496"/>
      <c r="O202" s="493"/>
      <c r="P202" s="493"/>
      <c r="Q202" s="493"/>
      <c r="R202" s="496"/>
      <c r="S202" s="496"/>
      <c r="T202" s="496"/>
      <c r="U202" s="496"/>
      <c r="V202" s="496"/>
      <c r="W202" s="496"/>
      <c r="X202" s="493"/>
      <c r="Y202" s="493"/>
      <c r="Z202" s="493"/>
    </row>
    <row r="203" ht="26.25" customHeight="1">
      <c r="A203" s="493"/>
      <c r="B203" s="531"/>
      <c r="C203" s="531"/>
      <c r="D203" s="531"/>
      <c r="E203" s="531"/>
      <c r="F203" s="532"/>
      <c r="G203" s="532"/>
      <c r="H203" s="531"/>
      <c r="I203" s="533"/>
      <c r="J203" s="533"/>
      <c r="K203" s="496"/>
      <c r="L203" s="496"/>
      <c r="M203" s="496"/>
      <c r="N203" s="496"/>
      <c r="O203" s="493"/>
      <c r="P203" s="493"/>
      <c r="Q203" s="493"/>
      <c r="R203" s="496"/>
      <c r="S203" s="496"/>
      <c r="T203" s="496"/>
      <c r="U203" s="496"/>
      <c r="V203" s="496"/>
      <c r="W203" s="496"/>
      <c r="X203" s="493"/>
      <c r="Y203" s="493"/>
      <c r="Z203" s="493"/>
    </row>
    <row r="204" ht="26.25" customHeight="1">
      <c r="A204" s="493"/>
      <c r="B204" s="531"/>
      <c r="C204" s="531"/>
      <c r="D204" s="531"/>
      <c r="E204" s="531"/>
      <c r="F204" s="532"/>
      <c r="G204" s="532"/>
      <c r="H204" s="531"/>
      <c r="I204" s="533"/>
      <c r="J204" s="533"/>
      <c r="K204" s="496"/>
      <c r="L204" s="496"/>
      <c r="M204" s="496"/>
      <c r="N204" s="496"/>
      <c r="O204" s="493"/>
      <c r="P204" s="493"/>
      <c r="Q204" s="493"/>
      <c r="R204" s="496"/>
      <c r="S204" s="496"/>
      <c r="T204" s="496"/>
      <c r="U204" s="496"/>
      <c r="V204" s="496"/>
      <c r="W204" s="496"/>
      <c r="X204" s="493"/>
      <c r="Y204" s="493"/>
      <c r="Z204" s="493"/>
    </row>
    <row r="205" ht="26.25" customHeight="1">
      <c r="A205" s="493"/>
      <c r="B205" s="531"/>
      <c r="C205" s="531"/>
      <c r="D205" s="531"/>
      <c r="E205" s="531"/>
      <c r="F205" s="532"/>
      <c r="G205" s="532"/>
      <c r="H205" s="531"/>
      <c r="I205" s="533"/>
      <c r="J205" s="533"/>
      <c r="K205" s="496"/>
      <c r="L205" s="496"/>
      <c r="M205" s="496"/>
      <c r="N205" s="496"/>
      <c r="O205" s="493"/>
      <c r="P205" s="493"/>
      <c r="Q205" s="493"/>
      <c r="R205" s="496"/>
      <c r="S205" s="496"/>
      <c r="T205" s="496"/>
      <c r="U205" s="496"/>
      <c r="V205" s="496"/>
      <c r="W205" s="496"/>
      <c r="X205" s="493"/>
      <c r="Y205" s="493"/>
      <c r="Z205" s="493"/>
    </row>
    <row r="206" ht="26.25" customHeight="1">
      <c r="A206" s="493"/>
      <c r="B206" s="531"/>
      <c r="C206" s="531"/>
      <c r="D206" s="531"/>
      <c r="E206" s="531"/>
      <c r="F206" s="532"/>
      <c r="G206" s="532"/>
      <c r="H206" s="531"/>
      <c r="I206" s="533"/>
      <c r="J206" s="533"/>
      <c r="K206" s="496"/>
      <c r="L206" s="496"/>
      <c r="M206" s="496"/>
      <c r="N206" s="496"/>
      <c r="O206" s="493"/>
      <c r="P206" s="493"/>
      <c r="Q206" s="493"/>
      <c r="R206" s="496"/>
      <c r="S206" s="496"/>
      <c r="T206" s="496"/>
      <c r="U206" s="496"/>
      <c r="V206" s="496"/>
      <c r="W206" s="496"/>
      <c r="X206" s="493"/>
      <c r="Y206" s="493"/>
      <c r="Z206" s="493"/>
    </row>
    <row r="207" ht="26.25" customHeight="1">
      <c r="A207" s="493"/>
      <c r="B207" s="531"/>
      <c r="C207" s="531"/>
      <c r="D207" s="531"/>
      <c r="E207" s="531"/>
      <c r="F207" s="532"/>
      <c r="G207" s="532"/>
      <c r="H207" s="531"/>
      <c r="I207" s="533"/>
      <c r="J207" s="533"/>
      <c r="K207" s="496"/>
      <c r="L207" s="496"/>
      <c r="M207" s="496"/>
      <c r="N207" s="496"/>
      <c r="O207" s="493"/>
      <c r="P207" s="493"/>
      <c r="Q207" s="493"/>
      <c r="R207" s="496"/>
      <c r="S207" s="496"/>
      <c r="T207" s="496"/>
      <c r="U207" s="496"/>
      <c r="V207" s="496"/>
      <c r="W207" s="496"/>
      <c r="X207" s="493"/>
      <c r="Y207" s="493"/>
      <c r="Z207" s="493"/>
    </row>
    <row r="208" ht="26.25" customHeight="1">
      <c r="A208" s="493"/>
      <c r="B208" s="531"/>
      <c r="C208" s="531"/>
      <c r="D208" s="531"/>
      <c r="E208" s="531"/>
      <c r="F208" s="532"/>
      <c r="G208" s="532"/>
      <c r="H208" s="531"/>
      <c r="I208" s="533"/>
      <c r="J208" s="533"/>
      <c r="K208" s="496"/>
      <c r="L208" s="496"/>
      <c r="M208" s="496"/>
      <c r="N208" s="496"/>
      <c r="O208" s="493"/>
      <c r="P208" s="493"/>
      <c r="Q208" s="493"/>
      <c r="R208" s="496"/>
      <c r="S208" s="496"/>
      <c r="T208" s="496"/>
      <c r="U208" s="496"/>
      <c r="V208" s="496"/>
      <c r="W208" s="496"/>
      <c r="X208" s="493"/>
      <c r="Y208" s="493"/>
      <c r="Z208" s="493"/>
    </row>
    <row r="209" ht="26.25" customHeight="1">
      <c r="A209" s="493"/>
      <c r="B209" s="531"/>
      <c r="C209" s="531"/>
      <c r="D209" s="531"/>
      <c r="E209" s="531"/>
      <c r="F209" s="532"/>
      <c r="G209" s="532"/>
      <c r="H209" s="531"/>
      <c r="I209" s="533"/>
      <c r="J209" s="533"/>
      <c r="K209" s="496"/>
      <c r="L209" s="496"/>
      <c r="M209" s="496"/>
      <c r="N209" s="496"/>
      <c r="O209" s="493"/>
      <c r="P209" s="493"/>
      <c r="Q209" s="493"/>
      <c r="R209" s="496"/>
      <c r="S209" s="496"/>
      <c r="T209" s="496"/>
      <c r="U209" s="496"/>
      <c r="V209" s="496"/>
      <c r="W209" s="496"/>
      <c r="X209" s="493"/>
      <c r="Y209" s="493"/>
      <c r="Z209" s="493"/>
    </row>
    <row r="210" ht="26.25" customHeight="1">
      <c r="A210" s="493"/>
      <c r="B210" s="531"/>
      <c r="C210" s="531"/>
      <c r="D210" s="531"/>
      <c r="E210" s="531"/>
      <c r="F210" s="532"/>
      <c r="G210" s="532"/>
      <c r="H210" s="531"/>
      <c r="I210" s="533"/>
      <c r="J210" s="533"/>
      <c r="K210" s="496"/>
      <c r="L210" s="496"/>
      <c r="M210" s="496"/>
      <c r="N210" s="496"/>
      <c r="O210" s="493"/>
      <c r="P210" s="493"/>
      <c r="Q210" s="493"/>
      <c r="R210" s="496"/>
      <c r="S210" s="496"/>
      <c r="T210" s="496"/>
      <c r="U210" s="496"/>
      <c r="V210" s="496"/>
      <c r="W210" s="496"/>
      <c r="X210" s="493"/>
      <c r="Y210" s="493"/>
      <c r="Z210" s="493"/>
    </row>
    <row r="211" ht="26.25" customHeight="1">
      <c r="A211" s="493"/>
      <c r="B211" s="531"/>
      <c r="C211" s="531"/>
      <c r="D211" s="531"/>
      <c r="E211" s="531"/>
      <c r="F211" s="532"/>
      <c r="G211" s="532"/>
      <c r="H211" s="531"/>
      <c r="I211" s="533"/>
      <c r="J211" s="533"/>
      <c r="K211" s="496"/>
      <c r="L211" s="496"/>
      <c r="M211" s="496"/>
      <c r="N211" s="496"/>
      <c r="O211" s="493"/>
      <c r="P211" s="493"/>
      <c r="Q211" s="493"/>
      <c r="R211" s="496"/>
      <c r="S211" s="496"/>
      <c r="T211" s="496"/>
      <c r="U211" s="496"/>
      <c r="V211" s="496"/>
      <c r="W211" s="496"/>
      <c r="X211" s="493"/>
      <c r="Y211" s="493"/>
      <c r="Z211" s="493"/>
    </row>
    <row r="212" ht="26.25" customHeight="1">
      <c r="A212" s="493"/>
      <c r="B212" s="531"/>
      <c r="C212" s="531"/>
      <c r="D212" s="531"/>
      <c r="E212" s="531"/>
      <c r="F212" s="532"/>
      <c r="G212" s="532"/>
      <c r="H212" s="531"/>
      <c r="I212" s="533"/>
      <c r="J212" s="533"/>
      <c r="K212" s="496"/>
      <c r="L212" s="496"/>
      <c r="M212" s="496"/>
      <c r="N212" s="496"/>
      <c r="O212" s="493"/>
      <c r="P212" s="493"/>
      <c r="Q212" s="493"/>
      <c r="R212" s="496"/>
      <c r="S212" s="496"/>
      <c r="T212" s="496"/>
      <c r="U212" s="496"/>
      <c r="V212" s="496"/>
      <c r="W212" s="496"/>
      <c r="X212" s="493"/>
      <c r="Y212" s="493"/>
      <c r="Z212" s="493"/>
    </row>
    <row r="213" ht="26.25" customHeight="1">
      <c r="A213" s="493"/>
      <c r="B213" s="531"/>
      <c r="C213" s="531"/>
      <c r="D213" s="531"/>
      <c r="E213" s="531"/>
      <c r="F213" s="532"/>
      <c r="G213" s="532"/>
      <c r="H213" s="531"/>
      <c r="I213" s="533"/>
      <c r="J213" s="533"/>
      <c r="K213" s="496"/>
      <c r="L213" s="496"/>
      <c r="M213" s="496"/>
      <c r="N213" s="496"/>
      <c r="O213" s="493"/>
      <c r="P213" s="493"/>
      <c r="Q213" s="493"/>
      <c r="R213" s="496"/>
      <c r="S213" s="496"/>
      <c r="T213" s="496"/>
      <c r="U213" s="496"/>
      <c r="V213" s="496"/>
      <c r="W213" s="496"/>
      <c r="X213" s="493"/>
      <c r="Y213" s="493"/>
      <c r="Z213" s="493"/>
    </row>
    <row r="214" ht="26.25" customHeight="1">
      <c r="A214" s="493"/>
      <c r="B214" s="531"/>
      <c r="C214" s="531"/>
      <c r="D214" s="531"/>
      <c r="E214" s="531"/>
      <c r="F214" s="532"/>
      <c r="G214" s="532"/>
      <c r="H214" s="531"/>
      <c r="I214" s="533"/>
      <c r="J214" s="533"/>
      <c r="K214" s="496"/>
      <c r="L214" s="496"/>
      <c r="M214" s="496"/>
      <c r="N214" s="496"/>
      <c r="O214" s="493"/>
      <c r="P214" s="493"/>
      <c r="Q214" s="493"/>
      <c r="R214" s="496"/>
      <c r="S214" s="496"/>
      <c r="T214" s="496"/>
      <c r="U214" s="496"/>
      <c r="V214" s="496"/>
      <c r="W214" s="496"/>
      <c r="X214" s="493"/>
      <c r="Y214" s="493"/>
      <c r="Z214" s="493"/>
    </row>
    <row r="215" ht="26.25" customHeight="1">
      <c r="A215" s="493"/>
      <c r="B215" s="531"/>
      <c r="C215" s="531"/>
      <c r="D215" s="531"/>
      <c r="E215" s="531"/>
      <c r="F215" s="532"/>
      <c r="G215" s="532"/>
      <c r="H215" s="531"/>
      <c r="I215" s="533"/>
      <c r="J215" s="533"/>
      <c r="K215" s="496"/>
      <c r="L215" s="496"/>
      <c r="M215" s="496"/>
      <c r="N215" s="496"/>
      <c r="O215" s="493"/>
      <c r="P215" s="493"/>
      <c r="Q215" s="493"/>
      <c r="R215" s="496"/>
      <c r="S215" s="496"/>
      <c r="T215" s="496"/>
      <c r="U215" s="496"/>
      <c r="V215" s="496"/>
      <c r="W215" s="496"/>
      <c r="X215" s="493"/>
      <c r="Y215" s="493"/>
      <c r="Z215" s="493"/>
    </row>
    <row r="216" ht="26.25" customHeight="1">
      <c r="A216" s="493"/>
      <c r="B216" s="531"/>
      <c r="C216" s="531"/>
      <c r="D216" s="531"/>
      <c r="E216" s="531"/>
      <c r="F216" s="532"/>
      <c r="G216" s="532"/>
      <c r="H216" s="531"/>
      <c r="I216" s="533"/>
      <c r="J216" s="533"/>
      <c r="K216" s="496"/>
      <c r="L216" s="496"/>
      <c r="M216" s="496"/>
      <c r="N216" s="496"/>
      <c r="O216" s="493"/>
      <c r="P216" s="493"/>
      <c r="Q216" s="493"/>
      <c r="R216" s="496"/>
      <c r="S216" s="496"/>
      <c r="T216" s="496"/>
      <c r="U216" s="496"/>
      <c r="V216" s="496"/>
      <c r="W216" s="496"/>
      <c r="X216" s="493"/>
      <c r="Y216" s="493"/>
      <c r="Z216" s="493"/>
    </row>
    <row r="217" ht="26.25" customHeight="1">
      <c r="A217" s="493"/>
      <c r="B217" s="531"/>
      <c r="C217" s="531"/>
      <c r="D217" s="531"/>
      <c r="E217" s="531"/>
      <c r="F217" s="532"/>
      <c r="G217" s="532"/>
      <c r="H217" s="531"/>
      <c r="I217" s="533"/>
      <c r="J217" s="533"/>
      <c r="K217" s="496"/>
      <c r="L217" s="496"/>
      <c r="M217" s="496"/>
      <c r="N217" s="496"/>
      <c r="O217" s="493"/>
      <c r="P217" s="493"/>
      <c r="Q217" s="493"/>
      <c r="R217" s="496"/>
      <c r="S217" s="496"/>
      <c r="T217" s="496"/>
      <c r="U217" s="496"/>
      <c r="V217" s="496"/>
      <c r="W217" s="496"/>
      <c r="X217" s="493"/>
      <c r="Y217" s="493"/>
      <c r="Z217" s="493"/>
    </row>
    <row r="218" ht="26.25" customHeight="1">
      <c r="A218" s="493"/>
      <c r="B218" s="531"/>
      <c r="C218" s="531"/>
      <c r="D218" s="531"/>
      <c r="E218" s="531"/>
      <c r="F218" s="532"/>
      <c r="G218" s="532"/>
      <c r="H218" s="531"/>
      <c r="I218" s="533"/>
      <c r="J218" s="533"/>
      <c r="K218" s="496"/>
      <c r="L218" s="496"/>
      <c r="M218" s="496"/>
      <c r="N218" s="496"/>
      <c r="O218" s="493"/>
      <c r="P218" s="493"/>
      <c r="Q218" s="493"/>
      <c r="R218" s="496"/>
      <c r="S218" s="496"/>
      <c r="T218" s="496"/>
      <c r="U218" s="496"/>
      <c r="V218" s="496"/>
      <c r="W218" s="496"/>
      <c r="X218" s="493"/>
      <c r="Y218" s="493"/>
      <c r="Z218" s="493"/>
    </row>
    <row r="219" ht="26.25" customHeight="1">
      <c r="A219" s="493"/>
      <c r="B219" s="531"/>
      <c r="C219" s="531"/>
      <c r="D219" s="531"/>
      <c r="E219" s="531"/>
      <c r="F219" s="532"/>
      <c r="G219" s="532"/>
      <c r="H219" s="531"/>
      <c r="I219" s="533"/>
      <c r="J219" s="533"/>
      <c r="K219" s="496"/>
      <c r="L219" s="496"/>
      <c r="M219" s="496"/>
      <c r="N219" s="496"/>
      <c r="O219" s="493"/>
      <c r="P219" s="493"/>
      <c r="Q219" s="493"/>
      <c r="R219" s="496"/>
      <c r="S219" s="496"/>
      <c r="T219" s="496"/>
      <c r="U219" s="496"/>
      <c r="V219" s="496"/>
      <c r="W219" s="496"/>
      <c r="X219" s="493"/>
      <c r="Y219" s="493"/>
      <c r="Z219" s="493"/>
    </row>
    <row r="220" ht="26.25" customHeight="1">
      <c r="A220" s="493"/>
      <c r="B220" s="531"/>
      <c r="C220" s="531"/>
      <c r="D220" s="531"/>
      <c r="E220" s="531"/>
      <c r="F220" s="532"/>
      <c r="G220" s="532"/>
      <c r="H220" s="531"/>
      <c r="I220" s="533"/>
      <c r="J220" s="533"/>
      <c r="K220" s="496"/>
      <c r="L220" s="496"/>
      <c r="M220" s="496"/>
      <c r="N220" s="496"/>
      <c r="O220" s="493"/>
      <c r="P220" s="493"/>
      <c r="Q220" s="493"/>
      <c r="R220" s="496"/>
      <c r="S220" s="496"/>
      <c r="T220" s="496"/>
      <c r="U220" s="496"/>
      <c r="V220" s="496"/>
      <c r="W220" s="496"/>
      <c r="X220" s="493"/>
      <c r="Y220" s="493"/>
      <c r="Z220" s="493"/>
    </row>
    <row r="221" ht="26.25" customHeight="1">
      <c r="A221" s="493"/>
      <c r="B221" s="531"/>
      <c r="C221" s="531"/>
      <c r="D221" s="531"/>
      <c r="E221" s="531"/>
      <c r="F221" s="532"/>
      <c r="G221" s="532"/>
      <c r="H221" s="531"/>
      <c r="I221" s="533"/>
      <c r="J221" s="533"/>
      <c r="K221" s="496"/>
      <c r="L221" s="496"/>
      <c r="M221" s="496"/>
      <c r="N221" s="496"/>
      <c r="O221" s="493"/>
      <c r="P221" s="493"/>
      <c r="Q221" s="493"/>
      <c r="R221" s="496"/>
      <c r="S221" s="496"/>
      <c r="T221" s="496"/>
      <c r="U221" s="496"/>
      <c r="V221" s="496"/>
      <c r="W221" s="496"/>
      <c r="X221" s="493"/>
      <c r="Y221" s="493"/>
      <c r="Z221" s="493"/>
    </row>
    <row r="222" ht="26.25" customHeight="1">
      <c r="A222" s="493"/>
      <c r="B222" s="531"/>
      <c r="C222" s="531"/>
      <c r="D222" s="531"/>
      <c r="E222" s="531"/>
      <c r="F222" s="532"/>
      <c r="G222" s="532"/>
      <c r="H222" s="531"/>
      <c r="I222" s="533"/>
      <c r="J222" s="533"/>
      <c r="K222" s="496"/>
      <c r="L222" s="496"/>
      <c r="M222" s="496"/>
      <c r="N222" s="496"/>
      <c r="O222" s="493"/>
      <c r="P222" s="493"/>
      <c r="Q222" s="493"/>
      <c r="R222" s="496"/>
      <c r="S222" s="496"/>
      <c r="T222" s="496"/>
      <c r="U222" s="496"/>
      <c r="V222" s="496"/>
      <c r="W222" s="496"/>
      <c r="X222" s="493"/>
      <c r="Y222" s="493"/>
      <c r="Z222" s="493"/>
    </row>
    <row r="223" ht="26.25" customHeight="1">
      <c r="A223" s="493"/>
      <c r="B223" s="531"/>
      <c r="C223" s="531"/>
      <c r="D223" s="531"/>
      <c r="E223" s="531"/>
      <c r="F223" s="532"/>
      <c r="G223" s="532"/>
      <c r="H223" s="531"/>
      <c r="I223" s="533"/>
      <c r="J223" s="533"/>
      <c r="K223" s="496"/>
      <c r="L223" s="496"/>
      <c r="M223" s="496"/>
      <c r="N223" s="496"/>
      <c r="O223" s="493"/>
      <c r="P223" s="493"/>
      <c r="Q223" s="493"/>
      <c r="R223" s="496"/>
      <c r="S223" s="496"/>
      <c r="T223" s="496"/>
      <c r="U223" s="496"/>
      <c r="V223" s="496"/>
      <c r="W223" s="496"/>
      <c r="X223" s="493"/>
      <c r="Y223" s="493"/>
      <c r="Z223" s="493"/>
    </row>
    <row r="224" ht="26.25" customHeight="1">
      <c r="A224" s="493"/>
      <c r="B224" s="531"/>
      <c r="C224" s="531"/>
      <c r="D224" s="531"/>
      <c r="E224" s="531"/>
      <c r="F224" s="532"/>
      <c r="G224" s="532"/>
      <c r="H224" s="531"/>
      <c r="I224" s="533"/>
      <c r="J224" s="533"/>
      <c r="K224" s="496"/>
      <c r="L224" s="496"/>
      <c r="M224" s="496"/>
      <c r="N224" s="496"/>
      <c r="O224" s="493"/>
      <c r="P224" s="493"/>
      <c r="Q224" s="493"/>
      <c r="R224" s="496"/>
      <c r="S224" s="496"/>
      <c r="T224" s="496"/>
      <c r="U224" s="496"/>
      <c r="V224" s="496"/>
      <c r="W224" s="496"/>
      <c r="X224" s="493"/>
      <c r="Y224" s="493"/>
      <c r="Z224" s="493"/>
    </row>
    <row r="225" ht="26.25" customHeight="1">
      <c r="A225" s="493"/>
      <c r="B225" s="531"/>
      <c r="C225" s="531"/>
      <c r="D225" s="531"/>
      <c r="E225" s="531"/>
      <c r="F225" s="532"/>
      <c r="G225" s="532"/>
      <c r="H225" s="531"/>
      <c r="I225" s="533"/>
      <c r="J225" s="533"/>
      <c r="K225" s="496"/>
      <c r="L225" s="496"/>
      <c r="M225" s="496"/>
      <c r="N225" s="496"/>
      <c r="O225" s="493"/>
      <c r="P225" s="493"/>
      <c r="Q225" s="493"/>
      <c r="R225" s="496"/>
      <c r="S225" s="496"/>
      <c r="T225" s="496"/>
      <c r="U225" s="496"/>
      <c r="V225" s="496"/>
      <c r="W225" s="496"/>
      <c r="X225" s="493"/>
      <c r="Y225" s="493"/>
      <c r="Z225" s="493"/>
    </row>
    <row r="226" ht="26.25" customHeight="1">
      <c r="A226" s="383"/>
      <c r="B226" s="496"/>
      <c r="C226" s="496"/>
      <c r="D226" s="496"/>
      <c r="E226" s="496"/>
      <c r="F226" s="534"/>
      <c r="G226" s="534"/>
      <c r="H226" s="513"/>
      <c r="I226" s="513"/>
      <c r="J226" s="513"/>
      <c r="K226" s="495"/>
      <c r="L226" s="495"/>
      <c r="M226" s="495"/>
      <c r="N226" s="495"/>
      <c r="O226" s="495"/>
      <c r="P226" s="495"/>
      <c r="Q226" s="495"/>
      <c r="R226" s="383"/>
      <c r="S226" s="383"/>
      <c r="T226" s="383"/>
      <c r="U226" s="383"/>
      <c r="V226" s="383"/>
      <c r="W226" s="383"/>
      <c r="X226" s="383"/>
      <c r="Y226" s="383"/>
      <c r="Z226" s="383"/>
    </row>
    <row r="227" ht="15.0" customHeight="1">
      <c r="A227" s="383"/>
      <c r="B227" s="496"/>
      <c r="C227" s="496"/>
      <c r="D227" s="496"/>
      <c r="E227" s="496"/>
      <c r="F227" s="535"/>
      <c r="G227" s="535"/>
      <c r="H227" s="496"/>
      <c r="I227" s="383"/>
      <c r="J227" s="383"/>
      <c r="K227" s="383"/>
      <c r="L227" s="383"/>
      <c r="M227" s="383"/>
      <c r="N227" s="383"/>
      <c r="O227" s="383"/>
      <c r="P227" s="383"/>
      <c r="Q227" s="383"/>
      <c r="R227" s="383"/>
      <c r="S227" s="383"/>
      <c r="T227" s="383"/>
      <c r="U227" s="383"/>
      <c r="V227" s="383"/>
      <c r="W227" s="383"/>
      <c r="X227" s="383"/>
      <c r="Y227" s="383"/>
      <c r="Z227" s="383"/>
    </row>
    <row r="228" ht="12.75" customHeight="1">
      <c r="A228" s="383"/>
      <c r="B228" s="383"/>
      <c r="C228" s="383"/>
      <c r="D228" s="383"/>
      <c r="E228" s="383"/>
      <c r="F228" s="536"/>
      <c r="G228" s="536"/>
      <c r="H228" s="383"/>
      <c r="I228" s="383"/>
      <c r="J228" s="383"/>
      <c r="K228" s="383"/>
      <c r="L228" s="383"/>
      <c r="M228" s="383"/>
      <c r="N228" s="383"/>
      <c r="O228" s="383"/>
      <c r="P228" s="383"/>
      <c r="Q228" s="383"/>
      <c r="R228" s="383"/>
      <c r="S228" s="383"/>
      <c r="T228" s="383"/>
      <c r="U228" s="383"/>
      <c r="V228" s="383"/>
      <c r="W228" s="383"/>
      <c r="X228" s="383"/>
      <c r="Y228" s="383"/>
      <c r="Z228" s="383"/>
    </row>
    <row r="229" ht="12.75" customHeight="1">
      <c r="A229" s="383"/>
      <c r="B229" s="383"/>
      <c r="C229" s="383"/>
      <c r="D229" s="383"/>
      <c r="E229" s="383"/>
      <c r="F229" s="536"/>
      <c r="G229" s="536"/>
      <c r="H229" s="383"/>
      <c r="I229" s="383"/>
      <c r="J229" s="383"/>
      <c r="K229" s="383"/>
      <c r="L229" s="383"/>
      <c r="M229" s="383"/>
      <c r="N229" s="383"/>
      <c r="O229" s="383"/>
      <c r="P229" s="383"/>
      <c r="Q229" s="383"/>
      <c r="R229" s="383"/>
      <c r="S229" s="383"/>
      <c r="T229" s="383"/>
      <c r="U229" s="383"/>
      <c r="V229" s="383"/>
      <c r="W229" s="383"/>
      <c r="X229" s="383"/>
      <c r="Y229" s="383"/>
      <c r="Z229" s="383"/>
    </row>
    <row r="230" ht="12.75" customHeight="1">
      <c r="A230" s="383"/>
      <c r="B230" s="383"/>
      <c r="C230" s="383"/>
      <c r="D230" s="383"/>
      <c r="E230" s="383"/>
      <c r="F230" s="536"/>
      <c r="G230" s="536"/>
      <c r="H230" s="383"/>
      <c r="I230" s="383"/>
      <c r="J230" s="383"/>
      <c r="K230" s="383"/>
      <c r="L230" s="383"/>
      <c r="M230" s="383"/>
      <c r="N230" s="383"/>
      <c r="O230" s="383"/>
      <c r="P230" s="383"/>
      <c r="Q230" s="383"/>
      <c r="R230" s="383"/>
      <c r="S230" s="383"/>
      <c r="T230" s="383"/>
      <c r="U230" s="383"/>
      <c r="V230" s="383"/>
      <c r="W230" s="383"/>
      <c r="X230" s="383"/>
      <c r="Y230" s="383"/>
      <c r="Z230" s="383"/>
    </row>
    <row r="231" ht="18.75" customHeight="1">
      <c r="A231" s="139"/>
      <c r="B231" s="383"/>
      <c r="C231" s="383"/>
      <c r="D231" s="383"/>
      <c r="E231" s="383"/>
      <c r="F231" s="536"/>
      <c r="G231" s="536"/>
      <c r="H231" s="383"/>
      <c r="I231" s="383"/>
      <c r="J231" s="383"/>
      <c r="K231" s="383"/>
      <c r="L231" s="383"/>
      <c r="M231" s="383"/>
      <c r="N231" s="383"/>
      <c r="O231" s="383"/>
      <c r="P231" s="383"/>
      <c r="Q231" s="383"/>
      <c r="R231" s="383"/>
      <c r="S231" s="383"/>
      <c r="T231" s="383"/>
      <c r="U231" s="383"/>
      <c r="V231" s="383"/>
      <c r="W231" s="383"/>
      <c r="X231" s="383"/>
      <c r="Y231" s="383"/>
      <c r="Z231" s="383"/>
    </row>
    <row r="232" ht="12.75" customHeight="1">
      <c r="A232" s="383"/>
      <c r="B232" s="383"/>
      <c r="C232" s="383"/>
      <c r="D232" s="383"/>
      <c r="E232" s="383"/>
      <c r="F232" s="536"/>
      <c r="G232" s="536"/>
      <c r="H232" s="383"/>
      <c r="I232" s="383"/>
      <c r="J232" s="383"/>
      <c r="K232" s="383"/>
      <c r="L232" s="383"/>
      <c r="M232" s="383"/>
      <c r="N232" s="383"/>
      <c r="O232" s="383"/>
      <c r="P232" s="383"/>
      <c r="Q232" s="383"/>
      <c r="R232" s="383"/>
      <c r="S232" s="383"/>
      <c r="T232" s="383"/>
      <c r="U232" s="383"/>
      <c r="V232" s="383"/>
      <c r="W232" s="383"/>
      <c r="X232" s="383"/>
      <c r="Y232" s="383"/>
      <c r="Z232" s="383"/>
    </row>
    <row r="233" ht="32.25" customHeight="1">
      <c r="A233" s="383"/>
      <c r="B233" s="513"/>
      <c r="C233" s="537"/>
      <c r="D233" s="537"/>
      <c r="E233" s="537"/>
      <c r="F233" s="538"/>
      <c r="G233" s="538"/>
      <c r="H233" s="513"/>
      <c r="I233" s="513"/>
      <c r="J233" s="513"/>
      <c r="K233" s="383"/>
      <c r="L233" s="383"/>
      <c r="M233" s="383"/>
      <c r="N233" s="383"/>
      <c r="O233" s="383"/>
      <c r="P233" s="383"/>
      <c r="Q233" s="383"/>
      <c r="R233" s="383"/>
      <c r="S233" s="383"/>
      <c r="T233" s="383"/>
      <c r="U233" s="383"/>
      <c r="V233" s="383"/>
      <c r="W233" s="383"/>
      <c r="X233" s="383"/>
      <c r="Y233" s="383"/>
      <c r="Z233" s="383"/>
    </row>
    <row r="234" ht="15.75" customHeight="1">
      <c r="A234" s="539"/>
      <c r="B234" s="494"/>
      <c r="C234" s="494"/>
      <c r="D234" s="494"/>
      <c r="E234" s="494"/>
      <c r="F234" s="501"/>
      <c r="G234" s="501"/>
      <c r="H234" s="494"/>
      <c r="I234" s="507"/>
      <c r="J234" s="507"/>
      <c r="K234" s="383"/>
      <c r="L234" s="383"/>
      <c r="M234" s="383"/>
      <c r="N234" s="383"/>
      <c r="O234" s="540"/>
      <c r="P234" s="540"/>
      <c r="Q234" s="540"/>
      <c r="R234" s="383"/>
      <c r="S234" s="383"/>
      <c r="T234" s="383"/>
      <c r="U234" s="383"/>
      <c r="V234" s="383"/>
      <c r="W234" s="383"/>
      <c r="X234" s="383"/>
      <c r="Y234" s="383"/>
      <c r="Z234" s="383"/>
    </row>
    <row r="235" ht="15.75" customHeight="1">
      <c r="A235" s="539"/>
      <c r="B235" s="494"/>
      <c r="C235" s="494"/>
      <c r="D235" s="494"/>
      <c r="E235" s="494"/>
      <c r="F235" s="501"/>
      <c r="G235" s="501"/>
      <c r="H235" s="494"/>
      <c r="I235" s="507"/>
      <c r="J235" s="507"/>
      <c r="K235" s="383"/>
      <c r="L235" s="383"/>
      <c r="M235" s="383"/>
      <c r="N235" s="383"/>
      <c r="O235" s="540"/>
      <c r="P235" s="540"/>
      <c r="Q235" s="540"/>
      <c r="R235" s="383"/>
      <c r="S235" s="383"/>
      <c r="T235" s="383"/>
      <c r="U235" s="383"/>
      <c r="V235" s="383"/>
      <c r="W235" s="383"/>
      <c r="X235" s="531"/>
      <c r="Y235" s="531"/>
      <c r="Z235" s="383"/>
    </row>
    <row r="236" ht="15.75" customHeight="1">
      <c r="A236" s="539"/>
      <c r="B236" s="494"/>
      <c r="C236" s="494"/>
      <c r="D236" s="494"/>
      <c r="E236" s="494"/>
      <c r="F236" s="501"/>
      <c r="G236" s="501"/>
      <c r="H236" s="494"/>
      <c r="I236" s="507"/>
      <c r="J236" s="507"/>
      <c r="K236" s="383"/>
      <c r="L236" s="383"/>
      <c r="M236" s="383"/>
      <c r="N236" s="383"/>
      <c r="O236" s="540"/>
      <c r="P236" s="540"/>
      <c r="Q236" s="540"/>
      <c r="R236" s="383"/>
      <c r="S236" s="383"/>
      <c r="T236" s="383"/>
      <c r="U236" s="383"/>
      <c r="V236" s="383"/>
      <c r="W236" s="383"/>
      <c r="X236" s="531"/>
      <c r="Y236" s="531"/>
      <c r="Z236" s="383"/>
    </row>
    <row r="237" ht="15.75" customHeight="1">
      <c r="A237" s="539"/>
      <c r="B237" s="494"/>
      <c r="C237" s="494"/>
      <c r="D237" s="494"/>
      <c r="E237" s="494"/>
      <c r="F237" s="501"/>
      <c r="G237" s="501"/>
      <c r="H237" s="494"/>
      <c r="I237" s="507"/>
      <c r="J237" s="507"/>
      <c r="K237" s="383"/>
      <c r="L237" s="383"/>
      <c r="M237" s="383"/>
      <c r="N237" s="383"/>
      <c r="O237" s="540"/>
      <c r="P237" s="540"/>
      <c r="Q237" s="540"/>
      <c r="R237" s="383"/>
      <c r="S237" s="383"/>
      <c r="T237" s="383"/>
      <c r="U237" s="383"/>
      <c r="V237" s="383"/>
      <c r="W237" s="383"/>
      <c r="X237" s="531"/>
      <c r="Y237" s="531"/>
      <c r="Z237" s="383"/>
    </row>
    <row r="238" ht="15.75" customHeight="1">
      <c r="A238" s="539"/>
      <c r="B238" s="494"/>
      <c r="C238" s="494"/>
      <c r="D238" s="494"/>
      <c r="E238" s="494"/>
      <c r="F238" s="501"/>
      <c r="G238" s="501"/>
      <c r="H238" s="494"/>
      <c r="I238" s="507"/>
      <c r="J238" s="507"/>
      <c r="K238" s="383"/>
      <c r="L238" s="383"/>
      <c r="M238" s="383"/>
      <c r="N238" s="383"/>
      <c r="O238" s="540"/>
      <c r="P238" s="540"/>
      <c r="Q238" s="540"/>
      <c r="R238" s="383"/>
      <c r="S238" s="383"/>
      <c r="T238" s="383"/>
      <c r="U238" s="383"/>
      <c r="V238" s="383"/>
      <c r="W238" s="383"/>
      <c r="X238" s="383"/>
      <c r="Y238" s="383"/>
      <c r="Z238" s="383"/>
    </row>
    <row r="239" ht="15.75" customHeight="1">
      <c r="A239" s="539"/>
      <c r="B239" s="494"/>
      <c r="C239" s="494"/>
      <c r="D239" s="494"/>
      <c r="E239" s="494"/>
      <c r="F239" s="501"/>
      <c r="G239" s="501"/>
      <c r="H239" s="494"/>
      <c r="I239" s="507"/>
      <c r="J239" s="507"/>
      <c r="K239" s="383"/>
      <c r="L239" s="383"/>
      <c r="M239" s="383"/>
      <c r="N239" s="383"/>
      <c r="O239" s="540"/>
      <c r="P239" s="540"/>
      <c r="Q239" s="540"/>
      <c r="R239" s="383"/>
      <c r="S239" s="383"/>
      <c r="T239" s="383"/>
      <c r="U239" s="383"/>
      <c r="V239" s="383"/>
      <c r="W239" s="383"/>
      <c r="X239" s="383"/>
      <c r="Y239" s="383"/>
      <c r="Z239" s="383"/>
    </row>
    <row r="240" ht="18.75" customHeight="1">
      <c r="A240" s="539"/>
      <c r="B240" s="494"/>
      <c r="C240" s="494"/>
      <c r="D240" s="494"/>
      <c r="E240" s="494"/>
      <c r="F240" s="501"/>
      <c r="G240" s="501"/>
      <c r="H240" s="494"/>
      <c r="I240" s="507"/>
      <c r="J240" s="507"/>
      <c r="K240" s="383"/>
      <c r="L240" s="383"/>
      <c r="M240" s="383"/>
      <c r="N240" s="383"/>
      <c r="O240" s="540"/>
      <c r="P240" s="540"/>
      <c r="Q240" s="540"/>
      <c r="R240" s="383"/>
      <c r="S240" s="383"/>
      <c r="T240" s="383"/>
      <c r="U240" s="383"/>
      <c r="V240" s="383"/>
      <c r="W240" s="383"/>
      <c r="X240" s="383"/>
      <c r="Y240" s="383"/>
      <c r="Z240" s="383"/>
    </row>
    <row r="241" ht="18.0" customHeight="1">
      <c r="A241" s="539"/>
      <c r="B241" s="494"/>
      <c r="C241" s="494"/>
      <c r="D241" s="494"/>
      <c r="E241" s="494"/>
      <c r="F241" s="501"/>
      <c r="G241" s="501"/>
      <c r="H241" s="494"/>
      <c r="I241" s="507"/>
      <c r="J241" s="507"/>
      <c r="K241" s="383"/>
      <c r="L241" s="383"/>
      <c r="M241" s="383"/>
      <c r="N241" s="383"/>
      <c r="O241" s="540"/>
      <c r="P241" s="540"/>
      <c r="Q241" s="540"/>
      <c r="R241" s="383"/>
      <c r="S241" s="383"/>
      <c r="T241" s="383"/>
      <c r="U241" s="383"/>
      <c r="V241" s="383"/>
      <c r="W241" s="383"/>
      <c r="X241" s="383"/>
      <c r="Y241" s="383"/>
      <c r="Z241" s="383"/>
    </row>
    <row r="242" ht="18.0" customHeight="1">
      <c r="A242" s="539"/>
      <c r="B242" s="494"/>
      <c r="C242" s="494"/>
      <c r="D242" s="494"/>
      <c r="E242" s="494"/>
      <c r="F242" s="501"/>
      <c r="G242" s="501"/>
      <c r="H242" s="494"/>
      <c r="I242" s="507"/>
      <c r="J242" s="507"/>
      <c r="K242" s="383"/>
      <c r="L242" s="383"/>
      <c r="M242" s="383"/>
      <c r="N242" s="383"/>
      <c r="O242" s="540"/>
      <c r="P242" s="540"/>
      <c r="Q242" s="540"/>
      <c r="R242" s="383"/>
      <c r="S242" s="383"/>
      <c r="T242" s="383"/>
      <c r="U242" s="383"/>
      <c r="V242" s="383"/>
      <c r="W242" s="383"/>
      <c r="X242" s="383"/>
      <c r="Y242" s="383"/>
      <c r="Z242" s="383"/>
    </row>
    <row r="243" ht="18.0" customHeight="1">
      <c r="A243" s="539"/>
      <c r="B243" s="494"/>
      <c r="C243" s="494"/>
      <c r="D243" s="494"/>
      <c r="E243" s="494"/>
      <c r="F243" s="501"/>
      <c r="G243" s="501"/>
      <c r="H243" s="494"/>
      <c r="I243" s="507"/>
      <c r="J243" s="507"/>
      <c r="K243" s="383"/>
      <c r="L243" s="383"/>
      <c r="M243" s="383"/>
      <c r="N243" s="383"/>
      <c r="O243" s="383"/>
      <c r="P243" s="383"/>
      <c r="Q243" s="383"/>
      <c r="R243" s="383"/>
      <c r="S243" s="383"/>
      <c r="T243" s="383"/>
      <c r="U243" s="383"/>
      <c r="V243" s="383"/>
      <c r="W243" s="541"/>
      <c r="X243" s="383"/>
      <c r="Y243" s="383"/>
      <c r="Z243" s="383"/>
    </row>
    <row r="244" ht="15.75" customHeight="1">
      <c r="A244" s="539"/>
      <c r="B244" s="383"/>
      <c r="C244" s="383"/>
      <c r="D244" s="383"/>
      <c r="E244" s="383"/>
      <c r="F244" s="538"/>
      <c r="G244" s="538"/>
      <c r="H244" s="383"/>
      <c r="I244" s="542"/>
      <c r="J244" s="542"/>
      <c r="K244" s="383"/>
      <c r="L244" s="383"/>
      <c r="M244" s="383"/>
      <c r="N244" s="383"/>
      <c r="O244" s="383"/>
      <c r="P244" s="383"/>
      <c r="Q244" s="383"/>
      <c r="R244" s="383"/>
      <c r="S244" s="383"/>
      <c r="T244" s="383"/>
      <c r="U244" s="383"/>
      <c r="V244" s="383"/>
      <c r="W244" s="541"/>
      <c r="X244" s="383"/>
      <c r="Y244" s="383"/>
      <c r="Z244" s="383"/>
    </row>
    <row r="245" ht="12.75" customHeight="1">
      <c r="A245" s="383"/>
      <c r="B245" s="383"/>
      <c r="C245" s="383"/>
      <c r="D245" s="383"/>
      <c r="E245" s="383"/>
      <c r="F245" s="536"/>
      <c r="G245" s="536"/>
      <c r="H245" s="383"/>
      <c r="I245" s="383"/>
      <c r="J245" s="383"/>
      <c r="K245" s="383"/>
      <c r="L245" s="383"/>
      <c r="M245" s="383"/>
      <c r="N245" s="383"/>
      <c r="O245" s="383"/>
      <c r="P245" s="383"/>
      <c r="Q245" s="383"/>
      <c r="R245" s="383"/>
      <c r="S245" s="383"/>
      <c r="T245" s="383"/>
      <c r="U245" s="383"/>
      <c r="V245" s="383"/>
      <c r="W245" s="541"/>
      <c r="X245" s="383"/>
      <c r="Y245" s="383"/>
      <c r="Z245" s="383"/>
    </row>
    <row r="246" ht="12.75" customHeight="1">
      <c r="A246" s="383"/>
      <c r="B246" s="383"/>
      <c r="C246" s="383"/>
      <c r="D246" s="383"/>
      <c r="E246" s="383"/>
      <c r="F246" s="536"/>
      <c r="G246" s="536"/>
      <c r="H246" s="383"/>
      <c r="I246" s="383"/>
      <c r="J246" s="383"/>
      <c r="K246" s="383"/>
      <c r="L246" s="383"/>
      <c r="M246" s="383"/>
      <c r="N246" s="383"/>
      <c r="O246" s="383"/>
      <c r="P246" s="383"/>
      <c r="Q246" s="383"/>
      <c r="R246" s="383"/>
      <c r="S246" s="383"/>
      <c r="T246" s="383"/>
      <c r="U246" s="383"/>
      <c r="V246" s="383"/>
      <c r="W246" s="541"/>
      <c r="X246" s="383"/>
      <c r="Y246" s="383"/>
      <c r="Z246" s="383"/>
    </row>
    <row r="247" ht="12.75" customHeight="1">
      <c r="A247" s="383"/>
      <c r="B247" s="383"/>
      <c r="C247" s="383"/>
      <c r="D247" s="383"/>
      <c r="E247" s="383"/>
      <c r="F247" s="536"/>
      <c r="G247" s="536"/>
      <c r="H247" s="383"/>
      <c r="I247" s="383"/>
      <c r="J247" s="383"/>
      <c r="K247" s="383"/>
      <c r="L247" s="383"/>
      <c r="M247" s="383"/>
      <c r="N247" s="383"/>
      <c r="O247" s="383"/>
      <c r="P247" s="383"/>
      <c r="Q247" s="383"/>
      <c r="R247" s="383"/>
      <c r="S247" s="383"/>
      <c r="T247" s="383"/>
      <c r="U247" s="383"/>
      <c r="V247" s="383"/>
      <c r="W247" s="541"/>
      <c r="X247" s="383"/>
      <c r="Y247" s="383"/>
      <c r="Z247" s="383"/>
    </row>
    <row r="248" ht="18.75" customHeight="1">
      <c r="A248" s="139"/>
      <c r="B248" s="383"/>
      <c r="C248" s="383"/>
      <c r="D248" s="383"/>
      <c r="E248" s="383"/>
      <c r="F248" s="536"/>
      <c r="G248" s="536"/>
      <c r="H248" s="383"/>
      <c r="I248" s="383"/>
      <c r="J248" s="383"/>
      <c r="K248" s="383"/>
      <c r="L248" s="383"/>
      <c r="M248" s="383"/>
      <c r="N248" s="383"/>
      <c r="O248" s="383"/>
      <c r="P248" s="383"/>
      <c r="Q248" s="383"/>
      <c r="R248" s="383"/>
      <c r="S248" s="383"/>
      <c r="T248" s="383"/>
      <c r="U248" s="383"/>
      <c r="V248" s="383"/>
      <c r="W248" s="541"/>
      <c r="X248" s="383"/>
      <c r="Y248" s="383"/>
      <c r="Z248" s="383"/>
    </row>
    <row r="249" ht="12.75" customHeight="1">
      <c r="A249" s="383"/>
      <c r="B249" s="383"/>
      <c r="C249" s="383"/>
      <c r="D249" s="383"/>
      <c r="E249" s="383"/>
      <c r="F249" s="536"/>
      <c r="G249" s="536"/>
      <c r="H249" s="383"/>
      <c r="I249" s="383"/>
      <c r="J249" s="383"/>
      <c r="K249" s="383"/>
      <c r="L249" s="383"/>
      <c r="M249" s="383"/>
      <c r="N249" s="383"/>
      <c r="O249" s="383"/>
      <c r="P249" s="383"/>
      <c r="Q249" s="383"/>
      <c r="R249" s="383"/>
      <c r="S249" s="383"/>
      <c r="T249" s="383"/>
      <c r="U249" s="383"/>
      <c r="V249" s="383"/>
      <c r="W249" s="541"/>
      <c r="X249" s="383"/>
      <c r="Y249" s="383"/>
      <c r="Z249" s="383"/>
    </row>
    <row r="250" ht="33.75" customHeight="1">
      <c r="A250" s="383"/>
      <c r="B250" s="513"/>
      <c r="C250" s="537"/>
      <c r="D250" s="537"/>
      <c r="E250" s="537"/>
      <c r="F250" s="538"/>
      <c r="G250" s="538"/>
      <c r="H250" s="513"/>
      <c r="I250" s="513"/>
      <c r="J250" s="513"/>
      <c r="K250" s="383"/>
      <c r="L250" s="383"/>
      <c r="M250" s="383"/>
      <c r="N250" s="383"/>
      <c r="O250" s="383"/>
      <c r="P250" s="383"/>
      <c r="Q250" s="383"/>
      <c r="R250" s="383"/>
      <c r="S250" s="383"/>
      <c r="T250" s="383"/>
      <c r="U250" s="383"/>
      <c r="V250" s="383"/>
      <c r="W250" s="541"/>
      <c r="X250" s="383"/>
      <c r="Y250" s="383"/>
      <c r="Z250" s="383"/>
    </row>
    <row r="251" ht="15.75" customHeight="1">
      <c r="A251" s="539"/>
      <c r="B251" s="543"/>
      <c r="C251" s="542"/>
      <c r="D251" s="542"/>
      <c r="E251" s="542"/>
      <c r="F251" s="544"/>
      <c r="G251" s="544"/>
      <c r="H251" s="542"/>
      <c r="I251" s="542"/>
      <c r="J251" s="542"/>
      <c r="K251" s="383"/>
      <c r="L251" s="383"/>
      <c r="M251" s="383"/>
      <c r="N251" s="383"/>
      <c r="O251" s="383"/>
      <c r="P251" s="383"/>
      <c r="Q251" s="383"/>
      <c r="R251" s="383"/>
      <c r="S251" s="383"/>
      <c r="T251" s="383"/>
      <c r="U251" s="383"/>
      <c r="V251" s="383"/>
      <c r="W251" s="541"/>
      <c r="X251" s="383"/>
      <c r="Y251" s="383"/>
      <c r="Z251" s="383"/>
    </row>
    <row r="252" ht="15.75" customHeight="1">
      <c r="A252" s="539"/>
      <c r="B252" s="543"/>
      <c r="C252" s="542"/>
      <c r="D252" s="542"/>
      <c r="E252" s="542"/>
      <c r="F252" s="544"/>
      <c r="G252" s="544"/>
      <c r="H252" s="542"/>
      <c r="I252" s="542"/>
      <c r="J252" s="542"/>
      <c r="K252" s="383"/>
      <c r="L252" s="383"/>
      <c r="M252" s="383"/>
      <c r="N252" s="383"/>
      <c r="O252" s="383"/>
      <c r="P252" s="383"/>
      <c r="Q252" s="383"/>
      <c r="R252" s="383"/>
      <c r="S252" s="383"/>
      <c r="T252" s="383"/>
      <c r="U252" s="383"/>
      <c r="V252" s="383"/>
      <c r="W252" s="541"/>
      <c r="X252" s="383"/>
      <c r="Y252" s="383"/>
      <c r="Z252" s="383"/>
    </row>
    <row r="253" ht="15.75" customHeight="1">
      <c r="A253" s="539"/>
      <c r="B253" s="543"/>
      <c r="C253" s="542"/>
      <c r="D253" s="542"/>
      <c r="E253" s="542"/>
      <c r="F253" s="544"/>
      <c r="G253" s="544"/>
      <c r="H253" s="542"/>
      <c r="I253" s="542"/>
      <c r="J253" s="542"/>
      <c r="K253" s="383"/>
      <c r="L253" s="383"/>
      <c r="M253" s="383"/>
      <c r="N253" s="383"/>
      <c r="O253" s="383"/>
      <c r="P253" s="383"/>
      <c r="Q253" s="383"/>
      <c r="R253" s="383"/>
      <c r="S253" s="383"/>
      <c r="T253" s="383"/>
      <c r="U253" s="383"/>
      <c r="V253" s="383"/>
      <c r="W253" s="541"/>
      <c r="X253" s="383"/>
      <c r="Y253" s="383"/>
      <c r="Z253" s="383"/>
    </row>
    <row r="254" ht="15.75" customHeight="1">
      <c r="A254" s="539"/>
      <c r="B254" s="543"/>
      <c r="C254" s="542"/>
      <c r="D254" s="542"/>
      <c r="E254" s="542"/>
      <c r="F254" s="545"/>
      <c r="G254" s="545"/>
      <c r="H254" s="542"/>
      <c r="I254" s="542"/>
      <c r="J254" s="542"/>
      <c r="K254" s="383"/>
      <c r="L254" s="383"/>
      <c r="M254" s="383"/>
      <c r="N254" s="383"/>
      <c r="O254" s="383"/>
      <c r="P254" s="383"/>
      <c r="Q254" s="383"/>
      <c r="R254" s="383"/>
      <c r="S254" s="383"/>
      <c r="T254" s="383"/>
      <c r="U254" s="383"/>
      <c r="V254" s="383"/>
      <c r="W254" s="536"/>
      <c r="X254" s="383"/>
      <c r="Y254" s="383"/>
      <c r="Z254" s="383"/>
    </row>
    <row r="255" ht="15.75" customHeight="1">
      <c r="A255" s="539"/>
      <c r="B255" s="543"/>
      <c r="C255" s="542"/>
      <c r="D255" s="542"/>
      <c r="E255" s="542"/>
      <c r="F255" s="545"/>
      <c r="G255" s="545"/>
      <c r="H255" s="542"/>
      <c r="I255" s="542"/>
      <c r="J255" s="542"/>
      <c r="K255" s="383"/>
      <c r="L255" s="383"/>
      <c r="M255" s="383"/>
      <c r="N255" s="383"/>
      <c r="O255" s="383"/>
      <c r="P255" s="383"/>
      <c r="Q255" s="383"/>
      <c r="R255" s="383"/>
      <c r="S255" s="383"/>
      <c r="T255" s="383"/>
      <c r="U255" s="383"/>
      <c r="V255" s="383"/>
      <c r="W255" s="541"/>
      <c r="X255" s="383"/>
      <c r="Y255" s="383"/>
      <c r="Z255" s="383"/>
    </row>
    <row r="256" ht="15.75" customHeight="1">
      <c r="A256" s="539"/>
      <c r="B256" s="543"/>
      <c r="C256" s="546"/>
      <c r="D256" s="542"/>
      <c r="E256" s="542"/>
      <c r="F256" s="545"/>
      <c r="G256" s="545"/>
      <c r="H256" s="542"/>
      <c r="I256" s="542"/>
      <c r="J256" s="542"/>
      <c r="K256" s="383"/>
      <c r="L256" s="383"/>
      <c r="M256" s="383"/>
      <c r="N256" s="383"/>
      <c r="O256" s="383"/>
      <c r="P256" s="383"/>
      <c r="Q256" s="383"/>
      <c r="R256" s="383"/>
      <c r="S256" s="383"/>
      <c r="T256" s="383"/>
      <c r="U256" s="383"/>
      <c r="V256" s="383"/>
      <c r="W256" s="541"/>
      <c r="X256" s="383"/>
      <c r="Y256" s="383"/>
      <c r="Z256" s="383"/>
    </row>
    <row r="257" ht="15.75" customHeight="1">
      <c r="A257" s="383"/>
      <c r="B257" s="383"/>
      <c r="C257" s="383"/>
      <c r="D257" s="383"/>
      <c r="E257" s="383"/>
      <c r="F257" s="538"/>
      <c r="G257" s="538"/>
      <c r="H257" s="383"/>
      <c r="I257" s="542"/>
      <c r="J257" s="542"/>
      <c r="K257" s="383"/>
      <c r="L257" s="383"/>
      <c r="M257" s="383"/>
      <c r="N257" s="383"/>
      <c r="O257" s="383"/>
      <c r="P257" s="383"/>
      <c r="Q257" s="383"/>
      <c r="R257" s="383"/>
      <c r="S257" s="383"/>
      <c r="T257" s="383"/>
      <c r="U257" s="383"/>
      <c r="V257" s="383"/>
      <c r="W257" s="541"/>
      <c r="X257" s="383"/>
      <c r="Y257" s="383"/>
      <c r="Z257" s="383"/>
    </row>
    <row r="258" ht="12.75" customHeight="1">
      <c r="A258" s="383"/>
      <c r="B258" s="383"/>
      <c r="C258" s="383"/>
      <c r="D258" s="383"/>
      <c r="E258" s="383"/>
      <c r="F258" s="536"/>
      <c r="G258" s="536"/>
      <c r="H258" s="383"/>
      <c r="I258" s="383"/>
      <c r="J258" s="383"/>
      <c r="K258" s="383"/>
      <c r="L258" s="383"/>
      <c r="M258" s="383"/>
      <c r="N258" s="383"/>
      <c r="O258" s="383"/>
      <c r="P258" s="383"/>
      <c r="Q258" s="383"/>
      <c r="R258" s="383"/>
      <c r="S258" s="383"/>
      <c r="T258" s="383"/>
      <c r="U258" s="383"/>
      <c r="V258" s="383"/>
      <c r="W258" s="541"/>
      <c r="X258" s="383"/>
      <c r="Y258" s="383"/>
      <c r="Z258" s="383"/>
    </row>
    <row r="259" ht="12.75" customHeight="1">
      <c r="A259" s="383"/>
      <c r="B259" s="383"/>
      <c r="C259" s="383"/>
      <c r="D259" s="383"/>
      <c r="E259" s="383"/>
      <c r="F259" s="536"/>
      <c r="G259" s="536"/>
      <c r="H259" s="383"/>
      <c r="I259" s="383"/>
      <c r="J259" s="383"/>
      <c r="K259" s="383"/>
      <c r="L259" s="383"/>
      <c r="M259" s="383"/>
      <c r="N259" s="383"/>
      <c r="O259" s="383"/>
      <c r="P259" s="383"/>
      <c r="Q259" s="383"/>
      <c r="R259" s="383"/>
      <c r="S259" s="383"/>
      <c r="T259" s="383"/>
      <c r="U259" s="383"/>
      <c r="V259" s="383"/>
      <c r="W259" s="541"/>
      <c r="X259" s="383"/>
      <c r="Y259" s="383"/>
      <c r="Z259" s="383"/>
    </row>
    <row r="260" ht="12.75" customHeight="1">
      <c r="A260" s="383"/>
      <c r="B260" s="383"/>
      <c r="C260" s="383"/>
      <c r="D260" s="383"/>
      <c r="E260" s="383"/>
      <c r="F260" s="536"/>
      <c r="G260" s="536"/>
      <c r="H260" s="383"/>
      <c r="I260" s="383"/>
      <c r="J260" s="383"/>
      <c r="K260" s="383"/>
      <c r="L260" s="383"/>
      <c r="M260" s="383"/>
      <c r="N260" s="383"/>
      <c r="O260" s="383"/>
      <c r="P260" s="383"/>
      <c r="Q260" s="383"/>
      <c r="R260" s="383"/>
      <c r="S260" s="383"/>
      <c r="T260" s="383"/>
      <c r="U260" s="383"/>
      <c r="V260" s="383"/>
      <c r="W260" s="541"/>
      <c r="X260" s="383"/>
      <c r="Y260" s="383"/>
      <c r="Z260" s="383"/>
    </row>
    <row r="261" ht="19.5" customHeight="1">
      <c r="A261" s="547"/>
      <c r="B261" s="383"/>
      <c r="C261" s="383"/>
      <c r="D261" s="383"/>
      <c r="E261" s="383"/>
      <c r="F261" s="536"/>
      <c r="G261" s="536"/>
      <c r="H261" s="383"/>
      <c r="I261" s="383"/>
      <c r="J261" s="383"/>
      <c r="K261" s="383"/>
      <c r="L261" s="383"/>
      <c r="M261" s="383"/>
      <c r="N261" s="383"/>
      <c r="O261" s="383"/>
      <c r="P261" s="383"/>
      <c r="Q261" s="383"/>
      <c r="R261" s="383"/>
      <c r="S261" s="383"/>
      <c r="T261" s="383"/>
      <c r="U261" s="383"/>
      <c r="V261" s="383"/>
      <c r="W261" s="541"/>
      <c r="X261" s="383"/>
      <c r="Y261" s="383"/>
      <c r="Z261" s="383"/>
    </row>
    <row r="262" ht="15.75" customHeight="1">
      <c r="A262" s="548"/>
      <c r="B262" s="494"/>
      <c r="C262" s="494"/>
      <c r="D262" s="494"/>
      <c r="E262" s="494"/>
      <c r="F262" s="549"/>
      <c r="G262" s="549"/>
      <c r="H262" s="494"/>
      <c r="I262" s="548"/>
      <c r="J262" s="548"/>
      <c r="K262" s="548"/>
      <c r="L262" s="548"/>
      <c r="M262" s="548"/>
      <c r="N262" s="548"/>
      <c r="O262" s="548"/>
      <c r="P262" s="548"/>
      <c r="Q262" s="548"/>
      <c r="R262" s="548"/>
      <c r="S262" s="548"/>
      <c r="T262" s="548"/>
      <c r="U262" s="548"/>
      <c r="V262" s="548"/>
      <c r="W262" s="541"/>
      <c r="X262" s="548"/>
      <c r="Y262" s="548"/>
      <c r="Z262" s="548"/>
    </row>
    <row r="263" ht="15.75" customHeight="1">
      <c r="A263" s="513"/>
      <c r="B263" s="513"/>
      <c r="C263" s="513"/>
      <c r="D263" s="513"/>
      <c r="E263" s="513"/>
      <c r="F263" s="550"/>
      <c r="G263" s="550"/>
      <c r="H263" s="513"/>
      <c r="I263" s="383"/>
      <c r="J263" s="383"/>
      <c r="K263" s="383"/>
      <c r="L263" s="383"/>
      <c r="M263" s="383"/>
      <c r="N263" s="383"/>
      <c r="O263" s="383"/>
      <c r="P263" s="383"/>
      <c r="Q263" s="383"/>
      <c r="R263" s="383"/>
      <c r="S263" s="383"/>
      <c r="T263" s="383"/>
      <c r="U263" s="383"/>
      <c r="V263" s="383"/>
      <c r="W263" s="541"/>
      <c r="X263" s="383"/>
      <c r="Y263" s="383"/>
      <c r="Z263" s="383"/>
    </row>
    <row r="264" ht="15.75" customHeight="1">
      <c r="A264" s="513"/>
      <c r="B264" s="513"/>
      <c r="C264" s="551"/>
      <c r="D264" s="552"/>
      <c r="E264" s="552"/>
      <c r="F264" s="553"/>
      <c r="G264" s="553"/>
      <c r="H264" s="552"/>
      <c r="I264" s="383"/>
      <c r="J264" s="383"/>
      <c r="K264" s="383"/>
      <c r="L264" s="383"/>
      <c r="M264" s="383"/>
      <c r="N264" s="383"/>
      <c r="O264" s="383"/>
      <c r="P264" s="383"/>
      <c r="Q264" s="383"/>
      <c r="R264" s="383"/>
      <c r="S264" s="383"/>
      <c r="T264" s="383"/>
      <c r="U264" s="383"/>
      <c r="V264" s="383"/>
      <c r="W264" s="541"/>
      <c r="X264" s="383"/>
      <c r="Y264" s="383"/>
      <c r="Z264" s="383"/>
    </row>
    <row r="265" ht="15.75" customHeight="1">
      <c r="A265" s="513"/>
      <c r="B265" s="539"/>
      <c r="C265" s="554"/>
      <c r="D265" s="554"/>
      <c r="E265" s="554"/>
      <c r="F265" s="555"/>
      <c r="G265" s="555"/>
      <c r="H265" s="554"/>
      <c r="I265" s="383"/>
      <c r="J265" s="383"/>
      <c r="K265" s="383"/>
      <c r="L265" s="383"/>
      <c r="M265" s="383"/>
      <c r="N265" s="383"/>
      <c r="O265" s="383"/>
      <c r="P265" s="383"/>
      <c r="Q265" s="383"/>
      <c r="R265" s="383"/>
      <c r="S265" s="383"/>
      <c r="T265" s="383"/>
      <c r="U265" s="383"/>
      <c r="V265" s="383"/>
      <c r="W265" s="541"/>
      <c r="X265" s="383"/>
      <c r="Y265" s="383"/>
      <c r="Z265" s="383"/>
    </row>
    <row r="266" ht="15.75" customHeight="1">
      <c r="A266" s="383"/>
      <c r="B266" s="383"/>
      <c r="C266" s="383"/>
      <c r="D266" s="495" t="s">
        <v>50</v>
      </c>
      <c r="E266" s="495" t="s">
        <v>48</v>
      </c>
      <c r="F266" s="550">
        <f>+D263+E263+F263+H263</f>
        <v>0</v>
      </c>
      <c r="G266" s="538"/>
      <c r="H266" s="383"/>
      <c r="I266" s="383"/>
      <c r="J266" s="383"/>
      <c r="K266" s="383"/>
      <c r="L266" s="383"/>
      <c r="M266" s="383"/>
      <c r="N266" s="383"/>
      <c r="O266" s="383"/>
      <c r="P266" s="383"/>
      <c r="Q266" s="383"/>
      <c r="R266" s="383"/>
      <c r="S266" s="383"/>
      <c r="T266" s="383"/>
      <c r="U266" s="383"/>
      <c r="V266" s="383"/>
      <c r="W266" s="545"/>
      <c r="X266" s="383"/>
      <c r="Y266" s="383"/>
      <c r="Z266" s="383"/>
    </row>
    <row r="267" ht="15.75" customHeight="1">
      <c r="A267" s="383"/>
      <c r="B267" s="383"/>
      <c r="C267" s="383"/>
      <c r="D267" s="546"/>
      <c r="E267" s="495" t="s">
        <v>49</v>
      </c>
      <c r="F267" s="553" t="str">
        <f>+F266/B263</f>
        <v>#DIV/0!</v>
      </c>
      <c r="G267" s="553"/>
      <c r="H267" s="383"/>
      <c r="I267" s="383"/>
      <c r="J267" s="383"/>
      <c r="K267" s="383"/>
      <c r="L267" s="383"/>
      <c r="M267" s="383"/>
      <c r="N267" s="383"/>
      <c r="O267" s="383"/>
      <c r="P267" s="383"/>
      <c r="Q267" s="383"/>
      <c r="R267" s="383"/>
      <c r="S267" s="383"/>
      <c r="T267" s="383"/>
      <c r="U267" s="383"/>
      <c r="V267" s="383"/>
      <c r="W267" s="545"/>
      <c r="X267" s="383"/>
      <c r="Y267" s="383"/>
      <c r="Z267" s="383"/>
    </row>
    <row r="268" ht="15.75" customHeight="1">
      <c r="A268" s="548"/>
      <c r="B268" s="548"/>
      <c r="C268" s="495" t="s">
        <v>51</v>
      </c>
      <c r="D268" s="548"/>
      <c r="E268" s="548"/>
      <c r="F268" s="556"/>
      <c r="G268" s="556"/>
      <c r="H268" s="548"/>
      <c r="I268" s="383"/>
      <c r="J268" s="383"/>
      <c r="K268" s="383"/>
      <c r="L268" s="383"/>
      <c r="M268" s="383"/>
      <c r="N268" s="383"/>
      <c r="O268" s="383"/>
      <c r="P268" s="383"/>
      <c r="Q268" s="383"/>
      <c r="R268" s="383"/>
      <c r="S268" s="383"/>
      <c r="T268" s="383"/>
      <c r="U268" s="383"/>
      <c r="V268" s="383"/>
      <c r="W268" s="536"/>
      <c r="X268" s="383"/>
      <c r="Y268" s="383"/>
      <c r="Z268" s="383"/>
    </row>
    <row r="269" ht="15.75" customHeight="1">
      <c r="A269" s="548"/>
      <c r="B269" s="548"/>
      <c r="C269" s="548"/>
      <c r="D269" s="495" t="s">
        <v>52</v>
      </c>
      <c r="E269" s="548"/>
      <c r="F269" s="556">
        <f>+F268*(F266-F263)</f>
        <v>0</v>
      </c>
      <c r="G269" s="556"/>
      <c r="H269" s="548"/>
      <c r="I269" s="383"/>
      <c r="J269" s="383"/>
      <c r="K269" s="383"/>
      <c r="L269" s="383"/>
      <c r="M269" s="383"/>
      <c r="N269" s="383"/>
      <c r="O269" s="383"/>
      <c r="P269" s="383"/>
      <c r="Q269" s="383"/>
      <c r="R269" s="383"/>
      <c r="S269" s="383"/>
      <c r="T269" s="383"/>
      <c r="U269" s="383"/>
      <c r="V269" s="383"/>
      <c r="W269" s="383"/>
      <c r="X269" s="383"/>
      <c r="Y269" s="383"/>
      <c r="Z269" s="383"/>
    </row>
    <row r="270" ht="12.75" customHeight="1">
      <c r="A270" s="383"/>
      <c r="B270" s="383"/>
      <c r="C270" s="383"/>
      <c r="D270" s="383"/>
      <c r="E270" s="383"/>
      <c r="F270" s="536"/>
      <c r="G270" s="536"/>
      <c r="H270" s="383"/>
      <c r="I270" s="383"/>
      <c r="J270" s="383"/>
      <c r="K270" s="383"/>
      <c r="L270" s="383"/>
      <c r="M270" s="383"/>
      <c r="N270" s="383"/>
      <c r="O270" s="383"/>
      <c r="P270" s="383"/>
      <c r="Q270" s="383"/>
      <c r="R270" s="383"/>
      <c r="S270" s="383"/>
      <c r="T270" s="383"/>
      <c r="U270" s="383"/>
      <c r="V270" s="383"/>
      <c r="W270" s="383"/>
      <c r="X270" s="383"/>
      <c r="Y270" s="383"/>
      <c r="Z270" s="383"/>
    </row>
    <row r="271" ht="12.75" customHeight="1">
      <c r="A271" s="383"/>
      <c r="B271" s="383"/>
      <c r="C271" s="383"/>
      <c r="D271" s="383"/>
      <c r="E271" s="383"/>
      <c r="F271" s="536"/>
      <c r="G271" s="536"/>
      <c r="H271" s="383"/>
      <c r="I271" s="383"/>
      <c r="J271" s="383"/>
      <c r="K271" s="383"/>
      <c r="L271" s="383"/>
      <c r="M271" s="383"/>
      <c r="N271" s="383"/>
      <c r="O271" s="383"/>
      <c r="P271" s="383"/>
      <c r="Q271" s="383"/>
      <c r="R271" s="383"/>
      <c r="S271" s="383"/>
      <c r="T271" s="383"/>
      <c r="U271" s="383"/>
      <c r="V271" s="383"/>
      <c r="W271" s="383"/>
      <c r="X271" s="383"/>
      <c r="Y271" s="383"/>
      <c r="Z271" s="383"/>
    </row>
    <row r="272" ht="12.75" customHeight="1">
      <c r="A272" s="383"/>
      <c r="B272" s="383"/>
      <c r="C272" s="383"/>
      <c r="D272" s="383"/>
      <c r="E272" s="383"/>
      <c r="F272" s="536"/>
      <c r="G272" s="536"/>
      <c r="H272" s="383"/>
      <c r="I272" s="383"/>
      <c r="J272" s="383"/>
      <c r="K272" s="383"/>
      <c r="L272" s="383"/>
      <c r="M272" s="383"/>
      <c r="N272" s="383"/>
      <c r="O272" s="383"/>
      <c r="P272" s="383"/>
      <c r="Q272" s="383"/>
      <c r="R272" s="383"/>
      <c r="S272" s="383"/>
      <c r="T272" s="383"/>
      <c r="U272" s="383"/>
      <c r="V272" s="383"/>
      <c r="W272" s="383"/>
      <c r="X272" s="383"/>
      <c r="Y272" s="383"/>
      <c r="Z272" s="383"/>
    </row>
    <row r="273" ht="12.75" customHeight="1">
      <c r="A273" s="383"/>
      <c r="B273" s="383"/>
      <c r="C273" s="383"/>
      <c r="D273" s="383"/>
      <c r="E273" s="383"/>
      <c r="F273" s="536"/>
      <c r="G273" s="536"/>
      <c r="H273" s="383"/>
      <c r="I273" s="383"/>
      <c r="J273" s="383"/>
      <c r="K273" s="383"/>
      <c r="L273" s="383"/>
      <c r="M273" s="383"/>
      <c r="N273" s="383"/>
      <c r="O273" s="383"/>
      <c r="P273" s="383"/>
      <c r="Q273" s="383"/>
      <c r="R273" s="383"/>
      <c r="S273" s="383"/>
      <c r="T273" s="383"/>
      <c r="U273" s="383"/>
      <c r="V273" s="383"/>
      <c r="W273" s="383"/>
      <c r="X273" s="383"/>
      <c r="Y273" s="383"/>
      <c r="Z273" s="383"/>
    </row>
    <row r="274" ht="12.75" customHeight="1">
      <c r="A274" s="383"/>
      <c r="B274" s="383"/>
      <c r="C274" s="383"/>
      <c r="D274" s="383"/>
      <c r="E274" s="383"/>
      <c r="F274" s="536"/>
      <c r="G274" s="536"/>
      <c r="H274" s="383"/>
      <c r="I274" s="383"/>
      <c r="J274" s="383"/>
      <c r="K274" s="383"/>
      <c r="L274" s="383"/>
      <c r="M274" s="383"/>
      <c r="N274" s="383"/>
      <c r="O274" s="383"/>
      <c r="P274" s="383"/>
      <c r="Q274" s="383"/>
      <c r="R274" s="383"/>
      <c r="S274" s="383"/>
      <c r="T274" s="383"/>
      <c r="U274" s="383"/>
      <c r="V274" s="383"/>
      <c r="W274" s="383"/>
      <c r="X274" s="383"/>
      <c r="Y274" s="383"/>
      <c r="Z274" s="383"/>
    </row>
    <row r="275" ht="12.75" customHeight="1">
      <c r="A275" s="383"/>
      <c r="B275" s="383"/>
      <c r="C275" s="383"/>
      <c r="D275" s="383"/>
      <c r="E275" s="383"/>
      <c r="F275" s="536"/>
      <c r="G275" s="536"/>
      <c r="H275" s="383"/>
      <c r="I275" s="383"/>
      <c r="J275" s="383"/>
      <c r="K275" s="383"/>
      <c r="L275" s="383"/>
      <c r="M275" s="383"/>
      <c r="N275" s="383"/>
      <c r="O275" s="383"/>
      <c r="P275" s="383"/>
      <c r="Q275" s="383"/>
      <c r="R275" s="383"/>
      <c r="S275" s="383"/>
      <c r="T275" s="383"/>
      <c r="U275" s="383"/>
      <c r="V275" s="383"/>
      <c r="W275" s="383"/>
      <c r="X275" s="383"/>
      <c r="Y275" s="383"/>
      <c r="Z275" s="383"/>
    </row>
    <row r="276" ht="12.75" customHeight="1">
      <c r="A276" s="383"/>
      <c r="B276" s="383"/>
      <c r="C276" s="383"/>
      <c r="D276" s="383"/>
      <c r="E276" s="383"/>
      <c r="F276" s="536"/>
      <c r="G276" s="536"/>
      <c r="H276" s="383"/>
      <c r="I276" s="383"/>
      <c r="J276" s="383"/>
      <c r="K276" s="383"/>
      <c r="L276" s="383"/>
      <c r="M276" s="383"/>
      <c r="N276" s="383"/>
      <c r="O276" s="383"/>
      <c r="P276" s="383"/>
      <c r="Q276" s="383"/>
      <c r="R276" s="383"/>
      <c r="S276" s="383"/>
      <c r="T276" s="383"/>
      <c r="U276" s="383"/>
      <c r="V276" s="383"/>
      <c r="W276" s="383"/>
      <c r="X276" s="383"/>
      <c r="Y276" s="383"/>
      <c r="Z276" s="383"/>
    </row>
    <row r="277" ht="12.75" customHeight="1">
      <c r="A277" s="383"/>
      <c r="B277" s="383"/>
      <c r="C277" s="383"/>
      <c r="D277" s="383"/>
      <c r="E277" s="383"/>
      <c r="F277" s="536"/>
      <c r="G277" s="536"/>
      <c r="H277" s="383"/>
      <c r="I277" s="383"/>
      <c r="J277" s="383"/>
      <c r="K277" s="383"/>
      <c r="L277" s="383"/>
      <c r="M277" s="383"/>
      <c r="N277" s="383"/>
      <c r="O277" s="383"/>
      <c r="P277" s="383"/>
      <c r="Q277" s="383"/>
      <c r="R277" s="383"/>
      <c r="S277" s="383"/>
      <c r="T277" s="383"/>
      <c r="U277" s="383"/>
      <c r="V277" s="383"/>
      <c r="W277" s="383"/>
      <c r="X277" s="383"/>
      <c r="Y277" s="383"/>
      <c r="Z277" s="383"/>
    </row>
    <row r="278" ht="12.75" customHeight="1">
      <c r="A278" s="383"/>
      <c r="B278" s="383"/>
      <c r="C278" s="383"/>
      <c r="D278" s="383"/>
      <c r="E278" s="383"/>
      <c r="F278" s="536"/>
      <c r="G278" s="536"/>
      <c r="H278" s="383"/>
      <c r="I278" s="383"/>
      <c r="J278" s="383"/>
      <c r="K278" s="383"/>
      <c r="L278" s="383"/>
      <c r="M278" s="383"/>
      <c r="N278" s="383"/>
      <c r="O278" s="383"/>
      <c r="P278" s="383"/>
      <c r="Q278" s="383"/>
      <c r="R278" s="383"/>
      <c r="S278" s="383"/>
      <c r="T278" s="383"/>
      <c r="U278" s="383"/>
      <c r="V278" s="383"/>
      <c r="W278" s="383"/>
      <c r="X278" s="383"/>
      <c r="Y278" s="383"/>
      <c r="Z278" s="383"/>
    </row>
    <row r="279" ht="12.75" customHeight="1">
      <c r="A279" s="383"/>
      <c r="B279" s="383"/>
      <c r="C279" s="383"/>
      <c r="D279" s="383"/>
      <c r="E279" s="383"/>
      <c r="F279" s="536"/>
      <c r="G279" s="536"/>
      <c r="H279" s="383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 s="383"/>
      <c r="V279" s="383"/>
      <c r="W279" s="383"/>
      <c r="X279" s="383"/>
      <c r="Y279" s="383"/>
      <c r="Z279" s="383"/>
    </row>
    <row r="280" ht="12.75" customHeight="1">
      <c r="A280" s="383"/>
      <c r="B280" s="383"/>
      <c r="C280" s="383"/>
      <c r="D280" s="383"/>
      <c r="E280" s="383"/>
      <c r="F280" s="536"/>
      <c r="G280" s="536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383"/>
      <c r="X280" s="383"/>
      <c r="Y280" s="383"/>
      <c r="Z280" s="383"/>
    </row>
    <row r="281" ht="12.75" customHeight="1">
      <c r="A281" s="383"/>
      <c r="B281" s="383"/>
      <c r="C281" s="383"/>
      <c r="D281" s="383"/>
      <c r="E281" s="383"/>
      <c r="F281" s="536"/>
      <c r="G281" s="536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383"/>
      <c r="X281" s="383"/>
      <c r="Y281" s="383"/>
      <c r="Z281" s="383"/>
    </row>
    <row r="282" ht="12.75" customHeight="1">
      <c r="A282" s="383"/>
      <c r="B282" s="383"/>
      <c r="C282" s="383"/>
      <c r="D282" s="383"/>
      <c r="E282" s="383"/>
      <c r="F282" s="536"/>
      <c r="G282" s="536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 s="383"/>
      <c r="V282" s="383"/>
      <c r="W282" s="383"/>
      <c r="X282" s="383"/>
      <c r="Y282" s="383"/>
      <c r="Z282" s="383"/>
    </row>
    <row r="283" ht="12.75" customHeight="1">
      <c r="A283" s="383"/>
      <c r="B283" s="383"/>
      <c r="C283" s="383"/>
      <c r="D283" s="383"/>
      <c r="E283" s="383"/>
      <c r="F283" s="536"/>
      <c r="G283" s="536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383"/>
      <c r="W283" s="383"/>
      <c r="X283" s="383"/>
      <c r="Y283" s="383"/>
      <c r="Z283" s="383"/>
    </row>
    <row r="284" ht="12.75" customHeight="1">
      <c r="A284" s="383"/>
      <c r="B284" s="383"/>
      <c r="C284" s="383"/>
      <c r="D284" s="383"/>
      <c r="E284" s="383"/>
      <c r="F284" s="536"/>
      <c r="G284" s="536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 s="383"/>
      <c r="V284" s="383"/>
      <c r="W284" s="383"/>
      <c r="X284" s="383"/>
      <c r="Y284" s="383"/>
      <c r="Z284" s="383"/>
    </row>
    <row r="285" ht="12.75" customHeight="1">
      <c r="A285" s="383"/>
      <c r="B285" s="383"/>
      <c r="C285" s="383"/>
      <c r="D285" s="383"/>
      <c r="E285" s="383"/>
      <c r="F285" s="536"/>
      <c r="G285" s="536"/>
      <c r="H285" s="383"/>
      <c r="I285" s="383"/>
      <c r="J285" s="383"/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 s="383"/>
      <c r="V285" s="383"/>
      <c r="W285" s="383"/>
      <c r="X285" s="383"/>
      <c r="Y285" s="383"/>
      <c r="Z285" s="383"/>
    </row>
    <row r="286" ht="12.75" customHeight="1">
      <c r="A286" s="383"/>
      <c r="B286" s="383"/>
      <c r="C286" s="383"/>
      <c r="D286" s="383"/>
      <c r="E286" s="383"/>
      <c r="F286" s="536"/>
      <c r="G286" s="536"/>
      <c r="H286" s="383"/>
      <c r="I286" s="383"/>
      <c r="J286" s="383"/>
      <c r="K286" s="383"/>
      <c r="L286" s="383"/>
      <c r="M286" s="383"/>
      <c r="N286" s="383"/>
      <c r="O286" s="383"/>
      <c r="P286" s="383"/>
      <c r="Q286" s="383"/>
      <c r="R286" s="383"/>
      <c r="S286" s="383"/>
      <c r="T286" s="383"/>
      <c r="U286" s="383"/>
      <c r="V286" s="383"/>
      <c r="W286" s="383"/>
      <c r="X286" s="383"/>
      <c r="Y286" s="383"/>
      <c r="Z286" s="383"/>
    </row>
    <row r="287" ht="12.75" customHeight="1">
      <c r="A287" s="383"/>
      <c r="B287" s="383"/>
      <c r="C287" s="383"/>
      <c r="D287" s="383"/>
      <c r="E287" s="383"/>
      <c r="F287" s="536"/>
      <c r="G287" s="536"/>
      <c r="H287" s="383"/>
      <c r="I287" s="383"/>
      <c r="J287" s="383"/>
      <c r="K287" s="383"/>
      <c r="L287" s="383"/>
      <c r="M287" s="383"/>
      <c r="N287" s="383"/>
      <c r="O287" s="383"/>
      <c r="P287" s="383"/>
      <c r="Q287" s="383"/>
      <c r="R287" s="383"/>
      <c r="S287" s="383"/>
      <c r="T287" s="383"/>
      <c r="U287" s="383"/>
      <c r="V287" s="383"/>
      <c r="W287" s="383"/>
      <c r="X287" s="383"/>
      <c r="Y287" s="383"/>
      <c r="Z287" s="383"/>
    </row>
    <row r="288" ht="12.75" customHeight="1">
      <c r="A288" s="383"/>
      <c r="B288" s="383"/>
      <c r="C288" s="383"/>
      <c r="D288" s="383"/>
      <c r="E288" s="383"/>
      <c r="F288" s="536"/>
      <c r="G288" s="536"/>
      <c r="H288" s="383"/>
      <c r="I288" s="383"/>
      <c r="J288" s="383"/>
      <c r="K288" s="383"/>
      <c r="L288" s="383"/>
      <c r="M288" s="383"/>
      <c r="N288" s="383"/>
      <c r="O288" s="383"/>
      <c r="P288" s="383"/>
      <c r="Q288" s="383"/>
      <c r="R288" s="383"/>
      <c r="S288" s="383"/>
      <c r="T288" s="383"/>
      <c r="U288" s="383"/>
      <c r="V288" s="383"/>
      <c r="W288" s="383"/>
      <c r="X288" s="383"/>
      <c r="Y288" s="383"/>
      <c r="Z288" s="383"/>
    </row>
    <row r="289" ht="12.75" customHeight="1">
      <c r="A289" s="383"/>
      <c r="B289" s="383"/>
      <c r="C289" s="383"/>
      <c r="D289" s="383"/>
      <c r="E289" s="383"/>
      <c r="F289" s="536"/>
      <c r="G289" s="536"/>
      <c r="H289" s="383"/>
      <c r="I289" s="383"/>
      <c r="J289" s="383"/>
      <c r="K289" s="383"/>
      <c r="L289" s="383"/>
      <c r="M289" s="383"/>
      <c r="N289" s="383"/>
      <c r="O289" s="383"/>
      <c r="P289" s="383"/>
      <c r="Q289" s="383"/>
      <c r="R289" s="383"/>
      <c r="S289" s="383"/>
      <c r="T289" s="383"/>
      <c r="U289" s="383"/>
      <c r="V289" s="383"/>
      <c r="W289" s="383"/>
      <c r="X289" s="383"/>
      <c r="Y289" s="383"/>
      <c r="Z289" s="383"/>
    </row>
    <row r="290" ht="12.75" customHeight="1">
      <c r="A290" s="383"/>
      <c r="B290" s="383"/>
      <c r="C290" s="383"/>
      <c r="D290" s="383"/>
      <c r="E290" s="383"/>
      <c r="F290" s="536"/>
      <c r="G290" s="536"/>
      <c r="H290" s="383"/>
      <c r="I290" s="383"/>
      <c r="J290" s="383"/>
      <c r="K290" s="383"/>
      <c r="L290" s="383"/>
      <c r="M290" s="383"/>
      <c r="N290" s="383"/>
      <c r="O290" s="383"/>
      <c r="P290" s="383"/>
      <c r="Q290" s="383"/>
      <c r="R290" s="383"/>
      <c r="S290" s="383"/>
      <c r="T290" s="383"/>
      <c r="U290" s="383"/>
      <c r="V290" s="383"/>
      <c r="W290" s="383"/>
      <c r="X290" s="383"/>
      <c r="Y290" s="383"/>
      <c r="Z290" s="383"/>
    </row>
    <row r="291" ht="12.75" customHeight="1">
      <c r="A291" s="383"/>
      <c r="B291" s="383"/>
      <c r="C291" s="383"/>
      <c r="D291" s="383"/>
      <c r="E291" s="383"/>
      <c r="F291" s="536"/>
      <c r="G291" s="536"/>
      <c r="H291" s="383"/>
      <c r="I291" s="383"/>
      <c r="J291" s="383"/>
      <c r="K291" s="383"/>
      <c r="L291" s="383"/>
      <c r="M291" s="383"/>
      <c r="N291" s="383"/>
      <c r="O291" s="383"/>
      <c r="P291" s="383"/>
      <c r="Q291" s="383"/>
      <c r="R291" s="383"/>
      <c r="S291" s="383"/>
      <c r="T291" s="383"/>
      <c r="U291" s="383"/>
      <c r="V291" s="383"/>
      <c r="W291" s="383"/>
      <c r="X291" s="383"/>
      <c r="Y291" s="383"/>
      <c r="Z291" s="383"/>
    </row>
    <row r="292" ht="12.75" customHeight="1">
      <c r="A292" s="383"/>
      <c r="B292" s="383"/>
      <c r="C292" s="383"/>
      <c r="D292" s="383"/>
      <c r="E292" s="383"/>
      <c r="F292" s="536"/>
      <c r="G292" s="536"/>
      <c r="H292" s="383"/>
      <c r="I292" s="383"/>
      <c r="J292" s="383"/>
      <c r="K292" s="383"/>
      <c r="L292" s="383"/>
      <c r="M292" s="383"/>
      <c r="N292" s="383"/>
      <c r="O292" s="383"/>
      <c r="P292" s="383"/>
      <c r="Q292" s="383"/>
      <c r="R292" s="383"/>
      <c r="S292" s="383"/>
      <c r="T292" s="383"/>
      <c r="U292" s="383"/>
      <c r="V292" s="383"/>
      <c r="W292" s="383"/>
      <c r="X292" s="383"/>
      <c r="Y292" s="383"/>
      <c r="Z292" s="383"/>
    </row>
    <row r="293" ht="12.75" customHeight="1">
      <c r="A293" s="383"/>
      <c r="B293" s="383"/>
      <c r="C293" s="383"/>
      <c r="D293" s="383"/>
      <c r="E293" s="383"/>
      <c r="F293" s="536"/>
      <c r="G293" s="536"/>
      <c r="H293" s="383"/>
      <c r="I293" s="383"/>
      <c r="J293" s="383"/>
      <c r="K293" s="383"/>
      <c r="L293" s="383"/>
      <c r="M293" s="383"/>
      <c r="N293" s="383"/>
      <c r="O293" s="383"/>
      <c r="P293" s="383"/>
      <c r="Q293" s="383"/>
      <c r="R293" s="383"/>
      <c r="S293" s="383"/>
      <c r="T293" s="383"/>
      <c r="U293" s="383"/>
      <c r="V293" s="383"/>
      <c r="W293" s="383"/>
      <c r="X293" s="383"/>
      <c r="Y293" s="383"/>
      <c r="Z293" s="383"/>
    </row>
    <row r="294" ht="12.75" customHeight="1">
      <c r="A294" s="383"/>
      <c r="B294" s="383"/>
      <c r="C294" s="383"/>
      <c r="D294" s="383"/>
      <c r="E294" s="383"/>
      <c r="F294" s="536"/>
      <c r="G294" s="536"/>
      <c r="H294" s="383"/>
      <c r="I294" s="383"/>
      <c r="J294" s="383"/>
      <c r="K294" s="383"/>
      <c r="L294" s="383"/>
      <c r="M294" s="383"/>
      <c r="N294" s="383"/>
      <c r="O294" s="383"/>
      <c r="P294" s="383"/>
      <c r="Q294" s="383"/>
      <c r="R294" s="383"/>
      <c r="S294" s="383"/>
      <c r="T294" s="383"/>
      <c r="U294" s="383"/>
      <c r="V294" s="383"/>
      <c r="W294" s="383"/>
      <c r="X294" s="383"/>
      <c r="Y294" s="383"/>
      <c r="Z294" s="383"/>
    </row>
    <row r="295" ht="12.75" customHeight="1">
      <c r="A295" s="383"/>
      <c r="B295" s="383"/>
      <c r="C295" s="383"/>
      <c r="D295" s="383"/>
      <c r="E295" s="383"/>
      <c r="F295" s="536"/>
      <c r="G295" s="536"/>
      <c r="H295" s="383"/>
      <c r="I295" s="383"/>
      <c r="J295" s="383"/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 s="383"/>
      <c r="V295" s="383"/>
      <c r="W295" s="383"/>
      <c r="X295" s="383"/>
      <c r="Y295" s="383"/>
      <c r="Z295" s="383"/>
    </row>
    <row r="296" ht="12.75" customHeight="1">
      <c r="A296" s="383"/>
      <c r="B296" s="383"/>
      <c r="C296" s="383"/>
      <c r="D296" s="383"/>
      <c r="E296" s="383"/>
      <c r="F296" s="536"/>
      <c r="G296" s="536"/>
      <c r="H296" s="383"/>
      <c r="I296" s="383"/>
      <c r="J296" s="383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 s="383"/>
      <c r="V296" s="383"/>
      <c r="W296" s="383"/>
      <c r="X296" s="383"/>
      <c r="Y296" s="383"/>
      <c r="Z296" s="383"/>
    </row>
    <row r="297" ht="12.75" customHeight="1">
      <c r="A297" s="383"/>
      <c r="B297" s="383"/>
      <c r="C297" s="383"/>
      <c r="D297" s="383"/>
      <c r="E297" s="383"/>
      <c r="F297" s="536"/>
      <c r="G297" s="536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 s="383"/>
      <c r="V297" s="383"/>
      <c r="W297" s="383"/>
      <c r="X297" s="383"/>
      <c r="Y297" s="383"/>
      <c r="Z297" s="383"/>
    </row>
    <row r="298" ht="12.75" customHeight="1">
      <c r="A298" s="383"/>
      <c r="B298" s="383"/>
      <c r="C298" s="383"/>
      <c r="D298" s="383"/>
      <c r="E298" s="383"/>
      <c r="F298" s="536"/>
      <c r="G298" s="536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 s="383"/>
      <c r="V298" s="383"/>
      <c r="W298" s="383"/>
      <c r="X298" s="383"/>
      <c r="Y298" s="383"/>
      <c r="Z298" s="383"/>
    </row>
    <row r="299" ht="12.75" customHeight="1">
      <c r="A299" s="383"/>
      <c r="B299" s="383"/>
      <c r="C299" s="383"/>
      <c r="D299" s="383"/>
      <c r="E299" s="383"/>
      <c r="F299" s="536"/>
      <c r="G299" s="536"/>
      <c r="H299" s="383"/>
      <c r="I299" s="383"/>
      <c r="J299" s="383"/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 s="383"/>
      <c r="V299" s="383"/>
      <c r="W299" s="383"/>
      <c r="X299" s="383"/>
      <c r="Y299" s="383"/>
      <c r="Z299" s="383"/>
    </row>
    <row r="300" ht="12.75" customHeight="1">
      <c r="A300" s="383"/>
      <c r="B300" s="383"/>
      <c r="C300" s="383"/>
      <c r="D300" s="383"/>
      <c r="E300" s="383"/>
      <c r="F300" s="536"/>
      <c r="G300" s="536"/>
      <c r="H300" s="383"/>
      <c r="I300" s="383"/>
      <c r="J300" s="383"/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 s="383"/>
      <c r="V300" s="383"/>
      <c r="W300" s="383"/>
      <c r="X300" s="383"/>
      <c r="Y300" s="383"/>
      <c r="Z300" s="383"/>
    </row>
    <row r="301" ht="12.75" customHeight="1">
      <c r="A301" s="383"/>
      <c r="B301" s="383"/>
      <c r="C301" s="383"/>
      <c r="D301" s="383"/>
      <c r="E301" s="383"/>
      <c r="F301" s="536"/>
      <c r="G301" s="536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 s="383"/>
      <c r="V301" s="383"/>
      <c r="W301" s="383"/>
      <c r="X301" s="383"/>
      <c r="Y301" s="383"/>
      <c r="Z301" s="383"/>
    </row>
    <row r="302" ht="12.75" customHeight="1">
      <c r="A302" s="383"/>
      <c r="B302" s="383"/>
      <c r="C302" s="383"/>
      <c r="D302" s="383"/>
      <c r="E302" s="383"/>
      <c r="F302" s="536"/>
      <c r="G302" s="536"/>
      <c r="H302" s="383"/>
      <c r="I302" s="383"/>
      <c r="J302" s="38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 s="383"/>
      <c r="V302" s="383"/>
      <c r="W302" s="383"/>
      <c r="X302" s="383"/>
      <c r="Y302" s="383"/>
      <c r="Z302" s="383"/>
    </row>
    <row r="303" ht="12.75" customHeight="1">
      <c r="A303" s="383"/>
      <c r="B303" s="383"/>
      <c r="C303" s="383"/>
      <c r="D303" s="383"/>
      <c r="E303" s="383"/>
      <c r="F303" s="536"/>
      <c r="G303" s="536"/>
      <c r="H303" s="383"/>
      <c r="I303" s="383"/>
      <c r="J303" s="383"/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 s="383"/>
      <c r="V303" s="383"/>
      <c r="W303" s="383"/>
      <c r="X303" s="383"/>
      <c r="Y303" s="383"/>
      <c r="Z303" s="383"/>
    </row>
    <row r="304" ht="12.75" customHeight="1">
      <c r="A304" s="383"/>
      <c r="B304" s="383"/>
      <c r="C304" s="383"/>
      <c r="D304" s="383"/>
      <c r="E304" s="383"/>
      <c r="F304" s="536"/>
      <c r="G304" s="536"/>
      <c r="H304" s="383"/>
      <c r="I304" s="383"/>
      <c r="J304" s="383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 s="383"/>
      <c r="V304" s="383"/>
      <c r="W304" s="383"/>
      <c r="X304" s="383"/>
      <c r="Y304" s="383"/>
      <c r="Z304" s="383"/>
    </row>
    <row r="305" ht="12.75" customHeight="1">
      <c r="A305" s="383"/>
      <c r="B305" s="383"/>
      <c r="C305" s="383"/>
      <c r="D305" s="383"/>
      <c r="E305" s="383"/>
      <c r="F305" s="536"/>
      <c r="G305" s="536"/>
      <c r="H305" s="383"/>
      <c r="I305" s="383"/>
      <c r="J305" s="383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 s="383"/>
      <c r="V305" s="383"/>
      <c r="W305" s="383"/>
      <c r="X305" s="383"/>
      <c r="Y305" s="383"/>
      <c r="Z305" s="383"/>
    </row>
    <row r="306" ht="12.75" customHeight="1">
      <c r="A306" s="383"/>
      <c r="B306" s="383"/>
      <c r="C306" s="383"/>
      <c r="D306" s="383"/>
      <c r="E306" s="383"/>
      <c r="F306" s="536"/>
      <c r="G306" s="536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383"/>
      <c r="W306" s="383"/>
      <c r="X306" s="383"/>
      <c r="Y306" s="383"/>
      <c r="Z306" s="383"/>
    </row>
    <row r="307" ht="12.75" customHeight="1">
      <c r="A307" s="383"/>
      <c r="B307" s="383"/>
      <c r="C307" s="383"/>
      <c r="D307" s="383"/>
      <c r="E307" s="383"/>
      <c r="F307" s="536"/>
      <c r="G307" s="536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383"/>
      <c r="W307" s="383"/>
      <c r="X307" s="383"/>
      <c r="Y307" s="383"/>
      <c r="Z307" s="383"/>
    </row>
    <row r="308" ht="12.75" customHeight="1">
      <c r="A308" s="383"/>
      <c r="B308" s="383"/>
      <c r="C308" s="383"/>
      <c r="D308" s="383"/>
      <c r="E308" s="383"/>
      <c r="F308" s="536"/>
      <c r="G308" s="536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383"/>
      <c r="W308" s="383"/>
      <c r="X308" s="383"/>
      <c r="Y308" s="383"/>
      <c r="Z308" s="383"/>
    </row>
    <row r="309" ht="12.75" customHeight="1">
      <c r="A309" s="383"/>
      <c r="B309" s="383"/>
      <c r="C309" s="383"/>
      <c r="D309" s="383"/>
      <c r="E309" s="383"/>
      <c r="F309" s="536"/>
      <c r="G309" s="536"/>
      <c r="H309" s="383"/>
      <c r="I309" s="383"/>
      <c r="J309" s="383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 s="383"/>
      <c r="V309" s="383"/>
      <c r="W309" s="383"/>
      <c r="X309" s="383"/>
      <c r="Y309" s="383"/>
      <c r="Z309" s="383"/>
    </row>
    <row r="310" ht="12.75" customHeight="1">
      <c r="A310" s="383"/>
      <c r="B310" s="383"/>
      <c r="C310" s="383"/>
      <c r="D310" s="383"/>
      <c r="E310" s="383"/>
      <c r="F310" s="536"/>
      <c r="G310" s="536"/>
      <c r="H310" s="383"/>
      <c r="I310" s="383"/>
      <c r="J310" s="38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 s="383"/>
      <c r="V310" s="383"/>
      <c r="W310" s="383"/>
      <c r="X310" s="383"/>
      <c r="Y310" s="383"/>
      <c r="Z310" s="383"/>
    </row>
    <row r="311" ht="12.75" customHeight="1">
      <c r="A311" s="383"/>
      <c r="B311" s="383"/>
      <c r="C311" s="383"/>
      <c r="D311" s="383"/>
      <c r="E311" s="383"/>
      <c r="F311" s="536"/>
      <c r="G311" s="536"/>
      <c r="H311" s="383"/>
      <c r="I311" s="383"/>
      <c r="J311" s="383"/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3"/>
      <c r="V311" s="383"/>
      <c r="W311" s="383"/>
      <c r="X311" s="383"/>
      <c r="Y311" s="383"/>
      <c r="Z311" s="383"/>
    </row>
    <row r="312" ht="12.75" customHeight="1">
      <c r="A312" s="383"/>
      <c r="B312" s="383"/>
      <c r="C312" s="383"/>
      <c r="D312" s="383"/>
      <c r="E312" s="383"/>
      <c r="F312" s="536"/>
      <c r="G312" s="536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 s="383"/>
      <c r="V312" s="383"/>
      <c r="W312" s="383"/>
      <c r="X312" s="383"/>
      <c r="Y312" s="383"/>
      <c r="Z312" s="383"/>
    </row>
    <row r="313" ht="12.75" customHeight="1">
      <c r="A313" s="383"/>
      <c r="B313" s="383"/>
      <c r="C313" s="383"/>
      <c r="D313" s="383"/>
      <c r="E313" s="383"/>
      <c r="F313" s="536"/>
      <c r="G313" s="536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 s="383"/>
      <c r="V313" s="383"/>
      <c r="W313" s="383"/>
      <c r="X313" s="383"/>
      <c r="Y313" s="383"/>
      <c r="Z313" s="383"/>
    </row>
    <row r="314" ht="12.75" customHeight="1">
      <c r="A314" s="383"/>
      <c r="B314" s="383"/>
      <c r="C314" s="383"/>
      <c r="D314" s="383"/>
      <c r="E314" s="383"/>
      <c r="F314" s="536"/>
      <c r="G314" s="536"/>
      <c r="H314" s="383"/>
      <c r="I314" s="383"/>
      <c r="J314" s="383"/>
      <c r="K314" s="383"/>
      <c r="L314" s="383"/>
      <c r="M314" s="383"/>
      <c r="N314" s="383"/>
      <c r="O314" s="383"/>
      <c r="P314" s="383"/>
      <c r="Q314" s="383"/>
      <c r="R314" s="383"/>
      <c r="S314" s="383"/>
      <c r="T314" s="383"/>
      <c r="U314" s="383"/>
      <c r="V314" s="383"/>
      <c r="W314" s="383"/>
      <c r="X314" s="383"/>
      <c r="Y314" s="383"/>
      <c r="Z314" s="383"/>
    </row>
    <row r="315" ht="12.75" customHeight="1">
      <c r="A315" s="383"/>
      <c r="B315" s="383"/>
      <c r="C315" s="383"/>
      <c r="D315" s="383"/>
      <c r="E315" s="383"/>
      <c r="F315" s="536"/>
      <c r="G315" s="536"/>
      <c r="H315" s="38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 s="383"/>
      <c r="V315" s="383"/>
      <c r="W315" s="383"/>
      <c r="X315" s="383"/>
      <c r="Y315" s="383"/>
      <c r="Z315" s="383"/>
    </row>
    <row r="316" ht="12.75" customHeight="1">
      <c r="A316" s="383"/>
      <c r="B316" s="383"/>
      <c r="C316" s="383"/>
      <c r="D316" s="383"/>
      <c r="E316" s="383"/>
      <c r="F316" s="536"/>
      <c r="G316" s="536"/>
      <c r="H316" s="383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 s="383"/>
      <c r="V316" s="383"/>
      <c r="W316" s="383"/>
      <c r="X316" s="383"/>
      <c r="Y316" s="383"/>
      <c r="Z316" s="383"/>
    </row>
    <row r="317" ht="12.75" customHeight="1">
      <c r="A317" s="383"/>
      <c r="B317" s="383"/>
      <c r="C317" s="383"/>
      <c r="D317" s="383"/>
      <c r="E317" s="383"/>
      <c r="F317" s="536"/>
      <c r="G317" s="536"/>
      <c r="H317" s="383"/>
      <c r="I317" s="383"/>
      <c r="J317" s="383"/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 s="383"/>
      <c r="V317" s="383"/>
      <c r="W317" s="383"/>
      <c r="X317" s="383"/>
      <c r="Y317" s="383"/>
      <c r="Z317" s="383"/>
    </row>
    <row r="318" ht="12.75" customHeight="1">
      <c r="A318" s="383"/>
      <c r="B318" s="383"/>
      <c r="C318" s="383"/>
      <c r="D318" s="383"/>
      <c r="E318" s="383"/>
      <c r="F318" s="536"/>
      <c r="G318" s="536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 s="383"/>
      <c r="V318" s="383"/>
      <c r="W318" s="383"/>
      <c r="X318" s="383"/>
      <c r="Y318" s="383"/>
      <c r="Z318" s="383"/>
    </row>
    <row r="319" ht="12.75" customHeight="1">
      <c r="A319" s="383"/>
      <c r="B319" s="383"/>
      <c r="C319" s="383"/>
      <c r="D319" s="383"/>
      <c r="E319" s="383"/>
      <c r="F319" s="536"/>
      <c r="G319" s="536"/>
      <c r="H319" s="383"/>
      <c r="I319" s="383"/>
      <c r="J319" s="383"/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 s="383"/>
      <c r="V319" s="383"/>
      <c r="W319" s="383"/>
      <c r="X319" s="383"/>
      <c r="Y319" s="383"/>
      <c r="Z319" s="383"/>
    </row>
    <row r="320" ht="12.75" customHeight="1">
      <c r="A320" s="383"/>
      <c r="B320" s="383"/>
      <c r="C320" s="383"/>
      <c r="D320" s="383"/>
      <c r="E320" s="383"/>
      <c r="F320" s="536"/>
      <c r="G320" s="536"/>
      <c r="H320" s="383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383"/>
      <c r="W320" s="383"/>
      <c r="X320" s="383"/>
      <c r="Y320" s="383"/>
      <c r="Z320" s="383"/>
    </row>
    <row r="321" ht="12.75" customHeight="1">
      <c r="A321" s="383"/>
      <c r="B321" s="383"/>
      <c r="C321" s="383"/>
      <c r="D321" s="383"/>
      <c r="E321" s="383"/>
      <c r="F321" s="536"/>
      <c r="G321" s="536"/>
      <c r="H321" s="383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383"/>
      <c r="W321" s="383"/>
      <c r="X321" s="383"/>
      <c r="Y321" s="383"/>
      <c r="Z321" s="383"/>
    </row>
    <row r="322" ht="12.75" customHeight="1">
      <c r="A322" s="383"/>
      <c r="B322" s="383"/>
      <c r="C322" s="383"/>
      <c r="D322" s="383"/>
      <c r="E322" s="383"/>
      <c r="F322" s="536"/>
      <c r="G322" s="536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383"/>
      <c r="W322" s="383"/>
      <c r="X322" s="383"/>
      <c r="Y322" s="383"/>
      <c r="Z322" s="383"/>
    </row>
    <row r="323" ht="12.75" customHeight="1">
      <c r="A323" s="383"/>
      <c r="B323" s="383"/>
      <c r="C323" s="383"/>
      <c r="D323" s="383"/>
      <c r="E323" s="383"/>
      <c r="F323" s="536"/>
      <c r="G323" s="536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383"/>
      <c r="X323" s="383"/>
      <c r="Y323" s="383"/>
      <c r="Z323" s="383"/>
    </row>
    <row r="324" ht="12.75" customHeight="1">
      <c r="A324" s="383"/>
      <c r="B324" s="383"/>
      <c r="C324" s="383"/>
      <c r="D324" s="383"/>
      <c r="E324" s="383"/>
      <c r="F324" s="536"/>
      <c r="G324" s="536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383"/>
      <c r="W324" s="383"/>
      <c r="X324" s="383"/>
      <c r="Y324" s="383"/>
      <c r="Z324" s="383"/>
    </row>
    <row r="325" ht="12.75" customHeight="1">
      <c r="A325" s="383"/>
      <c r="B325" s="383"/>
      <c r="C325" s="383"/>
      <c r="D325" s="383"/>
      <c r="E325" s="383"/>
      <c r="F325" s="536"/>
      <c r="G325" s="536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383"/>
      <c r="W325" s="383"/>
      <c r="X325" s="383"/>
      <c r="Y325" s="383"/>
      <c r="Z325" s="383"/>
    </row>
    <row r="326" ht="12.75" customHeight="1">
      <c r="A326" s="383"/>
      <c r="B326" s="383"/>
      <c r="C326" s="383"/>
      <c r="D326" s="383"/>
      <c r="E326" s="383"/>
      <c r="F326" s="536"/>
      <c r="G326" s="536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383"/>
      <c r="W326" s="383"/>
      <c r="X326" s="383"/>
      <c r="Y326" s="383"/>
      <c r="Z326" s="383"/>
    </row>
    <row r="327" ht="12.75" customHeight="1">
      <c r="A327" s="383"/>
      <c r="B327" s="383"/>
      <c r="C327" s="383"/>
      <c r="D327" s="383"/>
      <c r="E327" s="383"/>
      <c r="F327" s="536"/>
      <c r="G327" s="536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383"/>
      <c r="W327" s="383"/>
      <c r="X327" s="383"/>
      <c r="Y327" s="383"/>
      <c r="Z327" s="383"/>
    </row>
    <row r="328" ht="12.75" customHeight="1">
      <c r="A328" s="383"/>
      <c r="B328" s="383"/>
      <c r="C328" s="383"/>
      <c r="D328" s="383"/>
      <c r="E328" s="383"/>
      <c r="F328" s="536"/>
      <c r="G328" s="536"/>
      <c r="H328" s="383"/>
      <c r="I328" s="383"/>
      <c r="J328" s="383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 s="383"/>
      <c r="V328" s="383"/>
      <c r="W328" s="383"/>
      <c r="X328" s="383"/>
      <c r="Y328" s="383"/>
      <c r="Z328" s="383"/>
    </row>
    <row r="329" ht="12.75" customHeight="1">
      <c r="A329" s="383"/>
      <c r="B329" s="383"/>
      <c r="C329" s="383"/>
      <c r="D329" s="383"/>
      <c r="E329" s="383"/>
      <c r="F329" s="536"/>
      <c r="G329" s="536"/>
      <c r="H329" s="383"/>
      <c r="I329" s="383"/>
      <c r="J329" s="383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 s="383"/>
      <c r="V329" s="383"/>
      <c r="W329" s="383"/>
      <c r="X329" s="383"/>
      <c r="Y329" s="383"/>
      <c r="Z329" s="383"/>
    </row>
    <row r="330" ht="12.75" customHeight="1">
      <c r="A330" s="383"/>
      <c r="B330" s="383"/>
      <c r="C330" s="383"/>
      <c r="D330" s="383"/>
      <c r="E330" s="383"/>
      <c r="F330" s="536"/>
      <c r="G330" s="536"/>
      <c r="H330" s="383"/>
      <c r="I330" s="383"/>
      <c r="J330" s="383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 s="383"/>
      <c r="V330" s="383"/>
      <c r="W330" s="383"/>
      <c r="X330" s="383"/>
      <c r="Y330" s="383"/>
      <c r="Z330" s="383"/>
    </row>
    <row r="331" ht="12.75" customHeight="1">
      <c r="A331" s="383"/>
      <c r="B331" s="383"/>
      <c r="C331" s="383"/>
      <c r="D331" s="383"/>
      <c r="E331" s="383"/>
      <c r="F331" s="536"/>
      <c r="G331" s="536"/>
      <c r="H331" s="383"/>
      <c r="I331" s="383"/>
      <c r="J331" s="383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 s="383"/>
      <c r="V331" s="383"/>
      <c r="W331" s="383"/>
      <c r="X331" s="383"/>
      <c r="Y331" s="383"/>
      <c r="Z331" s="383"/>
    </row>
    <row r="332" ht="12.75" customHeight="1">
      <c r="A332" s="383"/>
      <c r="B332" s="383"/>
      <c r="C332" s="383"/>
      <c r="D332" s="383"/>
      <c r="E332" s="383"/>
      <c r="F332" s="536"/>
      <c r="G332" s="536"/>
      <c r="H332" s="383"/>
      <c r="I332" s="383"/>
      <c r="J332" s="383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 s="383"/>
      <c r="V332" s="383"/>
      <c r="W332" s="383"/>
      <c r="X332" s="383"/>
      <c r="Y332" s="383"/>
      <c r="Z332" s="383"/>
    </row>
    <row r="333" ht="12.75" customHeight="1">
      <c r="A333" s="383"/>
      <c r="B333" s="383"/>
      <c r="C333" s="383"/>
      <c r="D333" s="383"/>
      <c r="E333" s="383"/>
      <c r="F333" s="536"/>
      <c r="G333" s="536"/>
      <c r="H333" s="383"/>
      <c r="I333" s="383"/>
      <c r="J333" s="383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 s="383"/>
      <c r="V333" s="383"/>
      <c r="W333" s="383"/>
      <c r="X333" s="383"/>
      <c r="Y333" s="383"/>
      <c r="Z333" s="383"/>
    </row>
    <row r="334" ht="12.75" customHeight="1">
      <c r="A334" s="383"/>
      <c r="B334" s="383"/>
      <c r="C334" s="383"/>
      <c r="D334" s="383"/>
      <c r="E334" s="383"/>
      <c r="F334" s="536"/>
      <c r="G334" s="536"/>
      <c r="H334" s="383"/>
      <c r="I334" s="383"/>
      <c r="J334" s="383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 s="383"/>
      <c r="V334" s="383"/>
      <c r="W334" s="383"/>
      <c r="X334" s="383"/>
      <c r="Y334" s="383"/>
      <c r="Z334" s="383"/>
    </row>
    <row r="335" ht="12.75" customHeight="1">
      <c r="A335" s="383"/>
      <c r="B335" s="383"/>
      <c r="C335" s="383"/>
      <c r="D335" s="383"/>
      <c r="E335" s="383"/>
      <c r="F335" s="536"/>
      <c r="G335" s="536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 s="383"/>
      <c r="V335" s="383"/>
      <c r="W335" s="383"/>
      <c r="X335" s="383"/>
      <c r="Y335" s="383"/>
      <c r="Z335" s="383"/>
    </row>
    <row r="336" ht="12.75" customHeight="1">
      <c r="A336" s="383"/>
      <c r="B336" s="383"/>
      <c r="C336" s="383"/>
      <c r="D336" s="383"/>
      <c r="E336" s="383"/>
      <c r="F336" s="536"/>
      <c r="G336" s="536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 s="383"/>
      <c r="V336" s="383"/>
      <c r="W336" s="383"/>
      <c r="X336" s="383"/>
      <c r="Y336" s="383"/>
      <c r="Z336" s="383"/>
    </row>
    <row r="337" ht="12.75" customHeight="1">
      <c r="A337" s="383"/>
      <c r="B337" s="383"/>
      <c r="C337" s="383"/>
      <c r="D337" s="383"/>
      <c r="E337" s="383"/>
      <c r="F337" s="536"/>
      <c r="G337" s="536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 s="383"/>
      <c r="V337" s="383"/>
      <c r="W337" s="383"/>
      <c r="X337" s="383"/>
      <c r="Y337" s="383"/>
      <c r="Z337" s="383"/>
    </row>
    <row r="338" ht="12.75" customHeight="1">
      <c r="A338" s="383"/>
      <c r="B338" s="383"/>
      <c r="C338" s="383"/>
      <c r="D338" s="383"/>
      <c r="E338" s="383"/>
      <c r="F338" s="536"/>
      <c r="G338" s="536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 s="383"/>
      <c r="V338" s="383"/>
      <c r="W338" s="383"/>
      <c r="X338" s="383"/>
      <c r="Y338" s="383"/>
      <c r="Z338" s="383"/>
    </row>
    <row r="339" ht="12.75" customHeight="1">
      <c r="A339" s="383"/>
      <c r="B339" s="383"/>
      <c r="C339" s="383"/>
      <c r="D339" s="383"/>
      <c r="E339" s="383"/>
      <c r="F339" s="536"/>
      <c r="G339" s="536"/>
      <c r="H339" s="383"/>
      <c r="I339" s="383"/>
      <c r="J339" s="383"/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 s="383"/>
      <c r="V339" s="383"/>
      <c r="W339" s="383"/>
      <c r="X339" s="383"/>
      <c r="Y339" s="383"/>
      <c r="Z339" s="383"/>
    </row>
    <row r="340" ht="12.75" customHeight="1">
      <c r="A340" s="383"/>
      <c r="B340" s="383"/>
      <c r="C340" s="383"/>
      <c r="D340" s="383"/>
      <c r="E340" s="383"/>
      <c r="F340" s="536"/>
      <c r="G340" s="536"/>
      <c r="H340" s="38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 s="383"/>
      <c r="V340" s="383"/>
      <c r="W340" s="383"/>
      <c r="X340" s="383"/>
      <c r="Y340" s="383"/>
      <c r="Z340" s="383"/>
    </row>
    <row r="341" ht="12.75" customHeight="1">
      <c r="A341" s="383"/>
      <c r="B341" s="383"/>
      <c r="C341" s="383"/>
      <c r="D341" s="383"/>
      <c r="E341" s="383"/>
      <c r="F341" s="536"/>
      <c r="G341" s="536"/>
      <c r="H341" s="383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 s="383"/>
      <c r="V341" s="383"/>
      <c r="W341" s="383"/>
      <c r="X341" s="383"/>
      <c r="Y341" s="383"/>
      <c r="Z341" s="383"/>
    </row>
    <row r="342" ht="12.75" customHeight="1">
      <c r="A342" s="383"/>
      <c r="B342" s="383"/>
      <c r="C342" s="383"/>
      <c r="D342" s="383"/>
      <c r="E342" s="383"/>
      <c r="F342" s="536"/>
      <c r="G342" s="536"/>
      <c r="H342" s="383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 s="383"/>
      <c r="V342" s="383"/>
      <c r="W342" s="383"/>
      <c r="X342" s="383"/>
      <c r="Y342" s="383"/>
      <c r="Z342" s="383"/>
    </row>
    <row r="343" ht="12.75" customHeight="1">
      <c r="A343" s="383"/>
      <c r="B343" s="383"/>
      <c r="C343" s="383"/>
      <c r="D343" s="383"/>
      <c r="E343" s="383"/>
      <c r="F343" s="536"/>
      <c r="G343" s="536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 s="383"/>
      <c r="V343" s="383"/>
      <c r="W343" s="383"/>
      <c r="X343" s="383"/>
      <c r="Y343" s="383"/>
      <c r="Z343" s="383"/>
    </row>
    <row r="344" ht="12.75" customHeight="1">
      <c r="A344" s="383"/>
      <c r="B344" s="383"/>
      <c r="C344" s="383"/>
      <c r="D344" s="383"/>
      <c r="E344" s="383"/>
      <c r="F344" s="536"/>
      <c r="G344" s="536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 s="383"/>
      <c r="V344" s="383"/>
      <c r="W344" s="383"/>
      <c r="X344" s="383"/>
      <c r="Y344" s="383"/>
      <c r="Z344" s="383"/>
    </row>
    <row r="345" ht="12.75" customHeight="1">
      <c r="A345" s="383"/>
      <c r="B345" s="383"/>
      <c r="C345" s="383"/>
      <c r="D345" s="383"/>
      <c r="E345" s="383"/>
      <c r="F345" s="536"/>
      <c r="G345" s="536"/>
      <c r="H345" s="383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 s="383"/>
      <c r="V345" s="383"/>
      <c r="W345" s="383"/>
      <c r="X345" s="383"/>
      <c r="Y345" s="383"/>
      <c r="Z345" s="383"/>
    </row>
    <row r="346" ht="12.75" customHeight="1">
      <c r="A346" s="383"/>
      <c r="B346" s="383"/>
      <c r="C346" s="383"/>
      <c r="D346" s="383"/>
      <c r="E346" s="383"/>
      <c r="F346" s="536"/>
      <c r="G346" s="536"/>
      <c r="H346" s="383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 s="383"/>
      <c r="V346" s="383"/>
      <c r="W346" s="383"/>
      <c r="X346" s="383"/>
      <c r="Y346" s="383"/>
      <c r="Z346" s="383"/>
    </row>
    <row r="347" ht="12.75" customHeight="1">
      <c r="A347" s="383"/>
      <c r="B347" s="383"/>
      <c r="C347" s="383"/>
      <c r="D347" s="383"/>
      <c r="E347" s="383"/>
      <c r="F347" s="536"/>
      <c r="G347" s="536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 s="383"/>
      <c r="V347" s="383"/>
      <c r="W347" s="383"/>
      <c r="X347" s="383"/>
      <c r="Y347" s="383"/>
      <c r="Z347" s="383"/>
    </row>
    <row r="348" ht="12.75" customHeight="1">
      <c r="A348" s="383"/>
      <c r="B348" s="383"/>
      <c r="C348" s="383"/>
      <c r="D348" s="383"/>
      <c r="E348" s="383"/>
      <c r="F348" s="536"/>
      <c r="G348" s="536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 s="383"/>
      <c r="V348" s="383"/>
      <c r="W348" s="383"/>
      <c r="X348" s="383"/>
      <c r="Y348" s="383"/>
      <c r="Z348" s="383"/>
    </row>
    <row r="349" ht="12.75" customHeight="1">
      <c r="A349" s="383"/>
      <c r="B349" s="383"/>
      <c r="C349" s="383"/>
      <c r="D349" s="383"/>
      <c r="E349" s="383"/>
      <c r="F349" s="536"/>
      <c r="G349" s="536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 s="383"/>
      <c r="V349" s="383"/>
      <c r="W349" s="383"/>
      <c r="X349" s="383"/>
      <c r="Y349" s="383"/>
      <c r="Z349" s="383"/>
    </row>
    <row r="350" ht="12.75" customHeight="1">
      <c r="A350" s="383"/>
      <c r="B350" s="383"/>
      <c r="C350" s="383"/>
      <c r="D350" s="383"/>
      <c r="E350" s="383"/>
      <c r="F350" s="536"/>
      <c r="G350" s="536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 s="383"/>
      <c r="V350" s="383"/>
      <c r="W350" s="383"/>
      <c r="X350" s="383"/>
      <c r="Y350" s="383"/>
      <c r="Z350" s="383"/>
    </row>
    <row r="351" ht="12.75" customHeight="1">
      <c r="A351" s="383"/>
      <c r="B351" s="383"/>
      <c r="C351" s="383"/>
      <c r="D351" s="383"/>
      <c r="E351" s="383"/>
      <c r="F351" s="536"/>
      <c r="G351" s="536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 s="383"/>
      <c r="V351" s="383"/>
      <c r="W351" s="383"/>
      <c r="X351" s="383"/>
      <c r="Y351" s="383"/>
      <c r="Z351" s="383"/>
    </row>
    <row r="352" ht="12.75" customHeight="1">
      <c r="A352" s="383"/>
      <c r="B352" s="383"/>
      <c r="C352" s="383"/>
      <c r="D352" s="383"/>
      <c r="E352" s="383"/>
      <c r="F352" s="536"/>
      <c r="G352" s="536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 s="383"/>
      <c r="V352" s="383"/>
      <c r="W352" s="383"/>
      <c r="X352" s="383"/>
      <c r="Y352" s="383"/>
      <c r="Z352" s="383"/>
    </row>
    <row r="353" ht="12.75" customHeight="1">
      <c r="A353" s="383"/>
      <c r="B353" s="383"/>
      <c r="C353" s="383"/>
      <c r="D353" s="383"/>
      <c r="E353" s="383"/>
      <c r="F353" s="536"/>
      <c r="G353" s="536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 s="383"/>
      <c r="V353" s="383"/>
      <c r="W353" s="383"/>
      <c r="X353" s="383"/>
      <c r="Y353" s="383"/>
      <c r="Z353" s="383"/>
    </row>
    <row r="354" ht="12.75" customHeight="1">
      <c r="A354" s="383"/>
      <c r="B354" s="383"/>
      <c r="C354" s="383"/>
      <c r="D354" s="383"/>
      <c r="E354" s="383"/>
      <c r="F354" s="536"/>
      <c r="G354" s="536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 s="383"/>
      <c r="V354" s="383"/>
      <c r="W354" s="383"/>
      <c r="X354" s="383"/>
      <c r="Y354" s="383"/>
      <c r="Z354" s="383"/>
    </row>
    <row r="355" ht="12.75" customHeight="1">
      <c r="A355" s="383"/>
      <c r="B355" s="383"/>
      <c r="C355" s="383"/>
      <c r="D355" s="383"/>
      <c r="E355" s="383"/>
      <c r="F355" s="536"/>
      <c r="G355" s="536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 s="383"/>
      <c r="V355" s="383"/>
      <c r="W355" s="383"/>
      <c r="X355" s="383"/>
      <c r="Y355" s="383"/>
      <c r="Z355" s="383"/>
    </row>
    <row r="356" ht="12.75" customHeight="1">
      <c r="A356" s="383"/>
      <c r="B356" s="383"/>
      <c r="C356" s="383"/>
      <c r="D356" s="383"/>
      <c r="E356" s="383"/>
      <c r="F356" s="536"/>
      <c r="G356" s="536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383"/>
      <c r="X356" s="383"/>
      <c r="Y356" s="383"/>
      <c r="Z356" s="383"/>
    </row>
    <row r="357" ht="12.75" customHeight="1">
      <c r="A357" s="383"/>
      <c r="B357" s="383"/>
      <c r="C357" s="383"/>
      <c r="D357" s="383"/>
      <c r="E357" s="383"/>
      <c r="F357" s="536"/>
      <c r="G357" s="536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 s="383"/>
      <c r="V357" s="383"/>
      <c r="W357" s="383"/>
      <c r="X357" s="383"/>
      <c r="Y357" s="383"/>
      <c r="Z357" s="383"/>
    </row>
    <row r="358" ht="12.75" customHeight="1">
      <c r="A358" s="383"/>
      <c r="B358" s="383"/>
      <c r="C358" s="383"/>
      <c r="D358" s="383"/>
      <c r="E358" s="383"/>
      <c r="F358" s="536"/>
      <c r="G358" s="536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 s="383"/>
      <c r="V358" s="383"/>
      <c r="W358" s="383"/>
      <c r="X358" s="383"/>
      <c r="Y358" s="383"/>
      <c r="Z358" s="383"/>
    </row>
    <row r="359" ht="12.75" customHeight="1">
      <c r="A359" s="383"/>
      <c r="B359" s="383"/>
      <c r="C359" s="383"/>
      <c r="D359" s="383"/>
      <c r="E359" s="383"/>
      <c r="F359" s="536"/>
      <c r="G359" s="536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 s="383"/>
      <c r="V359" s="383"/>
      <c r="W359" s="383"/>
      <c r="X359" s="383"/>
      <c r="Y359" s="383"/>
      <c r="Z359" s="383"/>
    </row>
    <row r="360" ht="12.75" customHeight="1">
      <c r="A360" s="383"/>
      <c r="B360" s="383"/>
      <c r="C360" s="383"/>
      <c r="D360" s="383"/>
      <c r="E360" s="383"/>
      <c r="F360" s="536"/>
      <c r="G360" s="536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 s="383"/>
      <c r="V360" s="383"/>
      <c r="W360" s="383"/>
      <c r="X360" s="383"/>
      <c r="Y360" s="383"/>
      <c r="Z360" s="383"/>
    </row>
    <row r="361" ht="12.75" customHeight="1">
      <c r="A361" s="383"/>
      <c r="B361" s="383"/>
      <c r="C361" s="383"/>
      <c r="D361" s="383"/>
      <c r="E361" s="383"/>
      <c r="F361" s="536"/>
      <c r="G361" s="536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 s="383"/>
      <c r="V361" s="383"/>
      <c r="W361" s="383"/>
      <c r="X361" s="383"/>
      <c r="Y361" s="383"/>
      <c r="Z361" s="383"/>
    </row>
    <row r="362" ht="12.75" customHeight="1">
      <c r="A362" s="383"/>
      <c r="B362" s="383"/>
      <c r="C362" s="383"/>
      <c r="D362" s="383"/>
      <c r="E362" s="383"/>
      <c r="F362" s="536"/>
      <c r="G362" s="536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 s="383"/>
      <c r="V362" s="383"/>
      <c r="W362" s="383"/>
      <c r="X362" s="383"/>
      <c r="Y362" s="383"/>
      <c r="Z362" s="383"/>
    </row>
    <row r="363" ht="12.75" customHeight="1">
      <c r="A363" s="383"/>
      <c r="B363" s="383"/>
      <c r="C363" s="383"/>
      <c r="D363" s="383"/>
      <c r="E363" s="383"/>
      <c r="F363" s="536"/>
      <c r="G363" s="536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 s="383"/>
      <c r="V363" s="383"/>
      <c r="W363" s="383"/>
      <c r="X363" s="383"/>
      <c r="Y363" s="383"/>
      <c r="Z363" s="383"/>
    </row>
    <row r="364" ht="12.75" customHeight="1">
      <c r="A364" s="383"/>
      <c r="B364" s="383"/>
      <c r="C364" s="383"/>
      <c r="D364" s="383"/>
      <c r="E364" s="383"/>
      <c r="F364" s="536"/>
      <c r="G364" s="536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 s="383"/>
      <c r="V364" s="383"/>
      <c r="W364" s="383"/>
      <c r="X364" s="383"/>
      <c r="Y364" s="383"/>
      <c r="Z364" s="383"/>
    </row>
    <row r="365" ht="12.75" customHeight="1">
      <c r="A365" s="383"/>
      <c r="B365" s="383"/>
      <c r="C365" s="383"/>
      <c r="D365" s="383"/>
      <c r="E365" s="383"/>
      <c r="F365" s="536"/>
      <c r="G365" s="536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 s="383"/>
      <c r="V365" s="383"/>
      <c r="W365" s="383"/>
      <c r="X365" s="383"/>
      <c r="Y365" s="383"/>
      <c r="Z365" s="383"/>
    </row>
    <row r="366" ht="12.75" customHeight="1">
      <c r="A366" s="383"/>
      <c r="B366" s="383"/>
      <c r="C366" s="383"/>
      <c r="D366" s="383"/>
      <c r="E366" s="383"/>
      <c r="F366" s="536"/>
      <c r="G366" s="536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 s="383"/>
      <c r="V366" s="383"/>
      <c r="W366" s="383"/>
      <c r="X366" s="383"/>
      <c r="Y366" s="383"/>
      <c r="Z366" s="383"/>
    </row>
    <row r="367" ht="12.75" customHeight="1">
      <c r="A367" s="383"/>
      <c r="B367" s="383"/>
      <c r="C367" s="383"/>
      <c r="D367" s="383"/>
      <c r="E367" s="383"/>
      <c r="F367" s="536"/>
      <c r="G367" s="536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 s="383"/>
      <c r="V367" s="383"/>
      <c r="W367" s="383"/>
      <c r="X367" s="383"/>
      <c r="Y367" s="383"/>
      <c r="Z367" s="383"/>
    </row>
    <row r="368" ht="12.75" customHeight="1">
      <c r="A368" s="383"/>
      <c r="B368" s="383"/>
      <c r="C368" s="383"/>
      <c r="D368" s="383"/>
      <c r="E368" s="383"/>
      <c r="F368" s="536"/>
      <c r="G368" s="536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 s="383"/>
      <c r="V368" s="383"/>
      <c r="W368" s="383"/>
      <c r="X368" s="383"/>
      <c r="Y368" s="383"/>
      <c r="Z368" s="383"/>
    </row>
    <row r="369" ht="12.75" customHeight="1">
      <c r="A369" s="383"/>
      <c r="B369" s="383"/>
      <c r="C369" s="383"/>
      <c r="D369" s="383"/>
      <c r="E369" s="383"/>
      <c r="F369" s="536"/>
      <c r="G369" s="536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 s="383"/>
      <c r="V369" s="383"/>
      <c r="W369" s="383"/>
      <c r="X369" s="383"/>
      <c r="Y369" s="383"/>
      <c r="Z369" s="383"/>
    </row>
    <row r="370" ht="12.75" customHeight="1">
      <c r="A370" s="383"/>
      <c r="B370" s="383"/>
      <c r="C370" s="383"/>
      <c r="D370" s="383"/>
      <c r="E370" s="383"/>
      <c r="F370" s="536"/>
      <c r="G370" s="536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 s="383"/>
      <c r="V370" s="383"/>
      <c r="W370" s="383"/>
      <c r="X370" s="383"/>
      <c r="Y370" s="383"/>
      <c r="Z370" s="383"/>
    </row>
    <row r="371" ht="12.75" customHeight="1">
      <c r="A371" s="383"/>
      <c r="B371" s="383"/>
      <c r="C371" s="383"/>
      <c r="D371" s="383"/>
      <c r="E371" s="383"/>
      <c r="F371" s="536"/>
      <c r="G371" s="536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 s="383"/>
      <c r="V371" s="383"/>
      <c r="W371" s="383"/>
      <c r="X371" s="383"/>
      <c r="Y371" s="383"/>
      <c r="Z371" s="383"/>
    </row>
    <row r="372" ht="12.75" customHeight="1">
      <c r="A372" s="383"/>
      <c r="B372" s="383"/>
      <c r="C372" s="383"/>
      <c r="D372" s="383"/>
      <c r="E372" s="383"/>
      <c r="F372" s="536"/>
      <c r="G372" s="536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 s="383"/>
      <c r="V372" s="383"/>
      <c r="W372" s="383"/>
      <c r="X372" s="383"/>
      <c r="Y372" s="383"/>
      <c r="Z372" s="383"/>
    </row>
    <row r="373" ht="12.75" customHeight="1">
      <c r="A373" s="383"/>
      <c r="B373" s="383"/>
      <c r="C373" s="383"/>
      <c r="D373" s="383"/>
      <c r="E373" s="383"/>
      <c r="F373" s="536"/>
      <c r="G373" s="536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 s="383"/>
      <c r="V373" s="383"/>
      <c r="W373" s="383"/>
      <c r="X373" s="383"/>
      <c r="Y373" s="383"/>
      <c r="Z373" s="383"/>
    </row>
    <row r="374" ht="12.75" customHeight="1">
      <c r="A374" s="383"/>
      <c r="B374" s="383"/>
      <c r="C374" s="383"/>
      <c r="D374" s="383"/>
      <c r="E374" s="383"/>
      <c r="F374" s="536"/>
      <c r="G374" s="536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383"/>
      <c r="X374" s="383"/>
      <c r="Y374" s="383"/>
      <c r="Z374" s="383"/>
    </row>
    <row r="375" ht="12.75" customHeight="1">
      <c r="A375" s="383"/>
      <c r="B375" s="383"/>
      <c r="C375" s="383"/>
      <c r="D375" s="383"/>
      <c r="E375" s="383"/>
      <c r="F375" s="536"/>
      <c r="G375" s="536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 s="383"/>
      <c r="V375" s="383"/>
      <c r="W375" s="383"/>
      <c r="X375" s="383"/>
      <c r="Y375" s="383"/>
      <c r="Z375" s="383"/>
    </row>
    <row r="376" ht="12.75" customHeight="1">
      <c r="A376" s="383"/>
      <c r="B376" s="383"/>
      <c r="C376" s="383"/>
      <c r="D376" s="383"/>
      <c r="E376" s="383"/>
      <c r="F376" s="536"/>
      <c r="G376" s="536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 s="383"/>
      <c r="V376" s="383"/>
      <c r="W376" s="383"/>
      <c r="X376" s="383"/>
      <c r="Y376" s="383"/>
      <c r="Z376" s="383"/>
    </row>
    <row r="377" ht="12.75" customHeight="1">
      <c r="A377" s="383"/>
      <c r="B377" s="383"/>
      <c r="C377" s="383"/>
      <c r="D377" s="383"/>
      <c r="E377" s="383"/>
      <c r="F377" s="536"/>
      <c r="G377" s="536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 s="383"/>
      <c r="V377" s="383"/>
      <c r="W377" s="383"/>
      <c r="X377" s="383"/>
      <c r="Y377" s="383"/>
      <c r="Z377" s="383"/>
    </row>
    <row r="378" ht="12.75" customHeight="1">
      <c r="A378" s="383"/>
      <c r="B378" s="383"/>
      <c r="C378" s="383"/>
      <c r="D378" s="383"/>
      <c r="E378" s="383"/>
      <c r="F378" s="536"/>
      <c r="G378" s="536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 s="383"/>
      <c r="V378" s="383"/>
      <c r="W378" s="383"/>
      <c r="X378" s="383"/>
      <c r="Y378" s="383"/>
      <c r="Z378" s="383"/>
    </row>
    <row r="379" ht="12.75" customHeight="1">
      <c r="A379" s="383"/>
      <c r="B379" s="383"/>
      <c r="C379" s="383"/>
      <c r="D379" s="383"/>
      <c r="E379" s="383"/>
      <c r="F379" s="536"/>
      <c r="G379" s="536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 s="383"/>
      <c r="V379" s="383"/>
      <c r="W379" s="383"/>
      <c r="X379" s="383"/>
      <c r="Y379" s="383"/>
      <c r="Z379" s="383"/>
    </row>
    <row r="380" ht="12.75" customHeight="1">
      <c r="A380" s="383"/>
      <c r="B380" s="383"/>
      <c r="C380" s="383"/>
      <c r="D380" s="383"/>
      <c r="E380" s="383"/>
      <c r="F380" s="536"/>
      <c r="G380" s="536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 s="383"/>
      <c r="V380" s="383"/>
      <c r="W380" s="383"/>
      <c r="X380" s="383"/>
      <c r="Y380" s="383"/>
      <c r="Z380" s="383"/>
    </row>
    <row r="381" ht="12.75" customHeight="1">
      <c r="A381" s="383"/>
      <c r="B381" s="383"/>
      <c r="C381" s="383"/>
      <c r="D381" s="383"/>
      <c r="E381" s="383"/>
      <c r="F381" s="536"/>
      <c r="G381" s="536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383"/>
      <c r="X381" s="383"/>
      <c r="Y381" s="383"/>
      <c r="Z381" s="383"/>
    </row>
    <row r="382" ht="12.75" customHeight="1">
      <c r="A382" s="383"/>
      <c r="B382" s="383"/>
      <c r="C382" s="383"/>
      <c r="D382" s="383"/>
      <c r="E382" s="383"/>
      <c r="F382" s="536"/>
      <c r="G382" s="536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  <c r="X382" s="383"/>
      <c r="Y382" s="383"/>
      <c r="Z382" s="383"/>
    </row>
    <row r="383" ht="12.75" customHeight="1">
      <c r="A383" s="383"/>
      <c r="B383" s="383"/>
      <c r="C383" s="383"/>
      <c r="D383" s="383"/>
      <c r="E383" s="383"/>
      <c r="F383" s="536"/>
      <c r="G383" s="536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383"/>
      <c r="X383" s="383"/>
      <c r="Y383" s="383"/>
      <c r="Z383" s="383"/>
    </row>
    <row r="384" ht="12.75" customHeight="1">
      <c r="A384" s="383"/>
      <c r="B384" s="383"/>
      <c r="C384" s="383"/>
      <c r="D384" s="383"/>
      <c r="E384" s="383"/>
      <c r="F384" s="536"/>
      <c r="G384" s="536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383"/>
      <c r="X384" s="383"/>
      <c r="Y384" s="383"/>
      <c r="Z384" s="383"/>
    </row>
    <row r="385" ht="12.75" customHeight="1">
      <c r="A385" s="383"/>
      <c r="B385" s="383"/>
      <c r="C385" s="383"/>
      <c r="D385" s="383"/>
      <c r="E385" s="383"/>
      <c r="F385" s="536"/>
      <c r="G385" s="536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 s="383"/>
      <c r="V385" s="383"/>
      <c r="W385" s="383"/>
      <c r="X385" s="383"/>
      <c r="Y385" s="383"/>
      <c r="Z385" s="383"/>
    </row>
    <row r="386" ht="12.75" customHeight="1">
      <c r="A386" s="383"/>
      <c r="B386" s="383"/>
      <c r="C386" s="383"/>
      <c r="D386" s="383"/>
      <c r="E386" s="383"/>
      <c r="F386" s="536"/>
      <c r="G386" s="536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 s="383"/>
      <c r="V386" s="383"/>
      <c r="W386" s="383"/>
      <c r="X386" s="383"/>
      <c r="Y386" s="383"/>
      <c r="Z386" s="383"/>
    </row>
    <row r="387" ht="12.75" customHeight="1">
      <c r="A387" s="383"/>
      <c r="B387" s="383"/>
      <c r="C387" s="383"/>
      <c r="D387" s="383"/>
      <c r="E387" s="383"/>
      <c r="F387" s="536"/>
      <c r="G387" s="536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 s="383"/>
      <c r="V387" s="383"/>
      <c r="W387" s="383"/>
      <c r="X387" s="383"/>
      <c r="Y387" s="383"/>
      <c r="Z387" s="383"/>
    </row>
    <row r="388" ht="12.75" customHeight="1">
      <c r="A388" s="383"/>
      <c r="B388" s="383"/>
      <c r="C388" s="383"/>
      <c r="D388" s="383"/>
      <c r="E388" s="383"/>
      <c r="F388" s="536"/>
      <c r="G388" s="536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 s="383"/>
      <c r="V388" s="383"/>
      <c r="W388" s="383"/>
      <c r="X388" s="383"/>
      <c r="Y388" s="383"/>
      <c r="Z388" s="383"/>
    </row>
    <row r="389" ht="12.75" customHeight="1">
      <c r="A389" s="383"/>
      <c r="B389" s="383"/>
      <c r="C389" s="383"/>
      <c r="D389" s="383"/>
      <c r="E389" s="383"/>
      <c r="F389" s="536"/>
      <c r="G389" s="536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 s="383"/>
      <c r="V389" s="383"/>
      <c r="W389" s="383"/>
      <c r="X389" s="383"/>
      <c r="Y389" s="383"/>
      <c r="Z389" s="383"/>
    </row>
    <row r="390" ht="12.75" customHeight="1">
      <c r="A390" s="383"/>
      <c r="B390" s="383"/>
      <c r="C390" s="383"/>
      <c r="D390" s="383"/>
      <c r="E390" s="383"/>
      <c r="F390" s="536"/>
      <c r="G390" s="536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 s="383"/>
      <c r="V390" s="383"/>
      <c r="W390" s="383"/>
      <c r="X390" s="383"/>
      <c r="Y390" s="383"/>
      <c r="Z390" s="383"/>
    </row>
    <row r="391" ht="12.75" customHeight="1">
      <c r="A391" s="383"/>
      <c r="B391" s="383"/>
      <c r="C391" s="383"/>
      <c r="D391" s="383"/>
      <c r="E391" s="383"/>
      <c r="F391" s="536"/>
      <c r="G391" s="536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 s="383"/>
      <c r="V391" s="383"/>
      <c r="W391" s="383"/>
      <c r="X391" s="383"/>
      <c r="Y391" s="383"/>
      <c r="Z391" s="383"/>
    </row>
    <row r="392" ht="12.75" customHeight="1">
      <c r="A392" s="383"/>
      <c r="B392" s="383"/>
      <c r="C392" s="383"/>
      <c r="D392" s="383"/>
      <c r="E392" s="383"/>
      <c r="F392" s="536"/>
      <c r="G392" s="536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 s="383"/>
      <c r="V392" s="383"/>
      <c r="W392" s="383"/>
      <c r="X392" s="383"/>
      <c r="Y392" s="383"/>
      <c r="Z392" s="383"/>
    </row>
    <row r="393" ht="12.75" customHeight="1">
      <c r="A393" s="383"/>
      <c r="B393" s="383"/>
      <c r="C393" s="383"/>
      <c r="D393" s="383"/>
      <c r="E393" s="383"/>
      <c r="F393" s="536"/>
      <c r="G393" s="536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 s="383"/>
      <c r="V393" s="383"/>
      <c r="W393" s="383"/>
      <c r="X393" s="383"/>
      <c r="Y393" s="383"/>
      <c r="Z393" s="383"/>
    </row>
    <row r="394" ht="12.75" customHeight="1">
      <c r="A394" s="383"/>
      <c r="B394" s="383"/>
      <c r="C394" s="383"/>
      <c r="D394" s="383"/>
      <c r="E394" s="383"/>
      <c r="F394" s="536"/>
      <c r="G394" s="536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 s="383"/>
      <c r="V394" s="383"/>
      <c r="W394" s="383"/>
      <c r="X394" s="383"/>
      <c r="Y394" s="383"/>
      <c r="Z394" s="383"/>
    </row>
    <row r="395" ht="12.75" customHeight="1">
      <c r="A395" s="383"/>
      <c r="B395" s="383"/>
      <c r="C395" s="383"/>
      <c r="D395" s="383"/>
      <c r="E395" s="383"/>
      <c r="F395" s="536"/>
      <c r="G395" s="536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 s="383"/>
      <c r="V395" s="383"/>
      <c r="W395" s="383"/>
      <c r="X395" s="383"/>
      <c r="Y395" s="383"/>
      <c r="Z395" s="383"/>
    </row>
    <row r="396" ht="12.75" customHeight="1">
      <c r="A396" s="383"/>
      <c r="B396" s="383"/>
      <c r="C396" s="383"/>
      <c r="D396" s="383"/>
      <c r="E396" s="383"/>
      <c r="F396" s="536"/>
      <c r="G396" s="536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 s="383"/>
      <c r="V396" s="383"/>
      <c r="W396" s="383"/>
      <c r="X396" s="383"/>
      <c r="Y396" s="383"/>
      <c r="Z396" s="383"/>
    </row>
    <row r="397" ht="12.75" customHeight="1">
      <c r="A397" s="383"/>
      <c r="B397" s="383"/>
      <c r="C397" s="383"/>
      <c r="D397" s="383"/>
      <c r="E397" s="383"/>
      <c r="F397" s="536"/>
      <c r="G397" s="536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 s="383"/>
      <c r="V397" s="383"/>
      <c r="W397" s="383"/>
      <c r="X397" s="383"/>
      <c r="Y397" s="383"/>
      <c r="Z397" s="383"/>
    </row>
    <row r="398" ht="12.75" customHeight="1">
      <c r="A398" s="383"/>
      <c r="B398" s="383"/>
      <c r="C398" s="383"/>
      <c r="D398" s="383"/>
      <c r="E398" s="383"/>
      <c r="F398" s="536"/>
      <c r="G398" s="536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 s="383"/>
      <c r="V398" s="383"/>
      <c r="W398" s="383"/>
      <c r="X398" s="383"/>
      <c r="Y398" s="383"/>
      <c r="Z398" s="383"/>
    </row>
    <row r="399" ht="12.75" customHeight="1">
      <c r="A399" s="383"/>
      <c r="B399" s="383"/>
      <c r="C399" s="383"/>
      <c r="D399" s="383"/>
      <c r="E399" s="383"/>
      <c r="F399" s="536"/>
      <c r="G399" s="536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 s="383"/>
      <c r="V399" s="383"/>
      <c r="W399" s="383"/>
      <c r="X399" s="383"/>
      <c r="Y399" s="383"/>
      <c r="Z399" s="383"/>
    </row>
    <row r="400" ht="12.75" customHeight="1">
      <c r="A400" s="383"/>
      <c r="B400" s="383"/>
      <c r="C400" s="383"/>
      <c r="D400" s="383"/>
      <c r="E400" s="383"/>
      <c r="F400" s="536"/>
      <c r="G400" s="536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 s="383"/>
      <c r="V400" s="383"/>
      <c r="W400" s="383"/>
      <c r="X400" s="383"/>
      <c r="Y400" s="383"/>
      <c r="Z400" s="383"/>
    </row>
    <row r="401" ht="12.75" customHeight="1">
      <c r="A401" s="383"/>
      <c r="B401" s="383"/>
      <c r="C401" s="383"/>
      <c r="D401" s="383"/>
      <c r="E401" s="383"/>
      <c r="F401" s="536"/>
      <c r="G401" s="536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 s="383"/>
      <c r="V401" s="383"/>
      <c r="W401" s="383"/>
      <c r="X401" s="383"/>
      <c r="Y401" s="383"/>
      <c r="Z401" s="383"/>
    </row>
    <row r="402" ht="12.75" customHeight="1">
      <c r="A402" s="383"/>
      <c r="B402" s="383"/>
      <c r="C402" s="383"/>
      <c r="D402" s="383"/>
      <c r="E402" s="383"/>
      <c r="F402" s="536"/>
      <c r="G402" s="536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 s="383"/>
      <c r="V402" s="383"/>
      <c r="W402" s="383"/>
      <c r="X402" s="383"/>
      <c r="Y402" s="383"/>
      <c r="Z402" s="383"/>
    </row>
    <row r="403" ht="12.75" customHeight="1">
      <c r="A403" s="383"/>
      <c r="B403" s="383"/>
      <c r="C403" s="383"/>
      <c r="D403" s="383"/>
      <c r="E403" s="383"/>
      <c r="F403" s="536"/>
      <c r="G403" s="536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 s="383"/>
      <c r="V403" s="383"/>
      <c r="W403" s="383"/>
      <c r="X403" s="383"/>
      <c r="Y403" s="383"/>
      <c r="Z403" s="383"/>
    </row>
    <row r="404" ht="12.75" customHeight="1">
      <c r="A404" s="383"/>
      <c r="B404" s="383"/>
      <c r="C404" s="383"/>
      <c r="D404" s="383"/>
      <c r="E404" s="383"/>
      <c r="F404" s="536"/>
      <c r="G404" s="536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 s="383"/>
      <c r="V404" s="383"/>
      <c r="W404" s="383"/>
      <c r="X404" s="383"/>
      <c r="Y404" s="383"/>
      <c r="Z404" s="383"/>
    </row>
    <row r="405" ht="12.75" customHeight="1">
      <c r="A405" s="383"/>
      <c r="B405" s="383"/>
      <c r="C405" s="383"/>
      <c r="D405" s="383"/>
      <c r="E405" s="383"/>
      <c r="F405" s="536"/>
      <c r="G405" s="536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 s="383"/>
      <c r="V405" s="383"/>
      <c r="W405" s="383"/>
      <c r="X405" s="383"/>
      <c r="Y405" s="383"/>
      <c r="Z405" s="383"/>
    </row>
    <row r="406" ht="12.75" customHeight="1">
      <c r="A406" s="383"/>
      <c r="B406" s="383"/>
      <c r="C406" s="383"/>
      <c r="D406" s="383"/>
      <c r="E406" s="383"/>
      <c r="F406" s="536"/>
      <c r="G406" s="536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 s="383"/>
      <c r="V406" s="383"/>
      <c r="W406" s="383"/>
      <c r="X406" s="383"/>
      <c r="Y406" s="383"/>
      <c r="Z406" s="383"/>
    </row>
    <row r="407" ht="12.75" customHeight="1">
      <c r="A407" s="383"/>
      <c r="B407" s="383"/>
      <c r="C407" s="383"/>
      <c r="D407" s="383"/>
      <c r="E407" s="383"/>
      <c r="F407" s="536"/>
      <c r="G407" s="536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 s="383"/>
      <c r="V407" s="383"/>
      <c r="W407" s="383"/>
      <c r="X407" s="383"/>
      <c r="Y407" s="383"/>
      <c r="Z407" s="383"/>
    </row>
    <row r="408" ht="12.75" customHeight="1">
      <c r="A408" s="383"/>
      <c r="B408" s="383"/>
      <c r="C408" s="383"/>
      <c r="D408" s="383"/>
      <c r="E408" s="383"/>
      <c r="F408" s="536"/>
      <c r="G408" s="536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 s="383"/>
      <c r="V408" s="383"/>
      <c r="W408" s="383"/>
      <c r="X408" s="383"/>
      <c r="Y408" s="383"/>
      <c r="Z408" s="383"/>
    </row>
    <row r="409" ht="12.75" customHeight="1">
      <c r="A409" s="383"/>
      <c r="B409" s="383"/>
      <c r="C409" s="383"/>
      <c r="D409" s="383"/>
      <c r="E409" s="383"/>
      <c r="F409" s="536"/>
      <c r="G409" s="536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 s="383"/>
      <c r="V409" s="383"/>
      <c r="W409" s="383"/>
      <c r="X409" s="383"/>
      <c r="Y409" s="383"/>
      <c r="Z409" s="383"/>
    </row>
    <row r="410" ht="12.75" customHeight="1">
      <c r="A410" s="383"/>
      <c r="B410" s="383"/>
      <c r="C410" s="383"/>
      <c r="D410" s="383"/>
      <c r="E410" s="383"/>
      <c r="F410" s="536"/>
      <c r="G410" s="536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 s="383"/>
      <c r="V410" s="383"/>
      <c r="W410" s="383"/>
      <c r="X410" s="383"/>
      <c r="Y410" s="383"/>
      <c r="Z410" s="383"/>
    </row>
    <row r="411" ht="12.75" customHeight="1">
      <c r="A411" s="383"/>
      <c r="B411" s="383"/>
      <c r="C411" s="383"/>
      <c r="D411" s="383"/>
      <c r="E411" s="383"/>
      <c r="F411" s="536"/>
      <c r="G411" s="536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 s="383"/>
      <c r="V411" s="383"/>
      <c r="W411" s="383"/>
      <c r="X411" s="383"/>
      <c r="Y411" s="383"/>
      <c r="Z411" s="383"/>
    </row>
    <row r="412" ht="12.75" customHeight="1">
      <c r="A412" s="383"/>
      <c r="B412" s="383"/>
      <c r="C412" s="383"/>
      <c r="D412" s="383"/>
      <c r="E412" s="383"/>
      <c r="F412" s="536"/>
      <c r="G412" s="536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 s="383"/>
      <c r="V412" s="383"/>
      <c r="W412" s="383"/>
      <c r="X412" s="383"/>
      <c r="Y412" s="383"/>
      <c r="Z412" s="383"/>
    </row>
    <row r="413" ht="12.75" customHeight="1">
      <c r="A413" s="383"/>
      <c r="B413" s="383"/>
      <c r="C413" s="383"/>
      <c r="D413" s="383"/>
      <c r="E413" s="383"/>
      <c r="F413" s="536"/>
      <c r="G413" s="536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 s="383"/>
      <c r="V413" s="383"/>
      <c r="W413" s="383"/>
      <c r="X413" s="383"/>
      <c r="Y413" s="383"/>
      <c r="Z413" s="383"/>
    </row>
    <row r="414" ht="12.75" customHeight="1">
      <c r="A414" s="383"/>
      <c r="B414" s="383"/>
      <c r="C414" s="383"/>
      <c r="D414" s="383"/>
      <c r="E414" s="383"/>
      <c r="F414" s="536"/>
      <c r="G414" s="536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 s="383"/>
      <c r="V414" s="383"/>
      <c r="W414" s="383"/>
      <c r="X414" s="383"/>
      <c r="Y414" s="383"/>
      <c r="Z414" s="383"/>
    </row>
    <row r="415" ht="12.75" customHeight="1">
      <c r="A415" s="383"/>
      <c r="B415" s="383"/>
      <c r="C415" s="383"/>
      <c r="D415" s="383"/>
      <c r="E415" s="383"/>
      <c r="F415" s="536"/>
      <c r="G415" s="536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 s="383"/>
      <c r="V415" s="383"/>
      <c r="W415" s="383"/>
      <c r="X415" s="383"/>
      <c r="Y415" s="383"/>
      <c r="Z415" s="383"/>
    </row>
    <row r="416" ht="12.75" customHeight="1">
      <c r="A416" s="383"/>
      <c r="B416" s="383"/>
      <c r="C416" s="383"/>
      <c r="D416" s="383"/>
      <c r="E416" s="383"/>
      <c r="F416" s="536"/>
      <c r="G416" s="536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 s="383"/>
      <c r="V416" s="383"/>
      <c r="W416" s="383"/>
      <c r="X416" s="383"/>
      <c r="Y416" s="383"/>
      <c r="Z416" s="383"/>
    </row>
    <row r="417" ht="12.75" customHeight="1">
      <c r="A417" s="383"/>
      <c r="B417" s="383"/>
      <c r="C417" s="383"/>
      <c r="D417" s="383"/>
      <c r="E417" s="383"/>
      <c r="F417" s="536"/>
      <c r="G417" s="536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 s="383"/>
      <c r="V417" s="383"/>
      <c r="W417" s="383"/>
      <c r="X417" s="383"/>
      <c r="Y417" s="383"/>
      <c r="Z417" s="383"/>
    </row>
    <row r="418" ht="12.75" customHeight="1">
      <c r="A418" s="383"/>
      <c r="B418" s="383"/>
      <c r="C418" s="383"/>
      <c r="D418" s="383"/>
      <c r="E418" s="383"/>
      <c r="F418" s="536"/>
      <c r="G418" s="536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 s="383"/>
      <c r="V418" s="383"/>
      <c r="W418" s="383"/>
      <c r="X418" s="383"/>
      <c r="Y418" s="383"/>
      <c r="Z418" s="383"/>
    </row>
    <row r="419" ht="12.75" customHeight="1">
      <c r="A419" s="383"/>
      <c r="B419" s="383"/>
      <c r="C419" s="383"/>
      <c r="D419" s="383"/>
      <c r="E419" s="383"/>
      <c r="F419" s="536"/>
      <c r="G419" s="536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 s="383"/>
      <c r="V419" s="383"/>
      <c r="W419" s="383"/>
      <c r="X419" s="383"/>
      <c r="Y419" s="383"/>
      <c r="Z419" s="383"/>
    </row>
    <row r="420" ht="12.75" customHeight="1">
      <c r="A420" s="383"/>
      <c r="B420" s="383"/>
      <c r="C420" s="383"/>
      <c r="D420" s="383"/>
      <c r="E420" s="383"/>
      <c r="F420" s="536"/>
      <c r="G420" s="536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 s="383"/>
      <c r="V420" s="383"/>
      <c r="W420" s="383"/>
      <c r="X420" s="383"/>
      <c r="Y420" s="383"/>
      <c r="Z420" s="383"/>
    </row>
    <row r="421" ht="12.75" customHeight="1">
      <c r="A421" s="383"/>
      <c r="B421" s="383"/>
      <c r="C421" s="383"/>
      <c r="D421" s="383"/>
      <c r="E421" s="383"/>
      <c r="F421" s="536"/>
      <c r="G421" s="536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 s="383"/>
      <c r="V421" s="383"/>
      <c r="W421" s="383"/>
      <c r="X421" s="383"/>
      <c r="Y421" s="383"/>
      <c r="Z421" s="383"/>
    </row>
    <row r="422" ht="12.75" customHeight="1">
      <c r="A422" s="383"/>
      <c r="B422" s="383"/>
      <c r="C422" s="383"/>
      <c r="D422" s="383"/>
      <c r="E422" s="383"/>
      <c r="F422" s="536"/>
      <c r="G422" s="536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 s="383"/>
      <c r="V422" s="383"/>
      <c r="W422" s="383"/>
      <c r="X422" s="383"/>
      <c r="Y422" s="383"/>
      <c r="Z422" s="383"/>
    </row>
    <row r="423" ht="12.75" customHeight="1">
      <c r="A423" s="383"/>
      <c r="B423" s="383"/>
      <c r="C423" s="383"/>
      <c r="D423" s="383"/>
      <c r="E423" s="383"/>
      <c r="F423" s="536"/>
      <c r="G423" s="536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 s="383"/>
      <c r="V423" s="383"/>
      <c r="W423" s="383"/>
      <c r="X423" s="383"/>
      <c r="Y423" s="383"/>
      <c r="Z423" s="383"/>
    </row>
    <row r="424" ht="12.75" customHeight="1">
      <c r="A424" s="383"/>
      <c r="B424" s="383"/>
      <c r="C424" s="383"/>
      <c r="D424" s="383"/>
      <c r="E424" s="383"/>
      <c r="F424" s="536"/>
      <c r="G424" s="536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 s="383"/>
      <c r="V424" s="383"/>
      <c r="W424" s="383"/>
      <c r="X424" s="383"/>
      <c r="Y424" s="383"/>
      <c r="Z424" s="383"/>
    </row>
    <row r="425" ht="12.75" customHeight="1">
      <c r="A425" s="383"/>
      <c r="B425" s="383"/>
      <c r="C425" s="383"/>
      <c r="D425" s="383"/>
      <c r="E425" s="383"/>
      <c r="F425" s="536"/>
      <c r="G425" s="536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 s="383"/>
      <c r="V425" s="383"/>
      <c r="W425" s="383"/>
      <c r="X425" s="383"/>
      <c r="Y425" s="383"/>
      <c r="Z425" s="383"/>
    </row>
    <row r="426" ht="12.75" customHeight="1">
      <c r="A426" s="383"/>
      <c r="B426" s="383"/>
      <c r="C426" s="383"/>
      <c r="D426" s="383"/>
      <c r="E426" s="383"/>
      <c r="F426" s="536"/>
      <c r="G426" s="536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 s="383"/>
      <c r="V426" s="383"/>
      <c r="W426" s="383"/>
      <c r="X426" s="383"/>
      <c r="Y426" s="383"/>
      <c r="Z426" s="383"/>
    </row>
    <row r="427" ht="12.75" customHeight="1">
      <c r="A427" s="383"/>
      <c r="B427" s="383"/>
      <c r="C427" s="383"/>
      <c r="D427" s="383"/>
      <c r="E427" s="383"/>
      <c r="F427" s="536"/>
      <c r="G427" s="536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 s="383"/>
      <c r="V427" s="383"/>
      <c r="W427" s="383"/>
      <c r="X427" s="383"/>
      <c r="Y427" s="383"/>
      <c r="Z427" s="383"/>
    </row>
    <row r="428" ht="12.75" customHeight="1">
      <c r="A428" s="383"/>
      <c r="B428" s="383"/>
      <c r="C428" s="383"/>
      <c r="D428" s="383"/>
      <c r="E428" s="383"/>
      <c r="F428" s="536"/>
      <c r="G428" s="536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 s="383"/>
      <c r="V428" s="383"/>
      <c r="W428" s="383"/>
      <c r="X428" s="383"/>
      <c r="Y428" s="383"/>
      <c r="Z428" s="383"/>
    </row>
    <row r="429" ht="12.75" customHeight="1">
      <c r="A429" s="383"/>
      <c r="B429" s="383"/>
      <c r="C429" s="383"/>
      <c r="D429" s="383"/>
      <c r="E429" s="383"/>
      <c r="F429" s="536"/>
      <c r="G429" s="536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 s="383"/>
      <c r="V429" s="383"/>
      <c r="W429" s="383"/>
      <c r="X429" s="383"/>
      <c r="Y429" s="383"/>
      <c r="Z429" s="383"/>
    </row>
    <row r="430" ht="12.75" customHeight="1">
      <c r="A430" s="383"/>
      <c r="B430" s="383"/>
      <c r="C430" s="383"/>
      <c r="D430" s="383"/>
      <c r="E430" s="383"/>
      <c r="F430" s="536"/>
      <c r="G430" s="536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 s="383"/>
      <c r="V430" s="383"/>
      <c r="W430" s="383"/>
      <c r="X430" s="383"/>
      <c r="Y430" s="383"/>
      <c r="Z430" s="383"/>
    </row>
    <row r="431" ht="12.75" customHeight="1">
      <c r="A431" s="383"/>
      <c r="B431" s="383"/>
      <c r="C431" s="383"/>
      <c r="D431" s="383"/>
      <c r="E431" s="383"/>
      <c r="F431" s="536"/>
      <c r="G431" s="536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 s="383"/>
      <c r="V431" s="383"/>
      <c r="W431" s="383"/>
      <c r="X431" s="383"/>
      <c r="Y431" s="383"/>
      <c r="Z431" s="383"/>
    </row>
    <row r="432" ht="12.75" customHeight="1">
      <c r="A432" s="383"/>
      <c r="B432" s="383"/>
      <c r="C432" s="383"/>
      <c r="D432" s="383"/>
      <c r="E432" s="383"/>
      <c r="F432" s="536"/>
      <c r="G432" s="536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 s="383"/>
      <c r="V432" s="383"/>
      <c r="W432" s="383"/>
      <c r="X432" s="383"/>
      <c r="Y432" s="383"/>
      <c r="Z432" s="383"/>
    </row>
    <row r="433" ht="12.75" customHeight="1">
      <c r="A433" s="383"/>
      <c r="B433" s="383"/>
      <c r="C433" s="383"/>
      <c r="D433" s="383"/>
      <c r="E433" s="383"/>
      <c r="F433" s="536"/>
      <c r="G433" s="536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 s="383"/>
      <c r="V433" s="383"/>
      <c r="W433" s="383"/>
      <c r="X433" s="383"/>
      <c r="Y433" s="383"/>
      <c r="Z433" s="383"/>
    </row>
    <row r="434" ht="12.75" customHeight="1">
      <c r="A434" s="383"/>
      <c r="B434" s="383"/>
      <c r="C434" s="383"/>
      <c r="D434" s="383"/>
      <c r="E434" s="383"/>
      <c r="F434" s="536"/>
      <c r="G434" s="536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 s="383"/>
      <c r="V434" s="383"/>
      <c r="W434" s="383"/>
      <c r="X434" s="383"/>
      <c r="Y434" s="383"/>
      <c r="Z434" s="383"/>
    </row>
    <row r="435" ht="12.75" customHeight="1">
      <c r="A435" s="383"/>
      <c r="B435" s="383"/>
      <c r="C435" s="383"/>
      <c r="D435" s="383"/>
      <c r="E435" s="383"/>
      <c r="F435" s="536"/>
      <c r="G435" s="536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 s="383"/>
      <c r="V435" s="383"/>
      <c r="W435" s="383"/>
      <c r="X435" s="383"/>
      <c r="Y435" s="383"/>
      <c r="Z435" s="383"/>
    </row>
    <row r="436" ht="12.75" customHeight="1">
      <c r="A436" s="383"/>
      <c r="B436" s="383"/>
      <c r="C436" s="383"/>
      <c r="D436" s="383"/>
      <c r="E436" s="383"/>
      <c r="F436" s="536"/>
      <c r="G436" s="536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 s="383"/>
      <c r="V436" s="383"/>
      <c r="W436" s="383"/>
      <c r="X436" s="383"/>
      <c r="Y436" s="383"/>
      <c r="Z436" s="383"/>
    </row>
    <row r="437" ht="12.75" customHeight="1">
      <c r="A437" s="383"/>
      <c r="B437" s="383"/>
      <c r="C437" s="383"/>
      <c r="D437" s="383"/>
      <c r="E437" s="383"/>
      <c r="F437" s="536"/>
      <c r="G437" s="536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 s="383"/>
      <c r="V437" s="383"/>
      <c r="W437" s="383"/>
      <c r="X437" s="383"/>
      <c r="Y437" s="383"/>
      <c r="Z437" s="383"/>
    </row>
    <row r="438" ht="12.75" customHeight="1">
      <c r="A438" s="383"/>
      <c r="B438" s="383"/>
      <c r="C438" s="383"/>
      <c r="D438" s="383"/>
      <c r="E438" s="383"/>
      <c r="F438" s="536"/>
      <c r="G438" s="536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 s="383"/>
      <c r="V438" s="383"/>
      <c r="W438" s="383"/>
      <c r="X438" s="383"/>
      <c r="Y438" s="383"/>
      <c r="Z438" s="383"/>
    </row>
    <row r="439" ht="12.75" customHeight="1">
      <c r="A439" s="383"/>
      <c r="B439" s="383"/>
      <c r="C439" s="383"/>
      <c r="D439" s="383"/>
      <c r="E439" s="383"/>
      <c r="F439" s="536"/>
      <c r="G439" s="536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 s="383"/>
      <c r="V439" s="383"/>
      <c r="W439" s="383"/>
      <c r="X439" s="383"/>
      <c r="Y439" s="383"/>
      <c r="Z439" s="383"/>
    </row>
    <row r="440" ht="12.75" customHeight="1">
      <c r="A440" s="383"/>
      <c r="B440" s="383"/>
      <c r="C440" s="383"/>
      <c r="D440" s="383"/>
      <c r="E440" s="383"/>
      <c r="F440" s="536"/>
      <c r="G440" s="536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 s="383"/>
      <c r="V440" s="383"/>
      <c r="W440" s="383"/>
      <c r="X440" s="383"/>
      <c r="Y440" s="383"/>
      <c r="Z440" s="383"/>
    </row>
    <row r="441" ht="12.75" customHeight="1">
      <c r="A441" s="383"/>
      <c r="B441" s="383"/>
      <c r="C441" s="383"/>
      <c r="D441" s="383"/>
      <c r="E441" s="383"/>
      <c r="F441" s="536"/>
      <c r="G441" s="536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 s="383"/>
      <c r="V441" s="383"/>
      <c r="W441" s="383"/>
      <c r="X441" s="383"/>
      <c r="Y441" s="383"/>
      <c r="Z441" s="383"/>
    </row>
    <row r="442" ht="12.75" customHeight="1">
      <c r="A442" s="383"/>
      <c r="B442" s="383"/>
      <c r="C442" s="383"/>
      <c r="D442" s="383"/>
      <c r="E442" s="383"/>
      <c r="F442" s="536"/>
      <c r="G442" s="536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 s="383"/>
      <c r="V442" s="383"/>
      <c r="W442" s="383"/>
      <c r="X442" s="383"/>
      <c r="Y442" s="383"/>
      <c r="Z442" s="383"/>
    </row>
    <row r="443" ht="12.75" customHeight="1">
      <c r="A443" s="383"/>
      <c r="B443" s="383"/>
      <c r="C443" s="383"/>
      <c r="D443" s="383"/>
      <c r="E443" s="383"/>
      <c r="F443" s="536"/>
      <c r="G443" s="536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 s="383"/>
      <c r="V443" s="383"/>
      <c r="W443" s="383"/>
      <c r="X443" s="383"/>
      <c r="Y443" s="383"/>
      <c r="Z443" s="383"/>
    </row>
    <row r="444" ht="12.75" customHeight="1">
      <c r="A444" s="383"/>
      <c r="B444" s="383"/>
      <c r="C444" s="383"/>
      <c r="D444" s="383"/>
      <c r="E444" s="383"/>
      <c r="F444" s="536"/>
      <c r="G444" s="536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 s="383"/>
      <c r="V444" s="383"/>
      <c r="W444" s="383"/>
      <c r="X444" s="383"/>
      <c r="Y444" s="383"/>
      <c r="Z444" s="383"/>
    </row>
    <row r="445" ht="12.75" customHeight="1">
      <c r="A445" s="383"/>
      <c r="B445" s="383"/>
      <c r="C445" s="383"/>
      <c r="D445" s="383"/>
      <c r="E445" s="383"/>
      <c r="F445" s="536"/>
      <c r="G445" s="536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 s="383"/>
      <c r="V445" s="383"/>
      <c r="W445" s="383"/>
      <c r="X445" s="383"/>
      <c r="Y445" s="383"/>
      <c r="Z445" s="383"/>
    </row>
    <row r="446" ht="12.75" customHeight="1">
      <c r="A446" s="383"/>
      <c r="B446" s="383"/>
      <c r="C446" s="383"/>
      <c r="D446" s="383"/>
      <c r="E446" s="383"/>
      <c r="F446" s="536"/>
      <c r="G446" s="536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 s="383"/>
      <c r="V446" s="383"/>
      <c r="W446" s="383"/>
      <c r="X446" s="383"/>
      <c r="Y446" s="383"/>
      <c r="Z446" s="383"/>
    </row>
    <row r="447" ht="12.75" customHeight="1">
      <c r="A447" s="383"/>
      <c r="B447" s="383"/>
      <c r="C447" s="383"/>
      <c r="D447" s="383"/>
      <c r="E447" s="383"/>
      <c r="F447" s="536"/>
      <c r="G447" s="536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 s="383"/>
      <c r="V447" s="383"/>
      <c r="W447" s="383"/>
      <c r="X447" s="383"/>
      <c r="Y447" s="383"/>
      <c r="Z447" s="383"/>
    </row>
    <row r="448" ht="12.75" customHeight="1">
      <c r="A448" s="383"/>
      <c r="B448" s="383"/>
      <c r="C448" s="383"/>
      <c r="D448" s="383"/>
      <c r="E448" s="383"/>
      <c r="F448" s="536"/>
      <c r="G448" s="536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 s="383"/>
      <c r="V448" s="383"/>
      <c r="W448" s="383"/>
      <c r="X448" s="383"/>
      <c r="Y448" s="383"/>
      <c r="Z448" s="383"/>
    </row>
    <row r="449" ht="12.75" customHeight="1">
      <c r="A449" s="383"/>
      <c r="B449" s="383"/>
      <c r="C449" s="383"/>
      <c r="D449" s="383"/>
      <c r="E449" s="383"/>
      <c r="F449" s="536"/>
      <c r="G449" s="536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 s="383"/>
      <c r="V449" s="383"/>
      <c r="W449" s="383"/>
      <c r="X449" s="383"/>
      <c r="Y449" s="383"/>
      <c r="Z449" s="383"/>
    </row>
    <row r="450" ht="12.75" customHeight="1">
      <c r="A450" s="383"/>
      <c r="B450" s="383"/>
      <c r="C450" s="383"/>
      <c r="D450" s="383"/>
      <c r="E450" s="383"/>
      <c r="F450" s="536"/>
      <c r="G450" s="536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 s="383"/>
      <c r="V450" s="383"/>
      <c r="W450" s="383"/>
      <c r="X450" s="383"/>
      <c r="Y450" s="383"/>
      <c r="Z450" s="383"/>
    </row>
    <row r="451" ht="12.75" customHeight="1">
      <c r="A451" s="383"/>
      <c r="B451" s="383"/>
      <c r="C451" s="383"/>
      <c r="D451" s="383"/>
      <c r="E451" s="383"/>
      <c r="F451" s="536"/>
      <c r="G451" s="536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 s="383"/>
      <c r="V451" s="383"/>
      <c r="W451" s="383"/>
      <c r="X451" s="383"/>
      <c r="Y451" s="383"/>
      <c r="Z451" s="383"/>
    </row>
    <row r="452" ht="12.75" customHeight="1">
      <c r="A452" s="383"/>
      <c r="B452" s="383"/>
      <c r="C452" s="383"/>
      <c r="D452" s="383"/>
      <c r="E452" s="383"/>
      <c r="F452" s="536"/>
      <c r="G452" s="536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 s="383"/>
      <c r="V452" s="383"/>
      <c r="W452" s="383"/>
      <c r="X452" s="383"/>
      <c r="Y452" s="383"/>
      <c r="Z452" s="383"/>
    </row>
    <row r="453" ht="12.75" customHeight="1">
      <c r="A453" s="383"/>
      <c r="B453" s="383"/>
      <c r="C453" s="383"/>
      <c r="D453" s="383"/>
      <c r="E453" s="383"/>
      <c r="F453" s="536"/>
      <c r="G453" s="536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 s="383"/>
      <c r="V453" s="383"/>
      <c r="W453" s="383"/>
      <c r="X453" s="383"/>
      <c r="Y453" s="383"/>
      <c r="Z453" s="383"/>
    </row>
    <row r="454" ht="12.75" customHeight="1">
      <c r="A454" s="383"/>
      <c r="B454" s="383"/>
      <c r="C454" s="383"/>
      <c r="D454" s="383"/>
      <c r="E454" s="383"/>
      <c r="F454" s="536"/>
      <c r="G454" s="536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 s="383"/>
      <c r="V454" s="383"/>
      <c r="W454" s="383"/>
      <c r="X454" s="383"/>
      <c r="Y454" s="383"/>
      <c r="Z454" s="383"/>
    </row>
    <row r="455" ht="12.75" customHeight="1">
      <c r="A455" s="383"/>
      <c r="B455" s="383"/>
      <c r="C455" s="383"/>
      <c r="D455" s="383"/>
      <c r="E455" s="383"/>
      <c r="F455" s="536"/>
      <c r="G455" s="536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 s="383"/>
      <c r="V455" s="383"/>
      <c r="W455" s="383"/>
      <c r="X455" s="383"/>
      <c r="Y455" s="383"/>
      <c r="Z455" s="383"/>
    </row>
    <row r="456" ht="12.75" customHeight="1">
      <c r="A456" s="383"/>
      <c r="B456" s="383"/>
      <c r="C456" s="383"/>
      <c r="D456" s="383"/>
      <c r="E456" s="383"/>
      <c r="F456" s="536"/>
      <c r="G456" s="536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 s="383"/>
      <c r="V456" s="383"/>
      <c r="W456" s="383"/>
      <c r="X456" s="383"/>
      <c r="Y456" s="383"/>
      <c r="Z456" s="383"/>
    </row>
    <row r="457" ht="12.75" customHeight="1">
      <c r="A457" s="383"/>
      <c r="B457" s="383"/>
      <c r="C457" s="383"/>
      <c r="D457" s="383"/>
      <c r="E457" s="383"/>
      <c r="F457" s="536"/>
      <c r="G457" s="536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 s="383"/>
      <c r="V457" s="383"/>
      <c r="W457" s="383"/>
      <c r="X457" s="383"/>
      <c r="Y457" s="383"/>
      <c r="Z457" s="383"/>
    </row>
    <row r="458" ht="12.75" customHeight="1">
      <c r="A458" s="383"/>
      <c r="B458" s="383"/>
      <c r="C458" s="383"/>
      <c r="D458" s="383"/>
      <c r="E458" s="383"/>
      <c r="F458" s="536"/>
      <c r="G458" s="536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 s="383"/>
      <c r="V458" s="383"/>
      <c r="W458" s="383"/>
      <c r="X458" s="383"/>
      <c r="Y458" s="383"/>
      <c r="Z458" s="383"/>
    </row>
    <row r="459" ht="12.75" customHeight="1">
      <c r="A459" s="383"/>
      <c r="B459" s="383"/>
      <c r="C459" s="383"/>
      <c r="D459" s="383"/>
      <c r="E459" s="383"/>
      <c r="F459" s="536"/>
      <c r="G459" s="536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 s="383"/>
      <c r="V459" s="383"/>
      <c r="W459" s="383"/>
      <c r="X459" s="383"/>
      <c r="Y459" s="383"/>
      <c r="Z459" s="383"/>
    </row>
    <row r="460" ht="12.75" customHeight="1">
      <c r="A460" s="383"/>
      <c r="B460" s="383"/>
      <c r="C460" s="383"/>
      <c r="D460" s="383"/>
      <c r="E460" s="383"/>
      <c r="F460" s="536"/>
      <c r="G460" s="536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 s="383"/>
      <c r="V460" s="383"/>
      <c r="W460" s="383"/>
      <c r="X460" s="383"/>
      <c r="Y460" s="383"/>
      <c r="Z460" s="383"/>
    </row>
    <row r="461" ht="12.75" customHeight="1">
      <c r="A461" s="383"/>
      <c r="B461" s="383"/>
      <c r="C461" s="383"/>
      <c r="D461" s="383"/>
      <c r="E461" s="383"/>
      <c r="F461" s="536"/>
      <c r="G461" s="536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 s="383"/>
      <c r="V461" s="383"/>
      <c r="W461" s="383"/>
      <c r="X461" s="383"/>
      <c r="Y461" s="383"/>
      <c r="Z461" s="383"/>
    </row>
    <row r="462" ht="12.75" customHeight="1">
      <c r="A462" s="383"/>
      <c r="B462" s="383"/>
      <c r="C462" s="383"/>
      <c r="D462" s="383"/>
      <c r="E462" s="383"/>
      <c r="F462" s="536"/>
      <c r="G462" s="536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 s="383"/>
      <c r="V462" s="383"/>
      <c r="W462" s="383"/>
      <c r="X462" s="383"/>
      <c r="Y462" s="383"/>
      <c r="Z462" s="383"/>
    </row>
    <row r="463" ht="12.75" customHeight="1">
      <c r="A463" s="383"/>
      <c r="B463" s="383"/>
      <c r="C463" s="383"/>
      <c r="D463" s="383"/>
      <c r="E463" s="383"/>
      <c r="F463" s="536"/>
      <c r="G463" s="536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 s="383"/>
      <c r="V463" s="383"/>
      <c r="W463" s="383"/>
      <c r="X463" s="383"/>
      <c r="Y463" s="383"/>
      <c r="Z463" s="383"/>
    </row>
    <row r="464" ht="12.75" customHeight="1">
      <c r="A464" s="383"/>
      <c r="B464" s="383"/>
      <c r="C464" s="383"/>
      <c r="D464" s="383"/>
      <c r="E464" s="383"/>
      <c r="F464" s="536"/>
      <c r="G464" s="536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 s="383"/>
      <c r="V464" s="383"/>
      <c r="W464" s="383"/>
      <c r="X464" s="383"/>
      <c r="Y464" s="383"/>
      <c r="Z464" s="383"/>
    </row>
    <row r="465" ht="12.75" customHeight="1">
      <c r="A465" s="383"/>
      <c r="B465" s="383"/>
      <c r="C465" s="383"/>
      <c r="D465" s="383"/>
      <c r="E465" s="383"/>
      <c r="F465" s="536"/>
      <c r="G465" s="536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 s="383"/>
      <c r="V465" s="383"/>
      <c r="W465" s="383"/>
      <c r="X465" s="383"/>
      <c r="Y465" s="383"/>
      <c r="Z465" s="383"/>
    </row>
    <row r="466" ht="12.75" customHeight="1">
      <c r="A466" s="383"/>
      <c r="B466" s="383"/>
      <c r="C466" s="383"/>
      <c r="D466" s="383"/>
      <c r="E466" s="383"/>
      <c r="F466" s="536"/>
      <c r="G466" s="536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 s="383"/>
      <c r="V466" s="383"/>
      <c r="W466" s="383"/>
      <c r="X466" s="383"/>
      <c r="Y466" s="383"/>
      <c r="Z466" s="383"/>
    </row>
    <row r="467" ht="12.75" customHeight="1">
      <c r="A467" s="383"/>
      <c r="B467" s="383"/>
      <c r="C467" s="383"/>
      <c r="D467" s="383"/>
      <c r="E467" s="383"/>
      <c r="F467" s="536"/>
      <c r="G467" s="536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 s="383"/>
      <c r="V467" s="383"/>
      <c r="W467" s="383"/>
      <c r="X467" s="383"/>
      <c r="Y467" s="383"/>
      <c r="Z467" s="383"/>
    </row>
    <row r="468" ht="12.75" customHeight="1">
      <c r="A468" s="383"/>
      <c r="B468" s="383"/>
      <c r="C468" s="383"/>
      <c r="D468" s="383"/>
      <c r="E468" s="383"/>
      <c r="F468" s="536"/>
      <c r="G468" s="536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 s="383"/>
      <c r="V468" s="383"/>
      <c r="W468" s="383"/>
      <c r="X468" s="383"/>
      <c r="Y468" s="383"/>
      <c r="Z468" s="383"/>
    </row>
    <row r="469" ht="12.75" customHeight="1">
      <c r="A469" s="383"/>
      <c r="B469" s="383"/>
      <c r="C469" s="383"/>
      <c r="D469" s="383"/>
      <c r="E469" s="383"/>
      <c r="F469" s="536"/>
      <c r="G469" s="536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 s="383"/>
      <c r="V469" s="383"/>
      <c r="W469" s="383"/>
      <c r="X469" s="383"/>
      <c r="Y469" s="383"/>
      <c r="Z469" s="383"/>
    </row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8" width="10.71"/>
  </cols>
  <sheetData>
    <row r="1" ht="18.0" customHeight="1">
      <c r="A1" s="493"/>
      <c r="B1" s="494"/>
      <c r="C1" s="495"/>
      <c r="D1" s="496"/>
      <c r="E1" s="496"/>
      <c r="F1" s="496"/>
      <c r="G1" s="496"/>
      <c r="H1" s="496"/>
      <c r="I1" s="496"/>
      <c r="J1" s="496"/>
      <c r="K1" s="498"/>
      <c r="L1" s="497"/>
      <c r="M1" s="497"/>
      <c r="N1" s="498"/>
      <c r="O1" s="497"/>
      <c r="P1" s="498"/>
      <c r="Q1" s="498"/>
      <c r="R1" s="496"/>
      <c r="S1" s="496"/>
      <c r="T1" s="496"/>
      <c r="U1" s="496"/>
      <c r="V1" s="499"/>
      <c r="W1" s="496"/>
      <c r="X1" s="493"/>
      <c r="Y1" s="493"/>
      <c r="Z1" s="493"/>
      <c r="AA1" s="493"/>
      <c r="AB1" s="496"/>
    </row>
    <row r="2" ht="18.0" customHeight="1">
      <c r="A2" s="493"/>
      <c r="B2" s="500"/>
      <c r="C2" s="496"/>
      <c r="D2" s="496"/>
      <c r="E2" s="496"/>
      <c r="F2" s="496"/>
      <c r="G2" s="496"/>
      <c r="H2" s="496"/>
      <c r="I2" s="496"/>
      <c r="J2" s="496"/>
      <c r="K2" s="498"/>
      <c r="L2" s="497"/>
      <c r="M2" s="497"/>
      <c r="N2" s="498"/>
      <c r="O2" s="501"/>
      <c r="P2" s="493"/>
      <c r="Q2" s="493"/>
      <c r="R2" s="496"/>
      <c r="S2" s="496"/>
      <c r="T2" s="496"/>
      <c r="U2" s="496"/>
      <c r="V2" s="499"/>
      <c r="W2" s="496"/>
      <c r="X2" s="493"/>
      <c r="Y2" s="493"/>
      <c r="Z2" s="493"/>
      <c r="AA2" s="493"/>
      <c r="AB2" s="496"/>
    </row>
    <row r="3" ht="18.0" customHeight="1">
      <c r="A3" s="493"/>
      <c r="B3" s="500"/>
      <c r="C3" s="496"/>
      <c r="D3" s="496"/>
      <c r="E3" s="496"/>
      <c r="F3" s="496"/>
      <c r="G3" s="496"/>
      <c r="H3" s="496"/>
      <c r="I3" s="502"/>
      <c r="J3" s="502"/>
      <c r="K3" s="505"/>
      <c r="L3" s="502"/>
      <c r="M3" s="502"/>
      <c r="N3" s="496"/>
      <c r="O3" s="493"/>
      <c r="P3" s="493"/>
      <c r="Q3" s="493"/>
      <c r="R3" s="496"/>
      <c r="S3" s="496"/>
      <c r="T3" s="496"/>
      <c r="U3" s="496"/>
      <c r="V3" s="499"/>
      <c r="W3" s="496"/>
      <c r="X3" s="493"/>
      <c r="Y3" s="493"/>
      <c r="Z3" s="493"/>
      <c r="AA3" s="493"/>
      <c r="AB3" s="496"/>
    </row>
    <row r="4" ht="18.0" customHeight="1">
      <c r="A4" s="493"/>
      <c r="B4" s="500"/>
      <c r="C4" s="496"/>
      <c r="D4" s="496"/>
      <c r="E4" s="496"/>
      <c r="F4" s="496"/>
      <c r="G4" s="496"/>
      <c r="H4" s="494"/>
      <c r="I4" s="495"/>
      <c r="J4" s="495"/>
      <c r="K4" s="497"/>
      <c r="L4" s="498"/>
      <c r="M4" s="498"/>
      <c r="N4" s="496"/>
      <c r="O4" s="493"/>
      <c r="P4" s="493"/>
      <c r="Q4" s="493"/>
      <c r="R4" s="496"/>
      <c r="S4" s="496"/>
      <c r="T4" s="496"/>
      <c r="U4" s="496"/>
      <c r="V4" s="499"/>
      <c r="W4" s="496"/>
      <c r="X4" s="493"/>
      <c r="Y4" s="493"/>
      <c r="Z4" s="493"/>
      <c r="AA4" s="493"/>
      <c r="AB4" s="496"/>
    </row>
    <row r="5" ht="18.0" customHeight="1">
      <c r="A5" s="493"/>
      <c r="B5" s="500"/>
      <c r="C5" s="503"/>
      <c r="D5" s="496"/>
      <c r="E5" s="504"/>
      <c r="F5" s="496"/>
      <c r="G5" s="496"/>
      <c r="H5" s="494"/>
      <c r="I5" s="495"/>
      <c r="J5" s="495"/>
      <c r="K5" s="505"/>
      <c r="L5" s="505"/>
      <c r="M5" s="505"/>
      <c r="N5" s="496"/>
      <c r="O5" s="493"/>
      <c r="P5" s="493"/>
      <c r="Q5" s="493"/>
      <c r="R5" s="496"/>
      <c r="S5" s="496"/>
      <c r="T5" s="496"/>
      <c r="U5" s="496"/>
      <c r="V5" s="499"/>
      <c r="W5" s="496"/>
      <c r="X5" s="493"/>
      <c r="Y5" s="493"/>
      <c r="Z5" s="493"/>
      <c r="AA5" s="493"/>
      <c r="AB5" s="496"/>
    </row>
    <row r="6" ht="18.0" customHeight="1">
      <c r="A6" s="493"/>
      <c r="B6" s="500"/>
      <c r="C6" s="496"/>
      <c r="D6" s="496"/>
      <c r="E6" s="496"/>
      <c r="F6" s="496"/>
      <c r="G6" s="496"/>
      <c r="H6" s="508"/>
      <c r="I6" s="525"/>
      <c r="J6" s="525"/>
      <c r="K6" s="506"/>
      <c r="L6" s="496"/>
      <c r="M6" s="496"/>
      <c r="N6" s="496"/>
      <c r="O6" s="493"/>
      <c r="P6" s="493"/>
      <c r="Q6" s="493"/>
      <c r="R6" s="496"/>
      <c r="S6" s="496"/>
      <c r="T6" s="496"/>
      <c r="U6" s="496"/>
      <c r="V6" s="499"/>
      <c r="W6" s="496"/>
      <c r="X6" s="493"/>
      <c r="Y6" s="493"/>
      <c r="Z6" s="493"/>
      <c r="AA6" s="493"/>
      <c r="AB6" s="496"/>
    </row>
    <row r="7" ht="18.0" customHeight="1">
      <c r="A7" s="493"/>
      <c r="B7" s="500"/>
      <c r="C7" s="496"/>
      <c r="D7" s="496"/>
      <c r="E7" s="496"/>
      <c r="F7" s="496"/>
      <c r="G7" s="496"/>
      <c r="H7" s="508"/>
      <c r="I7" s="525"/>
      <c r="J7" s="525"/>
      <c r="K7" s="506"/>
      <c r="L7" s="496"/>
      <c r="M7" s="496"/>
      <c r="N7" s="496"/>
      <c r="O7" s="493"/>
      <c r="P7" s="493"/>
      <c r="Q7" s="493"/>
      <c r="R7" s="496"/>
      <c r="S7" s="496"/>
      <c r="T7" s="496"/>
      <c r="U7" s="496"/>
      <c r="V7" s="499"/>
      <c r="W7" s="496"/>
      <c r="X7" s="493"/>
      <c r="Y7" s="493"/>
      <c r="Z7" s="493"/>
      <c r="AA7" s="493"/>
      <c r="AB7" s="496"/>
    </row>
    <row r="8" ht="18.0" customHeight="1">
      <c r="A8" s="493"/>
      <c r="B8" s="494"/>
      <c r="C8" s="496"/>
      <c r="D8" s="496"/>
      <c r="E8" s="496"/>
      <c r="F8" s="496"/>
      <c r="G8" s="496"/>
      <c r="H8" s="508"/>
      <c r="I8" s="525"/>
      <c r="J8" s="525"/>
      <c r="K8" s="506"/>
      <c r="L8" s="496"/>
      <c r="M8" s="496"/>
      <c r="N8" s="496"/>
      <c r="O8" s="493"/>
      <c r="P8" s="493"/>
      <c r="Q8" s="493"/>
      <c r="R8" s="496"/>
      <c r="S8" s="496"/>
      <c r="T8" s="496"/>
      <c r="U8" s="496"/>
      <c r="V8" s="499"/>
      <c r="W8" s="496"/>
      <c r="X8" s="493"/>
      <c r="Y8" s="493"/>
      <c r="Z8" s="493"/>
      <c r="AA8" s="493"/>
      <c r="AB8" s="496"/>
    </row>
    <row r="9" ht="18.0" customHeight="1">
      <c r="A9" s="493"/>
      <c r="B9" s="494" t="s">
        <v>239</v>
      </c>
      <c r="C9" s="496" t="s">
        <v>240</v>
      </c>
      <c r="D9" s="496" t="s">
        <v>241</v>
      </c>
      <c r="E9" s="493"/>
      <c r="F9" s="493" t="s">
        <v>12</v>
      </c>
      <c r="G9" s="493" t="s">
        <v>48</v>
      </c>
      <c r="H9" s="508" t="s">
        <v>49</v>
      </c>
      <c r="I9" s="507"/>
      <c r="J9" s="507"/>
      <c r="K9" s="508"/>
      <c r="L9" s="496"/>
      <c r="M9" s="496"/>
      <c r="N9" s="496"/>
      <c r="O9" s="493"/>
      <c r="P9" s="493"/>
      <c r="Q9" s="493"/>
      <c r="R9" s="496"/>
      <c r="S9" s="496"/>
      <c r="T9" s="496"/>
      <c r="U9" s="496"/>
      <c r="V9" s="494"/>
      <c r="W9" s="496"/>
      <c r="X9" s="496"/>
      <c r="Y9" s="496"/>
      <c r="Z9" s="493"/>
      <c r="AA9" s="493"/>
      <c r="AB9" s="496"/>
    </row>
    <row r="10" ht="18.0" customHeight="1">
      <c r="A10" s="493"/>
      <c r="B10" s="494">
        <v>1.0</v>
      </c>
      <c r="C10" s="494"/>
      <c r="D10" s="557"/>
      <c r="E10" s="493"/>
      <c r="F10" s="493"/>
      <c r="G10" s="493"/>
      <c r="H10" s="508"/>
      <c r="I10" s="507"/>
      <c r="J10" s="507"/>
      <c r="K10" s="508"/>
      <c r="L10" s="496"/>
      <c r="M10" s="496"/>
      <c r="N10" s="496"/>
      <c r="O10" s="493"/>
      <c r="P10" s="493"/>
      <c r="Q10" s="493"/>
      <c r="R10" s="496"/>
      <c r="S10" s="496"/>
      <c r="T10" s="496"/>
      <c r="U10" s="496"/>
      <c r="V10" s="494"/>
      <c r="W10" s="496"/>
      <c r="X10" s="496"/>
      <c r="Y10" s="496"/>
      <c r="Z10" s="493"/>
      <c r="AA10" s="493"/>
      <c r="AB10" s="496"/>
    </row>
    <row r="11" ht="18.0" customHeight="1">
      <c r="A11" s="493"/>
      <c r="B11" s="494">
        <v>2.0</v>
      </c>
      <c r="C11" s="494"/>
      <c r="D11" s="558"/>
      <c r="E11" s="539"/>
      <c r="F11" s="559" t="s">
        <v>243</v>
      </c>
      <c r="G11" s="519">
        <f>+D10+D12+D14+D15+D16+D17+D18+D19+D20+D21+D22+D23+D24+D25+D26+D27+D28+D29+D30+D31+D32</f>
        <v>0</v>
      </c>
      <c r="H11" s="560" t="str">
        <f>+G11/G16*100</f>
        <v>#DIV/0!</v>
      </c>
      <c r="I11" s="511"/>
      <c r="J11" s="511"/>
      <c r="K11" s="506"/>
      <c r="L11" s="496"/>
      <c r="M11" s="496"/>
      <c r="N11" s="496"/>
      <c r="O11" s="493"/>
      <c r="P11" s="493"/>
      <c r="Q11" s="493"/>
      <c r="R11" s="496"/>
      <c r="S11" s="496"/>
      <c r="T11" s="496"/>
      <c r="U11" s="496"/>
      <c r="V11" s="494"/>
      <c r="W11" s="521"/>
      <c r="X11" s="501"/>
      <c r="Y11" s="501"/>
      <c r="Z11" s="493"/>
      <c r="AA11" s="493"/>
      <c r="AB11" s="496"/>
    </row>
    <row r="12" ht="18.0" customHeight="1">
      <c r="A12" s="493"/>
      <c r="B12" s="494">
        <v>3.0</v>
      </c>
      <c r="C12" s="494"/>
      <c r="D12" s="557"/>
      <c r="E12" s="494"/>
      <c r="F12" s="501" t="s">
        <v>244</v>
      </c>
      <c r="G12" s="510">
        <f>+D11+D33</f>
        <v>0</v>
      </c>
      <c r="H12" s="560" t="str">
        <f>+G12/G16*100</f>
        <v>#DIV/0!</v>
      </c>
      <c r="I12" s="507"/>
      <c r="J12" s="507"/>
      <c r="K12" s="496"/>
      <c r="L12" s="496"/>
      <c r="M12" s="496"/>
      <c r="N12" s="496"/>
      <c r="O12" s="493"/>
      <c r="P12" s="493"/>
      <c r="Q12" s="493"/>
      <c r="R12" s="496"/>
      <c r="S12" s="496"/>
      <c r="T12" s="496"/>
      <c r="U12" s="496"/>
      <c r="V12" s="494"/>
      <c r="W12" s="513"/>
      <c r="X12" s="514"/>
      <c r="Y12" s="514"/>
      <c r="Z12" s="493"/>
      <c r="AA12" s="493"/>
      <c r="AB12" s="496"/>
    </row>
    <row r="13" ht="18.0" customHeight="1">
      <c r="A13" s="493"/>
      <c r="B13" s="494"/>
      <c r="C13" s="494"/>
      <c r="D13" s="557"/>
      <c r="E13" s="494"/>
      <c r="F13" s="501" t="s">
        <v>245</v>
      </c>
      <c r="G13" s="510"/>
      <c r="H13" s="560" t="str">
        <f>+G13/G16*100</f>
        <v>#DIV/0!</v>
      </c>
      <c r="I13" s="507"/>
      <c r="J13" s="507"/>
      <c r="K13" s="496"/>
      <c r="L13" s="496"/>
      <c r="M13" s="496"/>
      <c r="N13" s="496"/>
      <c r="O13" s="493"/>
      <c r="P13" s="493"/>
      <c r="Q13" s="493"/>
      <c r="R13" s="496"/>
      <c r="S13" s="496"/>
      <c r="T13" s="496"/>
      <c r="U13" s="496"/>
      <c r="V13" s="494"/>
      <c r="W13" s="513"/>
      <c r="X13" s="514"/>
      <c r="Y13" s="514"/>
      <c r="Z13" s="493"/>
      <c r="AA13" s="493"/>
      <c r="AB13" s="496"/>
    </row>
    <row r="14" ht="18.0" customHeight="1">
      <c r="A14" s="493"/>
      <c r="B14" s="494">
        <v>4.0</v>
      </c>
      <c r="C14" s="494"/>
      <c r="D14" s="557"/>
      <c r="E14" s="494"/>
      <c r="F14" s="501" t="s">
        <v>246</v>
      </c>
      <c r="G14" s="510">
        <v>0.0</v>
      </c>
      <c r="H14" s="560" t="str">
        <f>+G14/G16*100</f>
        <v>#DIV/0!</v>
      </c>
      <c r="I14" s="507"/>
      <c r="J14" s="507"/>
      <c r="K14" s="496"/>
      <c r="L14" s="496"/>
      <c r="M14" s="496"/>
      <c r="N14" s="496"/>
      <c r="O14" s="493"/>
      <c r="P14" s="493"/>
      <c r="Q14" s="493"/>
      <c r="R14" s="496"/>
      <c r="S14" s="496"/>
      <c r="T14" s="496"/>
      <c r="U14" s="496"/>
      <c r="V14" s="494"/>
      <c r="W14" s="513"/>
      <c r="X14" s="514"/>
      <c r="Y14" s="514"/>
      <c r="Z14" s="493"/>
      <c r="AA14" s="493"/>
      <c r="AB14" s="496"/>
    </row>
    <row r="15" ht="18.0" customHeight="1">
      <c r="A15" s="493"/>
      <c r="B15" s="494">
        <v>5.0</v>
      </c>
      <c r="C15" s="494"/>
      <c r="D15" s="557"/>
      <c r="E15" s="494"/>
      <c r="F15" s="501" t="s">
        <v>247</v>
      </c>
      <c r="G15" s="510">
        <f>+D39+D42</f>
        <v>0</v>
      </c>
      <c r="H15" s="560" t="str">
        <f>+G15/G16*100</f>
        <v>#DIV/0!</v>
      </c>
      <c r="I15" s="507"/>
      <c r="J15" s="507"/>
      <c r="K15" s="496"/>
      <c r="L15" s="496"/>
      <c r="M15" s="496"/>
      <c r="N15" s="496"/>
      <c r="O15" s="493"/>
      <c r="P15" s="493"/>
      <c r="Q15" s="493"/>
      <c r="R15" s="496"/>
      <c r="S15" s="496"/>
      <c r="T15" s="496"/>
      <c r="U15" s="496"/>
      <c r="V15" s="494"/>
      <c r="W15" s="494"/>
      <c r="X15" s="514"/>
      <c r="Y15" s="514"/>
      <c r="Z15" s="493"/>
      <c r="AA15" s="493"/>
      <c r="AB15" s="496"/>
    </row>
    <row r="16" ht="18.0" customHeight="1">
      <c r="A16" s="493"/>
      <c r="B16" s="494">
        <v>6.0</v>
      </c>
      <c r="C16" s="494"/>
      <c r="D16" s="557"/>
      <c r="E16" s="539"/>
      <c r="F16" s="501"/>
      <c r="G16" s="523">
        <f t="shared" ref="G16:H16" si="1">SUM(G11:G15)</f>
        <v>0</v>
      </c>
      <c r="H16" s="561" t="str">
        <f t="shared" si="1"/>
        <v>#DIV/0!</v>
      </c>
      <c r="I16" s="507"/>
      <c r="J16" s="507"/>
      <c r="K16" s="496"/>
      <c r="L16" s="496"/>
      <c r="M16" s="496"/>
      <c r="N16" s="496"/>
      <c r="O16" s="493"/>
      <c r="P16" s="493"/>
      <c r="Q16" s="493"/>
      <c r="R16" s="496"/>
      <c r="S16" s="496"/>
      <c r="T16" s="496"/>
      <c r="U16" s="496"/>
      <c r="V16" s="494"/>
      <c r="W16" s="494"/>
      <c r="X16" s="495"/>
      <c r="Y16" s="495"/>
      <c r="Z16" s="493"/>
      <c r="AA16" s="493"/>
      <c r="AB16" s="496"/>
    </row>
    <row r="17" ht="18.0" customHeight="1">
      <c r="A17" s="493"/>
      <c r="B17" s="494">
        <v>7.0</v>
      </c>
      <c r="C17" s="494"/>
      <c r="D17" s="562"/>
      <c r="E17" s="494"/>
      <c r="F17" s="501"/>
      <c r="G17" s="563"/>
      <c r="H17" s="510"/>
      <c r="I17" s="507"/>
      <c r="J17" s="507"/>
      <c r="K17" s="496"/>
      <c r="L17" s="496"/>
      <c r="M17" s="496"/>
      <c r="N17" s="496"/>
      <c r="O17" s="493"/>
      <c r="P17" s="493"/>
      <c r="Q17" s="493"/>
      <c r="R17" s="496"/>
      <c r="S17" s="496"/>
      <c r="T17" s="496"/>
      <c r="U17" s="496"/>
      <c r="V17" s="494"/>
      <c r="W17" s="494"/>
      <c r="X17" s="514"/>
      <c r="Y17" s="514"/>
      <c r="Z17" s="493"/>
      <c r="AA17" s="493"/>
      <c r="AB17" s="496"/>
    </row>
    <row r="18" ht="18.0" customHeight="1">
      <c r="A18" s="493"/>
      <c r="B18" s="494">
        <v>8.0</v>
      </c>
      <c r="C18" s="494"/>
      <c r="D18" s="557"/>
      <c r="E18" s="494"/>
      <c r="F18" s="501"/>
      <c r="G18" s="501"/>
      <c r="H18" s="494"/>
      <c r="I18" s="507"/>
      <c r="J18" s="507"/>
      <c r="K18" s="496"/>
      <c r="L18" s="496"/>
      <c r="M18" s="496"/>
      <c r="N18" s="496"/>
      <c r="O18" s="493"/>
      <c r="P18" s="493"/>
      <c r="Q18" s="493"/>
      <c r="R18" s="496"/>
      <c r="S18" s="496"/>
      <c r="T18" s="496"/>
      <c r="U18" s="496"/>
      <c r="V18" s="494"/>
      <c r="W18" s="494"/>
      <c r="X18" s="514"/>
      <c r="Y18" s="514"/>
      <c r="Z18" s="493"/>
      <c r="AA18" s="493"/>
      <c r="AB18" s="496"/>
    </row>
    <row r="19" ht="18.0" customHeight="1">
      <c r="A19" s="493"/>
      <c r="B19" s="494">
        <v>9.0</v>
      </c>
      <c r="C19" s="494"/>
      <c r="D19" s="557"/>
      <c r="E19" s="494"/>
      <c r="F19" s="501"/>
      <c r="G19" s="501"/>
      <c r="H19" s="494"/>
      <c r="I19" s="507"/>
      <c r="J19" s="507"/>
      <c r="K19" s="496"/>
      <c r="L19" s="496"/>
      <c r="M19" s="496"/>
      <c r="N19" s="496"/>
      <c r="O19" s="493"/>
      <c r="P19" s="493"/>
      <c r="Q19" s="493"/>
      <c r="R19" s="496"/>
      <c r="S19" s="496"/>
      <c r="T19" s="496"/>
      <c r="U19" s="496"/>
      <c r="V19" s="494"/>
      <c r="W19" s="494"/>
      <c r="X19" s="501"/>
      <c r="Y19" s="501"/>
      <c r="Z19" s="493"/>
      <c r="AA19" s="493"/>
      <c r="AB19" s="496"/>
    </row>
    <row r="20" ht="18.0" customHeight="1">
      <c r="A20" s="493"/>
      <c r="B20" s="494">
        <v>10.0</v>
      </c>
      <c r="C20" s="494"/>
      <c r="D20" s="557"/>
      <c r="E20" s="494"/>
      <c r="F20" s="501"/>
      <c r="G20" s="501"/>
      <c r="H20" s="494"/>
      <c r="I20" s="507"/>
      <c r="J20" s="507"/>
      <c r="K20" s="496"/>
      <c r="L20" s="496"/>
      <c r="M20" s="496"/>
      <c r="N20" s="496"/>
      <c r="O20" s="493"/>
      <c r="P20" s="493"/>
      <c r="Q20" s="493"/>
      <c r="R20" s="496"/>
      <c r="S20" s="496"/>
      <c r="T20" s="496"/>
      <c r="U20" s="496"/>
      <c r="V20" s="494"/>
      <c r="W20" s="494"/>
      <c r="X20" s="501"/>
      <c r="Y20" s="501"/>
      <c r="Z20" s="493"/>
      <c r="AA20" s="493"/>
      <c r="AB20" s="496"/>
    </row>
    <row r="21" ht="18.0" customHeight="1">
      <c r="A21" s="493"/>
      <c r="B21" s="494">
        <v>11.0</v>
      </c>
      <c r="C21" s="494"/>
      <c r="D21" s="557"/>
      <c r="E21" s="494"/>
      <c r="F21" s="501"/>
      <c r="G21" s="501"/>
      <c r="H21" s="494"/>
      <c r="I21" s="507"/>
      <c r="J21" s="507"/>
      <c r="K21" s="496"/>
      <c r="L21" s="496"/>
      <c r="M21" s="496"/>
      <c r="N21" s="496"/>
      <c r="O21" s="493"/>
      <c r="P21" s="493"/>
      <c r="Q21" s="493"/>
      <c r="R21" s="496"/>
      <c r="S21" s="496"/>
      <c r="T21" s="496"/>
      <c r="U21" s="496"/>
      <c r="V21" s="494"/>
      <c r="W21" s="494"/>
      <c r="X21" s="501"/>
      <c r="Y21" s="501"/>
      <c r="Z21" s="493"/>
      <c r="AA21" s="493"/>
      <c r="AB21" s="496"/>
    </row>
    <row r="22" ht="18.0" customHeight="1">
      <c r="A22" s="493"/>
      <c r="B22" s="494">
        <v>12.0</v>
      </c>
      <c r="C22" s="494"/>
      <c r="D22" s="557"/>
      <c r="E22" s="494"/>
      <c r="F22" s="501"/>
      <c r="G22" s="501"/>
      <c r="H22" s="494"/>
      <c r="I22" s="507"/>
      <c r="J22" s="507"/>
      <c r="K22" s="496"/>
      <c r="L22" s="496"/>
      <c r="M22" s="496"/>
      <c r="N22" s="496"/>
      <c r="O22" s="493"/>
      <c r="P22" s="493"/>
      <c r="Q22" s="493"/>
      <c r="R22" s="496"/>
      <c r="S22" s="496"/>
      <c r="T22" s="496"/>
      <c r="U22" s="496"/>
      <c r="V22" s="494"/>
      <c r="W22" s="494"/>
      <c r="X22" s="501"/>
      <c r="Y22" s="501"/>
      <c r="Z22" s="493"/>
      <c r="AA22" s="493"/>
      <c r="AB22" s="496"/>
    </row>
    <row r="23" ht="18.0" customHeight="1">
      <c r="A23" s="493"/>
      <c r="B23" s="494">
        <v>13.0</v>
      </c>
      <c r="C23" s="494"/>
      <c r="D23" s="557"/>
      <c r="E23" s="494"/>
      <c r="F23" s="501"/>
      <c r="G23" s="501"/>
      <c r="H23" s="494"/>
      <c r="I23" s="507"/>
      <c r="J23" s="507"/>
      <c r="K23" s="496"/>
      <c r="L23" s="496"/>
      <c r="M23" s="496"/>
      <c r="N23" s="496"/>
      <c r="O23" s="493"/>
      <c r="P23" s="493"/>
      <c r="Q23" s="493"/>
      <c r="R23" s="496"/>
      <c r="S23" s="496"/>
      <c r="T23" s="496"/>
      <c r="U23" s="496"/>
      <c r="V23" s="494"/>
      <c r="W23" s="513"/>
      <c r="X23" s="501"/>
      <c r="Y23" s="501"/>
      <c r="Z23" s="493"/>
      <c r="AA23" s="493"/>
      <c r="AB23" s="496"/>
    </row>
    <row r="24" ht="18.0" customHeight="1">
      <c r="A24" s="493"/>
      <c r="B24" s="494">
        <v>14.0</v>
      </c>
      <c r="C24" s="494"/>
      <c r="D24" s="557"/>
      <c r="E24" s="494"/>
      <c r="F24" s="501"/>
      <c r="G24" s="501"/>
      <c r="H24" s="494"/>
      <c r="I24" s="507"/>
      <c r="J24" s="507"/>
      <c r="K24" s="496"/>
      <c r="L24" s="496"/>
      <c r="M24" s="496"/>
      <c r="N24" s="496"/>
      <c r="O24" s="493"/>
      <c r="P24" s="493"/>
      <c r="Q24" s="493"/>
      <c r="R24" s="496"/>
      <c r="S24" s="496"/>
      <c r="T24" s="496"/>
      <c r="U24" s="496"/>
      <c r="V24" s="494"/>
      <c r="W24" s="501"/>
      <c r="X24" s="501"/>
      <c r="Y24" s="501"/>
      <c r="Z24" s="493"/>
      <c r="AA24" s="493"/>
      <c r="AB24" s="496"/>
    </row>
    <row r="25" ht="18.0" customHeight="1">
      <c r="A25" s="493"/>
      <c r="B25" s="494">
        <v>15.0</v>
      </c>
      <c r="C25" s="494"/>
      <c r="D25" s="557"/>
      <c r="E25" s="494"/>
      <c r="F25" s="501"/>
      <c r="G25" s="501"/>
      <c r="H25" s="494"/>
      <c r="I25" s="507"/>
      <c r="J25" s="507"/>
      <c r="K25" s="496"/>
      <c r="L25" s="496"/>
      <c r="M25" s="496"/>
      <c r="N25" s="496"/>
      <c r="O25" s="493"/>
      <c r="P25" s="493"/>
      <c r="Q25" s="493"/>
      <c r="R25" s="496"/>
      <c r="S25" s="496"/>
      <c r="T25" s="496"/>
      <c r="U25" s="496"/>
      <c r="V25" s="494"/>
      <c r="W25" s="494"/>
      <c r="X25" s="501"/>
      <c r="Y25" s="501"/>
      <c r="Z25" s="493"/>
      <c r="AA25" s="493"/>
      <c r="AB25" s="496"/>
    </row>
    <row r="26" ht="18.0" customHeight="1">
      <c r="A26" s="493"/>
      <c r="B26" s="494">
        <v>16.0</v>
      </c>
      <c r="C26" s="494"/>
      <c r="D26" s="562"/>
      <c r="E26" s="494"/>
      <c r="F26" s="501"/>
      <c r="G26" s="501"/>
      <c r="H26" s="494"/>
      <c r="I26" s="507"/>
      <c r="J26" s="507"/>
      <c r="K26" s="496"/>
      <c r="L26" s="496"/>
      <c r="M26" s="496"/>
      <c r="N26" s="496"/>
      <c r="O26" s="493"/>
      <c r="P26" s="493"/>
      <c r="Q26" s="493"/>
      <c r="R26" s="496"/>
      <c r="S26" s="496"/>
      <c r="T26" s="496"/>
      <c r="U26" s="496"/>
      <c r="V26" s="494"/>
      <c r="W26" s="494"/>
      <c r="X26" s="501"/>
      <c r="Y26" s="501"/>
      <c r="Z26" s="493"/>
      <c r="AA26" s="493"/>
      <c r="AB26" s="496"/>
    </row>
    <row r="27" ht="18.0" customHeight="1">
      <c r="A27" s="493"/>
      <c r="B27" s="494">
        <v>17.0</v>
      </c>
      <c r="C27" s="494"/>
      <c r="D27" s="557"/>
      <c r="E27" s="494"/>
      <c r="F27" s="501"/>
      <c r="G27" s="501"/>
      <c r="H27" s="494"/>
      <c r="I27" s="507"/>
      <c r="J27" s="507"/>
      <c r="K27" s="496"/>
      <c r="L27" s="496"/>
      <c r="M27" s="496"/>
      <c r="N27" s="496"/>
      <c r="O27" s="493"/>
      <c r="P27" s="493"/>
      <c r="Q27" s="493"/>
      <c r="R27" s="496"/>
      <c r="S27" s="496"/>
      <c r="T27" s="496"/>
      <c r="U27" s="496"/>
      <c r="V27" s="494"/>
      <c r="W27" s="494"/>
      <c r="X27" s="501"/>
      <c r="Y27" s="501"/>
      <c r="Z27" s="493"/>
      <c r="AA27" s="493"/>
      <c r="AB27" s="496"/>
    </row>
    <row r="28" ht="18.0" customHeight="1">
      <c r="A28" s="493"/>
      <c r="B28" s="494">
        <v>18.0</v>
      </c>
      <c r="C28" s="494"/>
      <c r="D28" s="557"/>
      <c r="E28" s="494"/>
      <c r="F28" s="501"/>
      <c r="G28" s="501"/>
      <c r="H28" s="494"/>
      <c r="I28" s="507"/>
      <c r="J28" s="507"/>
      <c r="K28" s="496"/>
      <c r="L28" s="496"/>
      <c r="M28" s="496"/>
      <c r="N28" s="496"/>
      <c r="O28" s="493"/>
      <c r="P28" s="493"/>
      <c r="Q28" s="493"/>
      <c r="R28" s="496"/>
      <c r="S28" s="496"/>
      <c r="T28" s="496"/>
      <c r="U28" s="496"/>
      <c r="V28" s="494"/>
      <c r="W28" s="513"/>
      <c r="X28" s="501"/>
      <c r="Y28" s="501"/>
      <c r="Z28" s="493"/>
      <c r="AA28" s="493"/>
      <c r="AB28" s="496"/>
    </row>
    <row r="29" ht="18.0" customHeight="1">
      <c r="A29" s="493"/>
      <c r="B29" s="494">
        <v>19.0</v>
      </c>
      <c r="C29" s="494"/>
      <c r="D29" s="557"/>
      <c r="E29" s="494"/>
      <c r="F29" s="501"/>
      <c r="G29" s="501"/>
      <c r="H29" s="494"/>
      <c r="I29" s="507"/>
      <c r="J29" s="507"/>
      <c r="K29" s="496"/>
      <c r="L29" s="496"/>
      <c r="M29" s="496"/>
      <c r="N29" s="496"/>
      <c r="O29" s="493"/>
      <c r="P29" s="493"/>
      <c r="Q29" s="493"/>
      <c r="R29" s="496"/>
      <c r="S29" s="496"/>
      <c r="T29" s="496"/>
      <c r="U29" s="496"/>
      <c r="V29" s="494"/>
      <c r="W29" s="501"/>
      <c r="X29" s="501"/>
      <c r="Y29" s="501"/>
      <c r="Z29" s="493"/>
      <c r="AA29" s="493"/>
      <c r="AB29" s="496"/>
    </row>
    <row r="30" ht="18.0" customHeight="1">
      <c r="A30" s="493"/>
      <c r="B30" s="494">
        <v>20.0</v>
      </c>
      <c r="C30" s="494"/>
      <c r="D30" s="557"/>
      <c r="E30" s="494"/>
      <c r="F30" s="501"/>
      <c r="G30" s="501"/>
      <c r="H30" s="494"/>
      <c r="I30" s="507"/>
      <c r="J30" s="507"/>
      <c r="K30" s="496"/>
      <c r="L30" s="496"/>
      <c r="M30" s="496"/>
      <c r="N30" s="496"/>
      <c r="O30" s="493"/>
      <c r="P30" s="493"/>
      <c r="Q30" s="493"/>
      <c r="R30" s="496"/>
      <c r="S30" s="496"/>
      <c r="T30" s="496"/>
      <c r="U30" s="496"/>
      <c r="V30" s="494"/>
      <c r="W30" s="513"/>
      <c r="X30" s="501"/>
      <c r="Y30" s="501"/>
      <c r="Z30" s="493"/>
      <c r="AA30" s="493"/>
      <c r="AB30" s="496"/>
    </row>
    <row r="31" ht="18.0" customHeight="1">
      <c r="A31" s="493"/>
      <c r="B31" s="494">
        <v>21.0</v>
      </c>
      <c r="C31" s="494"/>
      <c r="D31" s="562"/>
      <c r="E31" s="494"/>
      <c r="F31" s="501"/>
      <c r="G31" s="501"/>
      <c r="H31" s="494"/>
      <c r="I31" s="507"/>
      <c r="J31" s="507"/>
      <c r="K31" s="496"/>
      <c r="L31" s="496"/>
      <c r="M31" s="496"/>
      <c r="N31" s="496"/>
      <c r="O31" s="493"/>
      <c r="P31" s="493"/>
      <c r="Q31" s="493"/>
      <c r="R31" s="496"/>
      <c r="S31" s="496"/>
      <c r="T31" s="496"/>
      <c r="U31" s="496"/>
      <c r="V31" s="494"/>
      <c r="W31" s="501"/>
      <c r="X31" s="501"/>
      <c r="Y31" s="501"/>
      <c r="Z31" s="493"/>
      <c r="AA31" s="493"/>
      <c r="AB31" s="496"/>
    </row>
    <row r="32" ht="18.0" customHeight="1">
      <c r="A32" s="493"/>
      <c r="B32" s="494">
        <v>22.0</v>
      </c>
      <c r="C32" s="494"/>
      <c r="D32" s="564"/>
      <c r="E32" s="494"/>
      <c r="F32" s="501"/>
      <c r="G32" s="501"/>
      <c r="H32" s="494"/>
      <c r="I32" s="507"/>
      <c r="J32" s="507"/>
      <c r="K32" s="496"/>
      <c r="L32" s="496"/>
      <c r="M32" s="496"/>
      <c r="N32" s="496"/>
      <c r="O32" s="493"/>
      <c r="P32" s="493"/>
      <c r="Q32" s="493"/>
      <c r="R32" s="496"/>
      <c r="S32" s="496"/>
      <c r="T32" s="496"/>
      <c r="U32" s="496"/>
      <c r="V32" s="494"/>
      <c r="W32" s="521"/>
      <c r="X32" s="501"/>
      <c r="Y32" s="501"/>
      <c r="Z32" s="493"/>
      <c r="AA32" s="493"/>
      <c r="AB32" s="496"/>
    </row>
    <row r="33" ht="18.0" customHeight="1">
      <c r="A33" s="493"/>
      <c r="B33" s="494">
        <v>23.0</v>
      </c>
      <c r="C33" s="494"/>
      <c r="D33" s="557"/>
      <c r="E33" s="494"/>
      <c r="F33" s="501"/>
      <c r="G33" s="501"/>
      <c r="H33" s="494"/>
      <c r="I33" s="507"/>
      <c r="J33" s="507"/>
      <c r="K33" s="496"/>
      <c r="L33" s="496"/>
      <c r="M33" s="496"/>
      <c r="N33" s="496"/>
      <c r="O33" s="493"/>
      <c r="P33" s="493"/>
      <c r="Q33" s="493"/>
      <c r="R33" s="496"/>
      <c r="S33" s="496"/>
      <c r="T33" s="496"/>
      <c r="U33" s="496"/>
      <c r="V33" s="494"/>
      <c r="W33" s="521"/>
      <c r="X33" s="501"/>
      <c r="Y33" s="501"/>
      <c r="Z33" s="493"/>
      <c r="AA33" s="493"/>
      <c r="AB33" s="496"/>
    </row>
    <row r="34" ht="18.0" customHeight="1">
      <c r="A34" s="493"/>
      <c r="B34" s="494" t="s">
        <v>117</v>
      </c>
      <c r="C34" s="494"/>
      <c r="D34" s="565">
        <f>SUM(D10:D33)</f>
        <v>0</v>
      </c>
      <c r="E34" s="494"/>
      <c r="F34" s="501"/>
      <c r="G34" s="501"/>
      <c r="H34" s="494"/>
      <c r="I34" s="507"/>
      <c r="J34" s="507"/>
      <c r="K34" s="496"/>
      <c r="L34" s="496"/>
      <c r="M34" s="496"/>
      <c r="N34" s="496"/>
      <c r="O34" s="493"/>
      <c r="P34" s="493"/>
      <c r="Q34" s="493"/>
      <c r="R34" s="496"/>
      <c r="S34" s="496"/>
      <c r="T34" s="496"/>
      <c r="U34" s="496"/>
      <c r="V34" s="494"/>
      <c r="W34" s="494"/>
      <c r="X34" s="501"/>
      <c r="Y34" s="501"/>
      <c r="Z34" s="493"/>
      <c r="AA34" s="493"/>
      <c r="AB34" s="496"/>
    </row>
    <row r="35" ht="18.0" customHeight="1">
      <c r="A35" s="493"/>
      <c r="B35" s="494"/>
      <c r="C35" s="494"/>
      <c r="D35" s="562"/>
      <c r="E35" s="494"/>
      <c r="F35" s="501"/>
      <c r="G35" s="501"/>
      <c r="H35" s="494"/>
      <c r="I35" s="507"/>
      <c r="J35" s="507"/>
      <c r="K35" s="496"/>
      <c r="L35" s="496"/>
      <c r="M35" s="496"/>
      <c r="N35" s="496"/>
      <c r="O35" s="493"/>
      <c r="P35" s="493"/>
      <c r="Q35" s="493"/>
      <c r="R35" s="496"/>
      <c r="S35" s="496"/>
      <c r="T35" s="496"/>
      <c r="U35" s="496"/>
      <c r="V35" s="494"/>
      <c r="W35" s="494"/>
      <c r="X35" s="501"/>
      <c r="Y35" s="501"/>
      <c r="Z35" s="493"/>
      <c r="AA35" s="493"/>
      <c r="AB35" s="496"/>
    </row>
    <row r="36" ht="18.0" customHeight="1">
      <c r="A36" s="493"/>
      <c r="B36" s="494"/>
      <c r="C36" s="494"/>
      <c r="D36" s="562"/>
      <c r="E36" s="494"/>
      <c r="F36" s="501"/>
      <c r="G36" s="501"/>
      <c r="H36" s="494"/>
      <c r="I36" s="507"/>
      <c r="J36" s="507"/>
      <c r="K36" s="496"/>
      <c r="L36" s="496"/>
      <c r="M36" s="496"/>
      <c r="N36" s="496"/>
      <c r="O36" s="493"/>
      <c r="P36" s="493"/>
      <c r="Q36" s="493"/>
      <c r="R36" s="496"/>
      <c r="S36" s="496"/>
      <c r="T36" s="496"/>
      <c r="U36" s="496"/>
      <c r="V36" s="494"/>
      <c r="W36" s="501"/>
      <c r="X36" s="501"/>
      <c r="Y36" s="501"/>
      <c r="Z36" s="493"/>
      <c r="AA36" s="493"/>
      <c r="AB36" s="496"/>
    </row>
    <row r="37" ht="18.0" customHeight="1">
      <c r="A37" s="493"/>
      <c r="B37" s="494"/>
      <c r="C37" s="494"/>
      <c r="D37" s="557"/>
      <c r="E37" s="494"/>
      <c r="F37" s="501"/>
      <c r="G37" s="501"/>
      <c r="H37" s="494"/>
      <c r="I37" s="507"/>
      <c r="J37" s="507"/>
      <c r="K37" s="496"/>
      <c r="L37" s="496"/>
      <c r="M37" s="496"/>
      <c r="N37" s="496"/>
      <c r="O37" s="493"/>
      <c r="P37" s="493"/>
      <c r="Q37" s="493"/>
      <c r="R37" s="496"/>
      <c r="S37" s="496"/>
      <c r="T37" s="496"/>
      <c r="U37" s="496"/>
      <c r="V37" s="494"/>
      <c r="W37" s="521"/>
      <c r="X37" s="501"/>
      <c r="Y37" s="501"/>
      <c r="Z37" s="493"/>
      <c r="AA37" s="493"/>
      <c r="AB37" s="496"/>
    </row>
    <row r="38" ht="18.0" customHeight="1">
      <c r="A38" s="493"/>
      <c r="B38" s="494"/>
      <c r="C38" s="494"/>
      <c r="D38" s="557"/>
      <c r="E38" s="494"/>
      <c r="F38" s="501"/>
      <c r="G38" s="501"/>
      <c r="H38" s="494"/>
      <c r="I38" s="507"/>
      <c r="J38" s="507"/>
      <c r="K38" s="496"/>
      <c r="L38" s="496"/>
      <c r="M38" s="496"/>
      <c r="N38" s="496"/>
      <c r="O38" s="493"/>
      <c r="P38" s="493"/>
      <c r="Q38" s="493"/>
      <c r="R38" s="496"/>
      <c r="S38" s="496"/>
      <c r="T38" s="496"/>
      <c r="U38" s="496"/>
      <c r="V38" s="494"/>
      <c r="W38" s="494"/>
      <c r="X38" s="501"/>
      <c r="Y38" s="501"/>
      <c r="Z38" s="493"/>
      <c r="AA38" s="493"/>
      <c r="AB38" s="496"/>
    </row>
    <row r="39" ht="18.0" customHeight="1">
      <c r="A39" s="493"/>
      <c r="B39" s="494"/>
      <c r="C39" s="494"/>
      <c r="D39" s="557"/>
      <c r="E39" s="494"/>
      <c r="F39" s="501"/>
      <c r="G39" s="501"/>
      <c r="H39" s="494"/>
      <c r="I39" s="507"/>
      <c r="J39" s="507"/>
      <c r="K39" s="496"/>
      <c r="L39" s="496"/>
      <c r="M39" s="496"/>
      <c r="N39" s="496"/>
      <c r="O39" s="493"/>
      <c r="P39" s="493"/>
      <c r="Q39" s="493"/>
      <c r="R39" s="496"/>
      <c r="S39" s="496"/>
      <c r="T39" s="496"/>
      <c r="U39" s="496"/>
      <c r="V39" s="494"/>
      <c r="W39" s="494"/>
      <c r="X39" s="501"/>
      <c r="Y39" s="501"/>
      <c r="Z39" s="493"/>
      <c r="AA39" s="493"/>
      <c r="AB39" s="496"/>
    </row>
    <row r="40" ht="18.0" customHeight="1">
      <c r="A40" s="493"/>
      <c r="B40" s="494"/>
      <c r="C40" s="494"/>
      <c r="D40" s="557"/>
      <c r="E40" s="494"/>
      <c r="F40" s="501"/>
      <c r="G40" s="501"/>
      <c r="H40" s="494"/>
      <c r="I40" s="507"/>
      <c r="J40" s="507"/>
      <c r="K40" s="496"/>
      <c r="L40" s="496"/>
      <c r="M40" s="496"/>
      <c r="N40" s="496"/>
      <c r="O40" s="493"/>
      <c r="P40" s="493"/>
      <c r="Q40" s="493"/>
      <c r="R40" s="496"/>
      <c r="S40" s="496"/>
      <c r="T40" s="496"/>
      <c r="U40" s="496"/>
      <c r="V40" s="499"/>
      <c r="W40" s="496"/>
      <c r="X40" s="493"/>
      <c r="Y40" s="493"/>
      <c r="Z40" s="493"/>
      <c r="AA40" s="493"/>
      <c r="AB40" s="496"/>
    </row>
    <row r="41" ht="18.0" customHeight="1">
      <c r="A41" s="493"/>
      <c r="B41" s="494"/>
      <c r="C41" s="494"/>
      <c r="D41" s="557"/>
      <c r="E41" s="494"/>
      <c r="F41" s="501"/>
      <c r="G41" s="501"/>
      <c r="H41" s="494"/>
      <c r="I41" s="507"/>
      <c r="J41" s="507"/>
      <c r="K41" s="496"/>
      <c r="L41" s="496"/>
      <c r="M41" s="496"/>
      <c r="N41" s="496"/>
      <c r="O41" s="493"/>
      <c r="P41" s="493"/>
      <c r="Q41" s="493"/>
      <c r="R41" s="496"/>
      <c r="S41" s="496"/>
      <c r="T41" s="496"/>
      <c r="U41" s="496"/>
      <c r="V41" s="499"/>
      <c r="W41" s="496"/>
      <c r="X41" s="493"/>
      <c r="Y41" s="493"/>
      <c r="Z41" s="493"/>
      <c r="AA41" s="493"/>
      <c r="AB41" s="496"/>
    </row>
    <row r="42" ht="18.0" customHeight="1">
      <c r="A42" s="493"/>
      <c r="B42" s="494"/>
      <c r="C42" s="494"/>
      <c r="D42" s="557"/>
      <c r="E42" s="494"/>
      <c r="F42" s="501"/>
      <c r="G42" s="501"/>
      <c r="H42" s="494"/>
      <c r="I42" s="507"/>
      <c r="J42" s="507"/>
      <c r="K42" s="496"/>
      <c r="L42" s="496"/>
      <c r="M42" s="496"/>
      <c r="N42" s="496"/>
      <c r="O42" s="493"/>
      <c r="P42" s="493"/>
      <c r="Q42" s="493"/>
      <c r="R42" s="496"/>
      <c r="S42" s="496"/>
      <c r="T42" s="496"/>
      <c r="U42" s="496"/>
      <c r="V42" s="499"/>
      <c r="W42" s="496"/>
      <c r="X42" s="493"/>
      <c r="Y42" s="493"/>
      <c r="Z42" s="493"/>
      <c r="AA42" s="493"/>
      <c r="AB42" s="496"/>
    </row>
    <row r="43" ht="18.0" customHeight="1">
      <c r="A43" s="493"/>
      <c r="B43" s="494"/>
      <c r="C43" s="494"/>
      <c r="D43" s="557"/>
      <c r="E43" s="494"/>
      <c r="F43" s="501"/>
      <c r="G43" s="501"/>
      <c r="H43" s="494"/>
      <c r="I43" s="507"/>
      <c r="J43" s="507"/>
      <c r="K43" s="496"/>
      <c r="L43" s="496"/>
      <c r="M43" s="496"/>
      <c r="N43" s="496"/>
      <c r="O43" s="493"/>
      <c r="P43" s="493"/>
      <c r="Q43" s="493"/>
      <c r="R43" s="496"/>
      <c r="S43" s="496"/>
      <c r="T43" s="496"/>
      <c r="U43" s="496"/>
      <c r="V43" s="499"/>
      <c r="W43" s="496"/>
      <c r="X43" s="493"/>
      <c r="Y43" s="493"/>
      <c r="Z43" s="493"/>
      <c r="AA43" s="493"/>
      <c r="AB43" s="496"/>
    </row>
    <row r="44" ht="18.0" customHeight="1">
      <c r="A44" s="493"/>
      <c r="B44" s="494"/>
      <c r="C44" s="494"/>
      <c r="D44" s="562"/>
      <c r="E44" s="494"/>
      <c r="F44" s="501"/>
      <c r="G44" s="501"/>
      <c r="H44" s="494"/>
      <c r="I44" s="507"/>
      <c r="J44" s="507"/>
      <c r="K44" s="496"/>
      <c r="L44" s="496"/>
      <c r="M44" s="496"/>
      <c r="N44" s="496"/>
      <c r="O44" s="493"/>
      <c r="P44" s="493"/>
      <c r="Q44" s="493"/>
      <c r="R44" s="496"/>
      <c r="S44" s="496"/>
      <c r="T44" s="496"/>
      <c r="U44" s="496"/>
      <c r="V44" s="499"/>
      <c r="W44" s="496"/>
      <c r="X44" s="493"/>
      <c r="Y44" s="493"/>
      <c r="Z44" s="493"/>
      <c r="AA44" s="493"/>
      <c r="AB44" s="496"/>
    </row>
    <row r="45" ht="18.0" customHeight="1">
      <c r="A45" s="493"/>
      <c r="B45" s="494"/>
      <c r="C45" s="494"/>
      <c r="D45" s="558"/>
      <c r="E45" s="494"/>
      <c r="F45" s="501"/>
      <c r="G45" s="501"/>
      <c r="H45" s="494"/>
      <c r="I45" s="507"/>
      <c r="J45" s="507"/>
      <c r="K45" s="496"/>
      <c r="L45" s="496"/>
      <c r="M45" s="496"/>
      <c r="N45" s="496"/>
      <c r="O45" s="493"/>
      <c r="P45" s="493"/>
      <c r="Q45" s="493"/>
      <c r="R45" s="496"/>
      <c r="S45" s="496"/>
      <c r="T45" s="496"/>
      <c r="U45" s="496"/>
      <c r="V45" s="499"/>
      <c r="W45" s="496"/>
      <c r="X45" s="493"/>
      <c r="Y45" s="493"/>
      <c r="Z45" s="493"/>
      <c r="AA45" s="493"/>
      <c r="AB45" s="496"/>
    </row>
    <row r="46" ht="18.0" customHeight="1">
      <c r="A46" s="493"/>
      <c r="B46" s="494"/>
      <c r="C46" s="494"/>
      <c r="D46" s="566"/>
      <c r="E46" s="494"/>
      <c r="F46" s="501"/>
      <c r="G46" s="501"/>
      <c r="H46" s="494"/>
      <c r="I46" s="507"/>
      <c r="J46" s="507"/>
      <c r="K46" s="496"/>
      <c r="L46" s="496"/>
      <c r="M46" s="496"/>
      <c r="N46" s="496"/>
      <c r="O46" s="493"/>
      <c r="P46" s="493"/>
      <c r="Q46" s="493"/>
      <c r="R46" s="496"/>
      <c r="S46" s="496"/>
      <c r="T46" s="496"/>
      <c r="U46" s="496"/>
      <c r="V46" s="499"/>
      <c r="W46" s="496"/>
      <c r="X46" s="493"/>
      <c r="Y46" s="493"/>
      <c r="Z46" s="493"/>
      <c r="AA46" s="493"/>
      <c r="AB46" s="496"/>
    </row>
    <row r="47" ht="18.0" customHeight="1">
      <c r="A47" s="493"/>
      <c r="B47" s="494"/>
      <c r="C47" s="494"/>
      <c r="D47" s="558"/>
      <c r="E47" s="494"/>
      <c r="F47" s="501"/>
      <c r="G47" s="501"/>
      <c r="H47" s="494"/>
      <c r="I47" s="507"/>
      <c r="J47" s="507"/>
      <c r="K47" s="496"/>
      <c r="L47" s="496"/>
      <c r="M47" s="496"/>
      <c r="N47" s="496"/>
      <c r="O47" s="493"/>
      <c r="P47" s="493"/>
      <c r="Q47" s="493"/>
      <c r="R47" s="496"/>
      <c r="S47" s="496"/>
      <c r="T47" s="496"/>
      <c r="U47" s="496"/>
      <c r="V47" s="499"/>
      <c r="W47" s="496"/>
      <c r="X47" s="493"/>
      <c r="Y47" s="493"/>
      <c r="Z47" s="493"/>
      <c r="AA47" s="493"/>
      <c r="AB47" s="496"/>
    </row>
    <row r="48" ht="18.0" customHeight="1">
      <c r="A48" s="493"/>
      <c r="B48" s="494"/>
      <c r="C48" s="513"/>
      <c r="D48" s="557"/>
      <c r="E48" s="494"/>
      <c r="F48" s="501"/>
      <c r="G48" s="501"/>
      <c r="H48" s="494"/>
      <c r="I48" s="507"/>
      <c r="J48" s="507"/>
      <c r="K48" s="496"/>
      <c r="L48" s="496"/>
      <c r="M48" s="496"/>
      <c r="N48" s="496"/>
      <c r="O48" s="493"/>
      <c r="P48" s="493"/>
      <c r="Q48" s="493"/>
      <c r="R48" s="496"/>
      <c r="S48" s="496"/>
      <c r="T48" s="496"/>
      <c r="U48" s="496"/>
      <c r="V48" s="499"/>
      <c r="W48" s="496"/>
      <c r="X48" s="493"/>
      <c r="Y48" s="493"/>
      <c r="Z48" s="493"/>
      <c r="AA48" s="493"/>
      <c r="AB48" s="496"/>
    </row>
    <row r="49" ht="18.0" customHeight="1">
      <c r="A49" s="493"/>
      <c r="B49" s="494"/>
      <c r="C49" s="494"/>
      <c r="D49" s="557"/>
      <c r="E49" s="494"/>
      <c r="F49" s="501"/>
      <c r="G49" s="501"/>
      <c r="H49" s="494"/>
      <c r="I49" s="507"/>
      <c r="J49" s="507"/>
      <c r="K49" s="496"/>
      <c r="L49" s="496"/>
      <c r="M49" s="496"/>
      <c r="N49" s="496"/>
      <c r="O49" s="493"/>
      <c r="P49" s="493"/>
      <c r="Q49" s="493"/>
      <c r="R49" s="496"/>
      <c r="S49" s="496"/>
      <c r="T49" s="496"/>
      <c r="U49" s="496"/>
      <c r="V49" s="499"/>
      <c r="W49" s="496"/>
      <c r="X49" s="493"/>
      <c r="Y49" s="493"/>
      <c r="Z49" s="493"/>
      <c r="AA49" s="493"/>
      <c r="AB49" s="496"/>
    </row>
    <row r="50" ht="18.0" customHeight="1">
      <c r="A50" s="493"/>
      <c r="B50" s="494"/>
      <c r="C50" s="494"/>
      <c r="D50" s="567"/>
      <c r="E50" s="494"/>
      <c r="F50" s="501"/>
      <c r="G50" s="501"/>
      <c r="H50" s="494"/>
      <c r="I50" s="507"/>
      <c r="J50" s="507"/>
      <c r="K50" s="496"/>
      <c r="L50" s="496"/>
      <c r="M50" s="496"/>
      <c r="N50" s="496"/>
      <c r="O50" s="493"/>
      <c r="P50" s="493"/>
      <c r="Q50" s="493"/>
      <c r="R50" s="496"/>
      <c r="S50" s="496"/>
      <c r="T50" s="496"/>
      <c r="U50" s="496"/>
      <c r="V50" s="499"/>
      <c r="W50" s="496"/>
      <c r="X50" s="493"/>
      <c r="Y50" s="493"/>
      <c r="Z50" s="493"/>
      <c r="AA50" s="493"/>
      <c r="AB50" s="496"/>
    </row>
    <row r="51" ht="18.0" customHeight="1">
      <c r="A51" s="493"/>
      <c r="B51" s="494"/>
      <c r="C51" s="494"/>
      <c r="D51" s="494"/>
      <c r="E51" s="494"/>
      <c r="F51" s="501"/>
      <c r="G51" s="501"/>
      <c r="H51" s="494"/>
      <c r="I51" s="507"/>
      <c r="J51" s="507"/>
      <c r="K51" s="496"/>
      <c r="L51" s="496"/>
      <c r="M51" s="496"/>
      <c r="N51" s="496"/>
      <c r="O51" s="493"/>
      <c r="P51" s="493"/>
      <c r="Q51" s="493"/>
      <c r="R51" s="496"/>
      <c r="S51" s="496"/>
      <c r="T51" s="496"/>
      <c r="U51" s="496"/>
      <c r="V51" s="499"/>
      <c r="W51" s="496"/>
      <c r="X51" s="493"/>
      <c r="Y51" s="493"/>
      <c r="Z51" s="493"/>
      <c r="AA51" s="493"/>
      <c r="AB51" s="496"/>
    </row>
    <row r="52" ht="18.0" customHeight="1">
      <c r="A52" s="493"/>
      <c r="B52" s="494"/>
      <c r="C52" s="494"/>
      <c r="D52" s="494"/>
      <c r="E52" s="494"/>
      <c r="F52" s="501"/>
      <c r="G52" s="501"/>
      <c r="H52" s="494"/>
      <c r="I52" s="507"/>
      <c r="J52" s="507"/>
      <c r="K52" s="496"/>
      <c r="L52" s="496"/>
      <c r="M52" s="496"/>
      <c r="N52" s="496"/>
      <c r="O52" s="493"/>
      <c r="P52" s="493"/>
      <c r="Q52" s="493"/>
      <c r="R52" s="496"/>
      <c r="S52" s="496"/>
      <c r="T52" s="496"/>
      <c r="U52" s="496"/>
      <c r="V52" s="499"/>
      <c r="W52" s="496"/>
      <c r="X52" s="493"/>
      <c r="Y52" s="493"/>
      <c r="Z52" s="493"/>
      <c r="AA52" s="493"/>
      <c r="AB52" s="496"/>
    </row>
    <row r="53" ht="18.0" customHeight="1">
      <c r="A53" s="493"/>
      <c r="B53" s="494"/>
      <c r="C53" s="494"/>
      <c r="D53" s="494"/>
      <c r="E53" s="494"/>
      <c r="F53" s="501"/>
      <c r="G53" s="501"/>
      <c r="H53" s="494"/>
      <c r="I53" s="507"/>
      <c r="J53" s="507"/>
      <c r="K53" s="496"/>
      <c r="L53" s="496"/>
      <c r="M53" s="496"/>
      <c r="N53" s="496"/>
      <c r="O53" s="493"/>
      <c r="P53" s="493"/>
      <c r="Q53" s="493"/>
      <c r="R53" s="496"/>
      <c r="S53" s="496"/>
      <c r="T53" s="496"/>
      <c r="U53" s="496"/>
      <c r="V53" s="499"/>
      <c r="W53" s="496"/>
      <c r="X53" s="493"/>
      <c r="Y53" s="493"/>
      <c r="Z53" s="493"/>
      <c r="AA53" s="493"/>
      <c r="AB53" s="496"/>
    </row>
    <row r="54" ht="18.0" customHeight="1">
      <c r="A54" s="493"/>
      <c r="B54" s="494"/>
      <c r="C54" s="494"/>
      <c r="D54" s="494"/>
      <c r="E54" s="494"/>
      <c r="F54" s="501"/>
      <c r="G54" s="501"/>
      <c r="H54" s="494"/>
      <c r="I54" s="507"/>
      <c r="J54" s="507"/>
      <c r="K54" s="496"/>
      <c r="L54" s="496"/>
      <c r="M54" s="496"/>
      <c r="N54" s="496"/>
      <c r="O54" s="493"/>
      <c r="P54" s="493"/>
      <c r="Q54" s="493"/>
      <c r="R54" s="496"/>
      <c r="S54" s="496"/>
      <c r="T54" s="496"/>
      <c r="U54" s="496"/>
      <c r="V54" s="499"/>
      <c r="W54" s="496"/>
      <c r="X54" s="493"/>
      <c r="Y54" s="493"/>
      <c r="Z54" s="493"/>
      <c r="AA54" s="493"/>
      <c r="AB54" s="496"/>
    </row>
    <row r="55" ht="18.0" customHeight="1">
      <c r="A55" s="493"/>
      <c r="B55" s="494"/>
      <c r="C55" s="494"/>
      <c r="D55" s="494"/>
      <c r="E55" s="494"/>
      <c r="F55" s="501"/>
      <c r="G55" s="501"/>
      <c r="H55" s="494"/>
      <c r="I55" s="507"/>
      <c r="J55" s="507"/>
      <c r="K55" s="496"/>
      <c r="L55" s="496"/>
      <c r="M55" s="496"/>
      <c r="N55" s="496"/>
      <c r="O55" s="493"/>
      <c r="P55" s="493"/>
      <c r="Q55" s="493"/>
      <c r="R55" s="496"/>
      <c r="S55" s="496"/>
      <c r="T55" s="496"/>
      <c r="U55" s="496"/>
      <c r="V55" s="499"/>
      <c r="W55" s="496"/>
      <c r="X55" s="493"/>
      <c r="Y55" s="493"/>
      <c r="Z55" s="493"/>
      <c r="AA55" s="493"/>
      <c r="AB55" s="496"/>
    </row>
    <row r="56" ht="18.0" customHeight="1">
      <c r="A56" s="493"/>
      <c r="B56" s="494"/>
      <c r="C56" s="494"/>
      <c r="D56" s="494"/>
      <c r="E56" s="494"/>
      <c r="F56" s="501"/>
      <c r="G56" s="501"/>
      <c r="H56" s="494"/>
      <c r="I56" s="507"/>
      <c r="J56" s="507"/>
      <c r="K56" s="496"/>
      <c r="L56" s="496"/>
      <c r="M56" s="496"/>
      <c r="N56" s="496"/>
      <c r="O56" s="493"/>
      <c r="P56" s="493"/>
      <c r="Q56" s="493"/>
      <c r="R56" s="496"/>
      <c r="S56" s="496"/>
      <c r="T56" s="496"/>
      <c r="U56" s="496"/>
      <c r="V56" s="499"/>
      <c r="W56" s="496"/>
      <c r="X56" s="493"/>
      <c r="Y56" s="493"/>
      <c r="Z56" s="493"/>
      <c r="AA56" s="493"/>
      <c r="AB56" s="496"/>
    </row>
    <row r="57" ht="18.0" customHeight="1">
      <c r="A57" s="493"/>
      <c r="B57" s="494"/>
      <c r="C57" s="494"/>
      <c r="D57" s="494"/>
      <c r="E57" s="494"/>
      <c r="F57" s="501"/>
      <c r="G57" s="501"/>
      <c r="H57" s="494"/>
      <c r="I57" s="507"/>
      <c r="J57" s="507"/>
      <c r="K57" s="496"/>
      <c r="L57" s="496"/>
      <c r="M57" s="496"/>
      <c r="N57" s="496"/>
      <c r="O57" s="493"/>
      <c r="P57" s="493"/>
      <c r="Q57" s="493"/>
      <c r="R57" s="496"/>
      <c r="S57" s="496"/>
      <c r="T57" s="496"/>
      <c r="U57" s="496"/>
      <c r="V57" s="499"/>
      <c r="W57" s="496"/>
      <c r="X57" s="493"/>
      <c r="Y57" s="493"/>
      <c r="Z57" s="493"/>
      <c r="AA57" s="493"/>
      <c r="AB57" s="496"/>
    </row>
    <row r="58" ht="18.0" customHeight="1">
      <c r="A58" s="493"/>
      <c r="B58" s="494"/>
      <c r="C58" s="494"/>
      <c r="D58" s="494"/>
      <c r="E58" s="494"/>
      <c r="F58" s="501"/>
      <c r="G58" s="501"/>
      <c r="H58" s="494"/>
      <c r="I58" s="507"/>
      <c r="J58" s="507"/>
      <c r="K58" s="496"/>
      <c r="L58" s="496"/>
      <c r="M58" s="496"/>
      <c r="N58" s="496"/>
      <c r="O58" s="493"/>
      <c r="P58" s="493"/>
      <c r="Q58" s="493"/>
      <c r="R58" s="496"/>
      <c r="S58" s="496"/>
      <c r="T58" s="496"/>
      <c r="U58" s="496"/>
      <c r="V58" s="499"/>
      <c r="W58" s="496"/>
      <c r="X58" s="493"/>
      <c r="Y58" s="493"/>
      <c r="Z58" s="493"/>
      <c r="AA58" s="493"/>
      <c r="AB58" s="496"/>
    </row>
    <row r="59" ht="18.0" customHeight="1">
      <c r="A59" s="493"/>
      <c r="B59" s="494"/>
      <c r="C59" s="494"/>
      <c r="D59" s="494"/>
      <c r="E59" s="494"/>
      <c r="F59" s="501"/>
      <c r="G59" s="501"/>
      <c r="H59" s="494"/>
      <c r="I59" s="507"/>
      <c r="J59" s="507"/>
      <c r="K59" s="496"/>
      <c r="L59" s="496"/>
      <c r="M59" s="496"/>
      <c r="N59" s="496"/>
      <c r="O59" s="493"/>
      <c r="P59" s="493"/>
      <c r="Q59" s="493"/>
      <c r="R59" s="496"/>
      <c r="S59" s="496"/>
      <c r="T59" s="496"/>
      <c r="U59" s="496"/>
      <c r="V59" s="499"/>
      <c r="W59" s="496"/>
      <c r="X59" s="493"/>
      <c r="Y59" s="493"/>
      <c r="Z59" s="493"/>
      <c r="AA59" s="493"/>
      <c r="AB59" s="496"/>
    </row>
    <row r="60" ht="18.0" customHeight="1">
      <c r="A60" s="493"/>
      <c r="B60" s="494"/>
      <c r="C60" s="494"/>
      <c r="D60" s="494"/>
      <c r="E60" s="494"/>
      <c r="F60" s="501"/>
      <c r="G60" s="501"/>
      <c r="H60" s="494"/>
      <c r="I60" s="507"/>
      <c r="J60" s="507"/>
      <c r="K60" s="496"/>
      <c r="L60" s="496"/>
      <c r="M60" s="496"/>
      <c r="N60" s="496"/>
      <c r="O60" s="493"/>
      <c r="P60" s="493"/>
      <c r="Q60" s="493"/>
      <c r="R60" s="496"/>
      <c r="S60" s="496"/>
      <c r="T60" s="496"/>
      <c r="U60" s="496"/>
      <c r="V60" s="499"/>
      <c r="W60" s="496"/>
      <c r="X60" s="493"/>
      <c r="Y60" s="493"/>
      <c r="Z60" s="493"/>
      <c r="AA60" s="493"/>
      <c r="AB60" s="496"/>
    </row>
    <row r="61" ht="18.0" customHeight="1">
      <c r="A61" s="493"/>
      <c r="B61" s="494"/>
      <c r="C61" s="494"/>
      <c r="D61" s="494"/>
      <c r="E61" s="494"/>
      <c r="F61" s="501"/>
      <c r="G61" s="501"/>
      <c r="H61" s="494"/>
      <c r="I61" s="507"/>
      <c r="J61" s="507"/>
      <c r="K61" s="496"/>
      <c r="L61" s="496"/>
      <c r="M61" s="496"/>
      <c r="N61" s="496"/>
      <c r="O61" s="493"/>
      <c r="P61" s="493"/>
      <c r="Q61" s="493"/>
      <c r="R61" s="496"/>
      <c r="S61" s="496"/>
      <c r="T61" s="496"/>
      <c r="U61" s="496"/>
      <c r="V61" s="499"/>
      <c r="W61" s="496"/>
      <c r="X61" s="493"/>
      <c r="Y61" s="493"/>
      <c r="Z61" s="493"/>
      <c r="AA61" s="493"/>
      <c r="AB61" s="496"/>
    </row>
    <row r="62" ht="18.0" customHeight="1">
      <c r="A62" s="493"/>
      <c r="B62" s="494"/>
      <c r="C62" s="494"/>
      <c r="D62" s="494"/>
      <c r="E62" s="494"/>
      <c r="F62" s="501"/>
      <c r="G62" s="501"/>
      <c r="H62" s="494"/>
      <c r="I62" s="507"/>
      <c r="J62" s="507"/>
      <c r="K62" s="496"/>
      <c r="L62" s="496"/>
      <c r="M62" s="496"/>
      <c r="N62" s="496"/>
      <c r="O62" s="493"/>
      <c r="P62" s="493"/>
      <c r="Q62" s="493"/>
      <c r="R62" s="496"/>
      <c r="S62" s="496"/>
      <c r="T62" s="496"/>
      <c r="U62" s="496"/>
      <c r="V62" s="499"/>
      <c r="W62" s="496"/>
      <c r="X62" s="493"/>
      <c r="Y62" s="493"/>
      <c r="Z62" s="493"/>
      <c r="AA62" s="493"/>
      <c r="AB62" s="496"/>
    </row>
    <row r="63" ht="18.0" customHeight="1">
      <c r="A63" s="493"/>
      <c r="B63" s="494"/>
      <c r="C63" s="494"/>
      <c r="D63" s="494"/>
      <c r="E63" s="494"/>
      <c r="F63" s="501"/>
      <c r="G63" s="501"/>
      <c r="H63" s="494"/>
      <c r="I63" s="507"/>
      <c r="J63" s="507"/>
      <c r="K63" s="496"/>
      <c r="L63" s="496"/>
      <c r="M63" s="496"/>
      <c r="N63" s="496"/>
      <c r="O63" s="493"/>
      <c r="P63" s="493"/>
      <c r="Q63" s="493"/>
      <c r="R63" s="496"/>
      <c r="S63" s="496"/>
      <c r="T63" s="496"/>
      <c r="U63" s="496"/>
      <c r="V63" s="499"/>
      <c r="W63" s="496"/>
      <c r="X63" s="493"/>
      <c r="Y63" s="493"/>
      <c r="Z63" s="493"/>
      <c r="AA63" s="493"/>
      <c r="AB63" s="496"/>
    </row>
    <row r="64" ht="18.0" customHeight="1">
      <c r="A64" s="493"/>
      <c r="B64" s="494"/>
      <c r="C64" s="494"/>
      <c r="D64" s="494"/>
      <c r="E64" s="494"/>
      <c r="F64" s="501"/>
      <c r="G64" s="501"/>
      <c r="H64" s="494"/>
      <c r="I64" s="507"/>
      <c r="J64" s="507"/>
      <c r="K64" s="496"/>
      <c r="L64" s="496"/>
      <c r="M64" s="496"/>
      <c r="N64" s="496"/>
      <c r="O64" s="493"/>
      <c r="P64" s="493"/>
      <c r="Q64" s="493"/>
      <c r="R64" s="496"/>
      <c r="S64" s="496"/>
      <c r="T64" s="496"/>
      <c r="U64" s="496"/>
      <c r="V64" s="499"/>
      <c r="W64" s="496"/>
      <c r="X64" s="493"/>
      <c r="Y64" s="493"/>
      <c r="Z64" s="493"/>
      <c r="AA64" s="493"/>
      <c r="AB64" s="496"/>
    </row>
    <row r="65" ht="18.0" customHeight="1">
      <c r="A65" s="493"/>
      <c r="B65" s="494"/>
      <c r="C65" s="494"/>
      <c r="D65" s="494"/>
      <c r="E65" s="494"/>
      <c r="F65" s="501"/>
      <c r="G65" s="501"/>
      <c r="H65" s="494"/>
      <c r="I65" s="507"/>
      <c r="J65" s="507"/>
      <c r="K65" s="496"/>
      <c r="L65" s="496"/>
      <c r="M65" s="496"/>
      <c r="N65" s="496"/>
      <c r="O65" s="493"/>
      <c r="P65" s="493"/>
      <c r="Q65" s="493"/>
      <c r="R65" s="496"/>
      <c r="S65" s="496"/>
      <c r="T65" s="496"/>
      <c r="U65" s="496"/>
      <c r="V65" s="499"/>
      <c r="W65" s="496"/>
      <c r="X65" s="493"/>
      <c r="Y65" s="493"/>
      <c r="Z65" s="493"/>
      <c r="AA65" s="493"/>
      <c r="AB65" s="496"/>
    </row>
    <row r="66" ht="18.0" customHeight="1">
      <c r="A66" s="493"/>
      <c r="B66" s="494"/>
      <c r="C66" s="494"/>
      <c r="D66" s="494"/>
      <c r="E66" s="494"/>
      <c r="F66" s="501"/>
      <c r="G66" s="501"/>
      <c r="H66" s="494"/>
      <c r="I66" s="507"/>
      <c r="J66" s="507"/>
      <c r="K66" s="496"/>
      <c r="L66" s="496"/>
      <c r="M66" s="496"/>
      <c r="N66" s="496"/>
      <c r="O66" s="493"/>
      <c r="P66" s="493"/>
      <c r="Q66" s="493"/>
      <c r="R66" s="496"/>
      <c r="S66" s="496"/>
      <c r="T66" s="496"/>
      <c r="U66" s="496"/>
      <c r="V66" s="499"/>
      <c r="W66" s="496"/>
      <c r="X66" s="493"/>
      <c r="Y66" s="493"/>
      <c r="Z66" s="493"/>
      <c r="AA66" s="493"/>
      <c r="AB66" s="496"/>
    </row>
    <row r="67" ht="18.0" customHeight="1">
      <c r="A67" s="493"/>
      <c r="B67" s="494"/>
      <c r="C67" s="494"/>
      <c r="D67" s="494"/>
      <c r="E67" s="494"/>
      <c r="F67" s="501"/>
      <c r="G67" s="501"/>
      <c r="H67" s="494"/>
      <c r="I67" s="507"/>
      <c r="J67" s="507"/>
      <c r="K67" s="496"/>
      <c r="L67" s="496"/>
      <c r="M67" s="496"/>
      <c r="N67" s="496"/>
      <c r="O67" s="493"/>
      <c r="P67" s="493"/>
      <c r="Q67" s="493"/>
      <c r="R67" s="496"/>
      <c r="S67" s="496"/>
      <c r="T67" s="496"/>
      <c r="U67" s="496"/>
      <c r="V67" s="499"/>
      <c r="W67" s="496"/>
      <c r="X67" s="493"/>
      <c r="Y67" s="493"/>
      <c r="Z67" s="493"/>
      <c r="AA67" s="493"/>
      <c r="AB67" s="496"/>
    </row>
    <row r="68" ht="18.0" customHeight="1">
      <c r="A68" s="493"/>
      <c r="B68" s="494"/>
      <c r="C68" s="494"/>
      <c r="D68" s="494"/>
      <c r="E68" s="494"/>
      <c r="F68" s="501"/>
      <c r="G68" s="501"/>
      <c r="H68" s="494"/>
      <c r="I68" s="507"/>
      <c r="J68" s="507"/>
      <c r="K68" s="496"/>
      <c r="L68" s="496"/>
      <c r="M68" s="496"/>
      <c r="N68" s="496"/>
      <c r="O68" s="493"/>
      <c r="P68" s="493"/>
      <c r="Q68" s="493"/>
      <c r="R68" s="496"/>
      <c r="S68" s="496"/>
      <c r="T68" s="496"/>
      <c r="U68" s="496"/>
      <c r="V68" s="499"/>
      <c r="W68" s="496"/>
      <c r="X68" s="493"/>
      <c r="Y68" s="493"/>
      <c r="Z68" s="493"/>
      <c r="AA68" s="493"/>
      <c r="AB68" s="496"/>
    </row>
    <row r="69" ht="18.0" customHeight="1">
      <c r="A69" s="493"/>
      <c r="B69" s="494"/>
      <c r="C69" s="494"/>
      <c r="D69" s="494"/>
      <c r="E69" s="494"/>
      <c r="F69" s="501"/>
      <c r="G69" s="501"/>
      <c r="H69" s="494"/>
      <c r="I69" s="507"/>
      <c r="J69" s="507"/>
      <c r="K69" s="496"/>
      <c r="L69" s="496"/>
      <c r="M69" s="496"/>
      <c r="N69" s="496"/>
      <c r="O69" s="493"/>
      <c r="P69" s="493"/>
      <c r="Q69" s="493"/>
      <c r="R69" s="496"/>
      <c r="S69" s="496"/>
      <c r="T69" s="496"/>
      <c r="U69" s="496"/>
      <c r="V69" s="499"/>
      <c r="W69" s="496"/>
      <c r="X69" s="493"/>
      <c r="Y69" s="493"/>
      <c r="Z69" s="493"/>
      <c r="AA69" s="493"/>
      <c r="AB69" s="496"/>
    </row>
    <row r="70" ht="18.0" customHeight="1">
      <c r="A70" s="493"/>
      <c r="B70" s="494"/>
      <c r="C70" s="494"/>
      <c r="D70" s="494"/>
      <c r="E70" s="494"/>
      <c r="F70" s="501"/>
      <c r="G70" s="501"/>
      <c r="H70" s="494"/>
      <c r="I70" s="507"/>
      <c r="J70" s="507"/>
      <c r="K70" s="496"/>
      <c r="L70" s="496"/>
      <c r="M70" s="496"/>
      <c r="N70" s="496"/>
      <c r="O70" s="493"/>
      <c r="P70" s="493"/>
      <c r="Q70" s="493"/>
      <c r="R70" s="496"/>
      <c r="S70" s="496"/>
      <c r="T70" s="496"/>
      <c r="U70" s="496"/>
      <c r="V70" s="499"/>
      <c r="W70" s="496"/>
      <c r="X70" s="493"/>
      <c r="Y70" s="493"/>
      <c r="Z70" s="493"/>
      <c r="AA70" s="493"/>
      <c r="AB70" s="496"/>
    </row>
    <row r="71" ht="18.0" customHeight="1">
      <c r="A71" s="493"/>
      <c r="B71" s="494"/>
      <c r="C71" s="494"/>
      <c r="D71" s="494"/>
      <c r="E71" s="494"/>
      <c r="F71" s="501"/>
      <c r="G71" s="501"/>
      <c r="H71" s="494"/>
      <c r="I71" s="507"/>
      <c r="J71" s="507"/>
      <c r="K71" s="496"/>
      <c r="L71" s="496"/>
      <c r="M71" s="496"/>
      <c r="N71" s="496"/>
      <c r="O71" s="493"/>
      <c r="P71" s="493"/>
      <c r="Q71" s="493"/>
      <c r="R71" s="496"/>
      <c r="S71" s="496"/>
      <c r="T71" s="496"/>
      <c r="U71" s="496"/>
      <c r="V71" s="499"/>
      <c r="W71" s="496"/>
      <c r="X71" s="493"/>
      <c r="Y71" s="493"/>
      <c r="Z71" s="493"/>
      <c r="AA71" s="493"/>
      <c r="AB71" s="496"/>
    </row>
    <row r="72" ht="18.0" customHeight="1">
      <c r="A72" s="493"/>
      <c r="B72" s="494"/>
      <c r="C72" s="494"/>
      <c r="D72" s="494"/>
      <c r="E72" s="494"/>
      <c r="F72" s="501"/>
      <c r="G72" s="501"/>
      <c r="H72" s="494"/>
      <c r="I72" s="507"/>
      <c r="J72" s="507"/>
      <c r="K72" s="496"/>
      <c r="L72" s="496"/>
      <c r="M72" s="496"/>
      <c r="N72" s="496"/>
      <c r="O72" s="493"/>
      <c r="P72" s="493"/>
      <c r="Q72" s="493"/>
      <c r="R72" s="496"/>
      <c r="S72" s="496"/>
      <c r="T72" s="496"/>
      <c r="U72" s="496"/>
      <c r="V72" s="499"/>
      <c r="W72" s="496"/>
      <c r="X72" s="493"/>
      <c r="Y72" s="493"/>
      <c r="Z72" s="493"/>
      <c r="AA72" s="493"/>
      <c r="AB72" s="496"/>
    </row>
    <row r="73" ht="18.0" customHeight="1">
      <c r="A73" s="493"/>
      <c r="B73" s="494"/>
      <c r="C73" s="494"/>
      <c r="D73" s="494"/>
      <c r="E73" s="494"/>
      <c r="F73" s="501"/>
      <c r="G73" s="501"/>
      <c r="H73" s="494"/>
      <c r="I73" s="507"/>
      <c r="J73" s="507"/>
      <c r="K73" s="496"/>
      <c r="L73" s="496"/>
      <c r="M73" s="496"/>
      <c r="N73" s="496"/>
      <c r="O73" s="493"/>
      <c r="P73" s="493"/>
      <c r="Q73" s="493"/>
      <c r="R73" s="496"/>
      <c r="S73" s="496"/>
      <c r="T73" s="496"/>
      <c r="U73" s="496"/>
      <c r="V73" s="499"/>
      <c r="W73" s="496"/>
      <c r="X73" s="493"/>
      <c r="Y73" s="493"/>
      <c r="Z73" s="493"/>
      <c r="AA73" s="493"/>
      <c r="AB73" s="496"/>
    </row>
    <row r="74" ht="18.0" customHeight="1">
      <c r="A74" s="493"/>
      <c r="B74" s="494"/>
      <c r="C74" s="494"/>
      <c r="D74" s="494"/>
      <c r="E74" s="494"/>
      <c r="F74" s="501"/>
      <c r="G74" s="501"/>
      <c r="H74" s="494"/>
      <c r="I74" s="507"/>
      <c r="J74" s="507"/>
      <c r="K74" s="496"/>
      <c r="L74" s="496"/>
      <c r="M74" s="496"/>
      <c r="N74" s="496"/>
      <c r="O74" s="493"/>
      <c r="P74" s="493"/>
      <c r="Q74" s="493"/>
      <c r="R74" s="496"/>
      <c r="S74" s="496"/>
      <c r="T74" s="496"/>
      <c r="U74" s="496"/>
      <c r="V74" s="499"/>
      <c r="W74" s="496"/>
      <c r="X74" s="493"/>
      <c r="Y74" s="493"/>
      <c r="Z74" s="493"/>
      <c r="AA74" s="493"/>
      <c r="AB74" s="496"/>
    </row>
    <row r="75" ht="18.0" customHeight="1">
      <c r="A75" s="493"/>
      <c r="B75" s="494"/>
      <c r="C75" s="494"/>
      <c r="D75" s="494"/>
      <c r="E75" s="494"/>
      <c r="F75" s="501"/>
      <c r="G75" s="501"/>
      <c r="H75" s="494"/>
      <c r="I75" s="507"/>
      <c r="J75" s="507"/>
      <c r="K75" s="496"/>
      <c r="L75" s="496"/>
      <c r="M75" s="496"/>
      <c r="N75" s="496"/>
      <c r="O75" s="493"/>
      <c r="P75" s="493"/>
      <c r="Q75" s="493"/>
      <c r="R75" s="496"/>
      <c r="S75" s="496"/>
      <c r="T75" s="496"/>
      <c r="U75" s="496"/>
      <c r="V75" s="499"/>
      <c r="W75" s="496"/>
      <c r="X75" s="493"/>
      <c r="Y75" s="493"/>
      <c r="Z75" s="493"/>
      <c r="AA75" s="493"/>
      <c r="AB75" s="496"/>
    </row>
    <row r="76" ht="18.0" customHeight="1">
      <c r="A76" s="493"/>
      <c r="B76" s="494"/>
      <c r="C76" s="494"/>
      <c r="D76" s="494"/>
      <c r="E76" s="494"/>
      <c r="F76" s="501"/>
      <c r="G76" s="501"/>
      <c r="H76" s="494"/>
      <c r="I76" s="507"/>
      <c r="J76" s="507"/>
      <c r="K76" s="496"/>
      <c r="L76" s="496"/>
      <c r="M76" s="496"/>
      <c r="N76" s="496"/>
      <c r="O76" s="493"/>
      <c r="P76" s="493"/>
      <c r="Q76" s="493"/>
      <c r="R76" s="496"/>
      <c r="S76" s="496"/>
      <c r="T76" s="496"/>
      <c r="U76" s="496"/>
      <c r="V76" s="499"/>
      <c r="W76" s="496"/>
      <c r="X76" s="493"/>
      <c r="Y76" s="493"/>
      <c r="Z76" s="493"/>
      <c r="AA76" s="493"/>
      <c r="AB76" s="496"/>
    </row>
    <row r="77" ht="18.0" customHeight="1">
      <c r="A77" s="493"/>
      <c r="B77" s="494"/>
      <c r="C77" s="494"/>
      <c r="D77" s="494"/>
      <c r="E77" s="494"/>
      <c r="F77" s="501"/>
      <c r="G77" s="501"/>
      <c r="H77" s="494"/>
      <c r="I77" s="507"/>
      <c r="J77" s="507"/>
      <c r="K77" s="496"/>
      <c r="L77" s="496"/>
      <c r="M77" s="496"/>
      <c r="N77" s="496"/>
      <c r="O77" s="493"/>
      <c r="P77" s="493"/>
      <c r="Q77" s="493"/>
      <c r="R77" s="496"/>
      <c r="S77" s="496"/>
      <c r="T77" s="496"/>
      <c r="U77" s="496"/>
      <c r="V77" s="499"/>
      <c r="W77" s="496"/>
      <c r="X77" s="493"/>
      <c r="Y77" s="493"/>
      <c r="Z77" s="493"/>
      <c r="AA77" s="493"/>
      <c r="AB77" s="496"/>
    </row>
    <row r="78" ht="18.0" customHeight="1">
      <c r="A78" s="493"/>
      <c r="B78" s="494"/>
      <c r="C78" s="494"/>
      <c r="D78" s="494"/>
      <c r="E78" s="494"/>
      <c r="F78" s="501"/>
      <c r="G78" s="501"/>
      <c r="H78" s="494"/>
      <c r="I78" s="507"/>
      <c r="J78" s="507"/>
      <c r="K78" s="496"/>
      <c r="L78" s="496"/>
      <c r="M78" s="496"/>
      <c r="N78" s="496"/>
      <c r="O78" s="493"/>
      <c r="P78" s="493"/>
      <c r="Q78" s="493"/>
      <c r="R78" s="496"/>
      <c r="S78" s="496"/>
      <c r="T78" s="496"/>
      <c r="U78" s="496"/>
      <c r="V78" s="499"/>
      <c r="W78" s="496"/>
      <c r="X78" s="493"/>
      <c r="Y78" s="493"/>
      <c r="Z78" s="493"/>
      <c r="AA78" s="493"/>
      <c r="AB78" s="496"/>
    </row>
    <row r="79" ht="18.0" customHeight="1">
      <c r="A79" s="493"/>
      <c r="B79" s="494"/>
      <c r="C79" s="494"/>
      <c r="D79" s="494"/>
      <c r="E79" s="494"/>
      <c r="F79" s="501"/>
      <c r="G79" s="501"/>
      <c r="H79" s="494"/>
      <c r="I79" s="507"/>
      <c r="J79" s="507"/>
      <c r="K79" s="496"/>
      <c r="L79" s="496"/>
      <c r="M79" s="496"/>
      <c r="N79" s="496"/>
      <c r="O79" s="493"/>
      <c r="P79" s="493"/>
      <c r="Q79" s="493"/>
      <c r="R79" s="496"/>
      <c r="S79" s="496"/>
      <c r="T79" s="496"/>
      <c r="U79" s="496"/>
      <c r="V79" s="499"/>
      <c r="W79" s="496"/>
      <c r="X79" s="493"/>
      <c r="Y79" s="493"/>
      <c r="Z79" s="493"/>
      <c r="AA79" s="493"/>
      <c r="AB79" s="496"/>
    </row>
    <row r="80" ht="18.0" customHeight="1">
      <c r="A80" s="493"/>
      <c r="B80" s="494"/>
      <c r="C80" s="494"/>
      <c r="D80" s="494"/>
      <c r="E80" s="494"/>
      <c r="F80" s="501"/>
      <c r="G80" s="501"/>
      <c r="H80" s="494"/>
      <c r="I80" s="507"/>
      <c r="J80" s="507"/>
      <c r="K80" s="496"/>
      <c r="L80" s="496"/>
      <c r="M80" s="496"/>
      <c r="N80" s="496"/>
      <c r="O80" s="493"/>
      <c r="P80" s="493"/>
      <c r="Q80" s="493"/>
      <c r="R80" s="496"/>
      <c r="S80" s="496"/>
      <c r="T80" s="496"/>
      <c r="U80" s="496"/>
      <c r="V80" s="499"/>
      <c r="W80" s="496"/>
      <c r="X80" s="493"/>
      <c r="Y80" s="493"/>
      <c r="Z80" s="493"/>
      <c r="AA80" s="493"/>
      <c r="AB80" s="496"/>
    </row>
    <row r="81" ht="18.0" customHeight="1">
      <c r="A81" s="493"/>
      <c r="B81" s="494"/>
      <c r="C81" s="494"/>
      <c r="D81" s="494"/>
      <c r="E81" s="494"/>
      <c r="F81" s="501"/>
      <c r="G81" s="501"/>
      <c r="H81" s="494"/>
      <c r="I81" s="507"/>
      <c r="J81" s="507"/>
      <c r="K81" s="496"/>
      <c r="L81" s="496"/>
      <c r="M81" s="496"/>
      <c r="N81" s="496"/>
      <c r="O81" s="493"/>
      <c r="P81" s="493"/>
      <c r="Q81" s="493"/>
      <c r="R81" s="496"/>
      <c r="S81" s="496"/>
      <c r="T81" s="496"/>
      <c r="U81" s="496"/>
      <c r="V81" s="499"/>
      <c r="W81" s="496"/>
      <c r="X81" s="493"/>
      <c r="Y81" s="493"/>
      <c r="Z81" s="493"/>
      <c r="AA81" s="493"/>
      <c r="AB81" s="496"/>
    </row>
    <row r="82" ht="18.0" customHeight="1">
      <c r="A82" s="493"/>
      <c r="B82" s="494"/>
      <c r="C82" s="494"/>
      <c r="D82" s="494"/>
      <c r="E82" s="494"/>
      <c r="F82" s="501"/>
      <c r="G82" s="501"/>
      <c r="H82" s="494"/>
      <c r="I82" s="507"/>
      <c r="J82" s="507"/>
      <c r="K82" s="496"/>
      <c r="L82" s="496"/>
      <c r="M82" s="496"/>
      <c r="N82" s="496"/>
      <c r="O82" s="493"/>
      <c r="P82" s="493"/>
      <c r="Q82" s="493"/>
      <c r="R82" s="496"/>
      <c r="S82" s="496"/>
      <c r="T82" s="496"/>
      <c r="U82" s="496"/>
      <c r="V82" s="499"/>
      <c r="W82" s="496"/>
      <c r="X82" s="493"/>
      <c r="Y82" s="493"/>
      <c r="Z82" s="493"/>
      <c r="AA82" s="493"/>
      <c r="AB82" s="496"/>
    </row>
    <row r="83" ht="18.0" customHeight="1">
      <c r="A83" s="493"/>
      <c r="B83" s="494"/>
      <c r="C83" s="494"/>
      <c r="D83" s="494"/>
      <c r="E83" s="494"/>
      <c r="F83" s="501"/>
      <c r="G83" s="501"/>
      <c r="H83" s="494"/>
      <c r="I83" s="507"/>
      <c r="J83" s="507"/>
      <c r="K83" s="496"/>
      <c r="L83" s="496"/>
      <c r="M83" s="496"/>
      <c r="N83" s="496"/>
      <c r="O83" s="493"/>
      <c r="P83" s="493"/>
      <c r="Q83" s="493"/>
      <c r="R83" s="496"/>
      <c r="S83" s="496"/>
      <c r="T83" s="496"/>
      <c r="U83" s="496"/>
      <c r="V83" s="499"/>
      <c r="W83" s="496"/>
      <c r="X83" s="493"/>
      <c r="Y83" s="493"/>
      <c r="Z83" s="493"/>
      <c r="AA83" s="493"/>
      <c r="AB83" s="496"/>
    </row>
    <row r="84" ht="18.0" customHeight="1">
      <c r="A84" s="493"/>
      <c r="B84" s="494"/>
      <c r="C84" s="494"/>
      <c r="D84" s="494"/>
      <c r="E84" s="494"/>
      <c r="F84" s="501"/>
      <c r="G84" s="501"/>
      <c r="H84" s="494"/>
      <c r="I84" s="507"/>
      <c r="J84" s="507"/>
      <c r="K84" s="496"/>
      <c r="L84" s="496"/>
      <c r="M84" s="496"/>
      <c r="N84" s="496"/>
      <c r="O84" s="493"/>
      <c r="P84" s="493"/>
      <c r="Q84" s="493"/>
      <c r="R84" s="496"/>
      <c r="S84" s="496"/>
      <c r="T84" s="496"/>
      <c r="U84" s="496"/>
      <c r="V84" s="499"/>
      <c r="W84" s="496"/>
      <c r="X84" s="493"/>
      <c r="Y84" s="493"/>
      <c r="Z84" s="493"/>
      <c r="AA84" s="493"/>
      <c r="AB84" s="496"/>
    </row>
    <row r="85" ht="18.0" customHeight="1">
      <c r="A85" s="493"/>
      <c r="B85" s="494"/>
      <c r="C85" s="494"/>
      <c r="D85" s="494"/>
      <c r="E85" s="494"/>
      <c r="F85" s="501"/>
      <c r="G85" s="501"/>
      <c r="H85" s="494"/>
      <c r="I85" s="507"/>
      <c r="J85" s="507"/>
      <c r="K85" s="496"/>
      <c r="L85" s="496"/>
      <c r="M85" s="496"/>
      <c r="N85" s="496"/>
      <c r="O85" s="493"/>
      <c r="P85" s="493"/>
      <c r="Q85" s="493"/>
      <c r="R85" s="496"/>
      <c r="S85" s="496"/>
      <c r="T85" s="496"/>
      <c r="U85" s="496"/>
      <c r="V85" s="499"/>
      <c r="W85" s="496"/>
      <c r="X85" s="493"/>
      <c r="Y85" s="493"/>
      <c r="Z85" s="493"/>
      <c r="AA85" s="493"/>
      <c r="AB85" s="496"/>
    </row>
    <row r="86" ht="18.0" customHeight="1">
      <c r="A86" s="493"/>
      <c r="B86" s="494"/>
      <c r="C86" s="494"/>
      <c r="D86" s="494"/>
      <c r="E86" s="494"/>
      <c r="F86" s="501"/>
      <c r="G86" s="501"/>
      <c r="H86" s="494"/>
      <c r="I86" s="507"/>
      <c r="J86" s="507"/>
      <c r="K86" s="496"/>
      <c r="L86" s="496"/>
      <c r="M86" s="496"/>
      <c r="N86" s="496"/>
      <c r="O86" s="493"/>
      <c r="P86" s="493"/>
      <c r="Q86" s="493"/>
      <c r="R86" s="496"/>
      <c r="S86" s="496"/>
      <c r="T86" s="496"/>
      <c r="U86" s="496"/>
      <c r="V86" s="499"/>
      <c r="W86" s="496"/>
      <c r="X86" s="493"/>
      <c r="Y86" s="493"/>
      <c r="Z86" s="493"/>
      <c r="AA86" s="493"/>
      <c r="AB86" s="496"/>
    </row>
    <row r="87" ht="18.0" customHeight="1">
      <c r="A87" s="493"/>
      <c r="B87" s="494"/>
      <c r="C87" s="494"/>
      <c r="D87" s="494"/>
      <c r="E87" s="494"/>
      <c r="F87" s="501"/>
      <c r="G87" s="501"/>
      <c r="H87" s="494"/>
      <c r="I87" s="507"/>
      <c r="J87" s="507"/>
      <c r="K87" s="496"/>
      <c r="L87" s="496"/>
      <c r="M87" s="496"/>
      <c r="N87" s="496"/>
      <c r="O87" s="493"/>
      <c r="P87" s="493"/>
      <c r="Q87" s="493"/>
      <c r="R87" s="496"/>
      <c r="S87" s="496"/>
      <c r="T87" s="496"/>
      <c r="U87" s="496"/>
      <c r="V87" s="499"/>
      <c r="W87" s="496"/>
      <c r="X87" s="493"/>
      <c r="Y87" s="493"/>
      <c r="Z87" s="493"/>
      <c r="AA87" s="493"/>
      <c r="AB87" s="496"/>
    </row>
    <row r="88" ht="18.0" customHeight="1">
      <c r="A88" s="493"/>
      <c r="B88" s="494"/>
      <c r="C88" s="494"/>
      <c r="D88" s="494"/>
      <c r="E88" s="494"/>
      <c r="F88" s="501"/>
      <c r="G88" s="501"/>
      <c r="H88" s="494"/>
      <c r="I88" s="507"/>
      <c r="J88" s="507"/>
      <c r="K88" s="496"/>
      <c r="L88" s="496"/>
      <c r="M88" s="496"/>
      <c r="N88" s="496"/>
      <c r="O88" s="493"/>
      <c r="P88" s="493"/>
      <c r="Q88" s="493"/>
      <c r="R88" s="496"/>
      <c r="S88" s="496"/>
      <c r="T88" s="496"/>
      <c r="U88" s="496"/>
      <c r="V88" s="499"/>
      <c r="W88" s="496"/>
      <c r="X88" s="493"/>
      <c r="Y88" s="493"/>
      <c r="Z88" s="493"/>
      <c r="AA88" s="493"/>
      <c r="AB88" s="496"/>
    </row>
    <row r="89" ht="18.0" customHeight="1">
      <c r="A89" s="493"/>
      <c r="B89" s="494"/>
      <c r="C89" s="494"/>
      <c r="D89" s="494"/>
      <c r="E89" s="494"/>
      <c r="F89" s="501"/>
      <c r="G89" s="501"/>
      <c r="H89" s="494"/>
      <c r="I89" s="507"/>
      <c r="J89" s="507"/>
      <c r="K89" s="496"/>
      <c r="L89" s="496"/>
      <c r="M89" s="496"/>
      <c r="N89" s="496"/>
      <c r="O89" s="493"/>
      <c r="P89" s="493"/>
      <c r="Q89" s="493"/>
      <c r="R89" s="496"/>
      <c r="S89" s="496"/>
      <c r="T89" s="496"/>
      <c r="U89" s="496"/>
      <c r="V89" s="499"/>
      <c r="W89" s="496"/>
      <c r="X89" s="493"/>
      <c r="Y89" s="493"/>
      <c r="Z89" s="493"/>
      <c r="AA89" s="493"/>
      <c r="AB89" s="496"/>
    </row>
    <row r="90" ht="18.0" customHeight="1">
      <c r="A90" s="493"/>
      <c r="B90" s="494"/>
      <c r="C90" s="494"/>
      <c r="D90" s="494"/>
      <c r="E90" s="494"/>
      <c r="F90" s="501"/>
      <c r="G90" s="501"/>
      <c r="H90" s="494"/>
      <c r="I90" s="507"/>
      <c r="J90" s="507"/>
      <c r="K90" s="496"/>
      <c r="L90" s="496"/>
      <c r="M90" s="496"/>
      <c r="N90" s="496"/>
      <c r="O90" s="493"/>
      <c r="P90" s="493"/>
      <c r="Q90" s="493"/>
      <c r="R90" s="496"/>
      <c r="S90" s="496"/>
      <c r="T90" s="496"/>
      <c r="U90" s="496"/>
      <c r="V90" s="499"/>
      <c r="W90" s="496"/>
      <c r="X90" s="493"/>
      <c r="Y90" s="493"/>
      <c r="Z90" s="493"/>
      <c r="AA90" s="493"/>
      <c r="AB90" s="496"/>
    </row>
    <row r="91" ht="18.0" customHeight="1">
      <c r="A91" s="493"/>
      <c r="B91" s="494"/>
      <c r="C91" s="494"/>
      <c r="D91" s="494"/>
      <c r="E91" s="494"/>
      <c r="F91" s="501"/>
      <c r="G91" s="501"/>
      <c r="H91" s="494"/>
      <c r="I91" s="507"/>
      <c r="J91" s="507"/>
      <c r="K91" s="496"/>
      <c r="L91" s="496"/>
      <c r="M91" s="496"/>
      <c r="N91" s="496"/>
      <c r="O91" s="493"/>
      <c r="P91" s="493"/>
      <c r="Q91" s="493"/>
      <c r="R91" s="496"/>
      <c r="S91" s="496"/>
      <c r="T91" s="496"/>
      <c r="U91" s="496"/>
      <c r="V91" s="499"/>
      <c r="W91" s="496"/>
      <c r="X91" s="493"/>
      <c r="Y91" s="493"/>
      <c r="Z91" s="493"/>
      <c r="AA91" s="493"/>
      <c r="AB91" s="496"/>
    </row>
    <row r="92" ht="18.0" customHeight="1">
      <c r="A92" s="493"/>
      <c r="B92" s="494"/>
      <c r="C92" s="494"/>
      <c r="D92" s="494"/>
      <c r="E92" s="494"/>
      <c r="F92" s="501"/>
      <c r="G92" s="501"/>
      <c r="H92" s="494"/>
      <c r="I92" s="507"/>
      <c r="J92" s="507"/>
      <c r="K92" s="496"/>
      <c r="L92" s="496"/>
      <c r="M92" s="496"/>
      <c r="N92" s="496"/>
      <c r="O92" s="493"/>
      <c r="P92" s="493"/>
      <c r="Q92" s="493"/>
      <c r="R92" s="496"/>
      <c r="S92" s="496"/>
      <c r="T92" s="496"/>
      <c r="U92" s="496"/>
      <c r="V92" s="499"/>
      <c r="W92" s="496"/>
      <c r="X92" s="493"/>
      <c r="Y92" s="493"/>
      <c r="Z92" s="493"/>
      <c r="AA92" s="493"/>
      <c r="AB92" s="496"/>
    </row>
    <row r="93" ht="18.0" customHeight="1">
      <c r="A93" s="493"/>
      <c r="B93" s="494"/>
      <c r="C93" s="494"/>
      <c r="D93" s="494"/>
      <c r="E93" s="494"/>
      <c r="F93" s="501"/>
      <c r="G93" s="501"/>
      <c r="H93" s="494"/>
      <c r="I93" s="507"/>
      <c r="J93" s="507"/>
      <c r="K93" s="496"/>
      <c r="L93" s="496"/>
      <c r="M93" s="496"/>
      <c r="N93" s="496"/>
      <c r="O93" s="493"/>
      <c r="P93" s="493"/>
      <c r="Q93" s="493"/>
      <c r="R93" s="496"/>
      <c r="S93" s="496"/>
      <c r="T93" s="496"/>
      <c r="U93" s="496"/>
      <c r="V93" s="499"/>
      <c r="W93" s="496"/>
      <c r="X93" s="493"/>
      <c r="Y93" s="493"/>
      <c r="Z93" s="493"/>
      <c r="AA93" s="493"/>
      <c r="AB93" s="496"/>
    </row>
    <row r="94" ht="18.0" customHeight="1">
      <c r="A94" s="493"/>
      <c r="B94" s="494"/>
      <c r="C94" s="494"/>
      <c r="D94" s="494"/>
      <c r="E94" s="494"/>
      <c r="F94" s="501"/>
      <c r="G94" s="501"/>
      <c r="H94" s="494"/>
      <c r="I94" s="507"/>
      <c r="J94" s="507"/>
      <c r="K94" s="496"/>
      <c r="L94" s="496"/>
      <c r="M94" s="496"/>
      <c r="N94" s="496"/>
      <c r="O94" s="493"/>
      <c r="P94" s="493"/>
      <c r="Q94" s="493"/>
      <c r="R94" s="496"/>
      <c r="S94" s="496"/>
      <c r="T94" s="496"/>
      <c r="U94" s="496"/>
      <c r="V94" s="499"/>
      <c r="W94" s="496"/>
      <c r="X94" s="493"/>
      <c r="Y94" s="493"/>
      <c r="Z94" s="493"/>
      <c r="AA94" s="493"/>
      <c r="AB94" s="496"/>
    </row>
    <row r="95" ht="18.0" customHeight="1">
      <c r="A95" s="493"/>
      <c r="B95" s="494"/>
      <c r="C95" s="494"/>
      <c r="D95" s="494"/>
      <c r="E95" s="494"/>
      <c r="F95" s="501"/>
      <c r="G95" s="501"/>
      <c r="H95" s="494"/>
      <c r="I95" s="507"/>
      <c r="J95" s="507"/>
      <c r="K95" s="496"/>
      <c r="L95" s="496"/>
      <c r="M95" s="496"/>
      <c r="N95" s="496"/>
      <c r="O95" s="493"/>
      <c r="P95" s="493"/>
      <c r="Q95" s="493"/>
      <c r="R95" s="496"/>
      <c r="S95" s="496"/>
      <c r="T95" s="496"/>
      <c r="U95" s="496"/>
      <c r="V95" s="499"/>
      <c r="W95" s="496"/>
      <c r="X95" s="493"/>
      <c r="Y95" s="493"/>
      <c r="Z95" s="493"/>
      <c r="AA95" s="493"/>
      <c r="AB95" s="496"/>
    </row>
    <row r="96" ht="18.0" customHeight="1">
      <c r="A96" s="493"/>
      <c r="B96" s="494"/>
      <c r="C96" s="494"/>
      <c r="D96" s="494"/>
      <c r="E96" s="494"/>
      <c r="F96" s="501"/>
      <c r="G96" s="501"/>
      <c r="H96" s="494"/>
      <c r="I96" s="507"/>
      <c r="J96" s="507"/>
      <c r="K96" s="496"/>
      <c r="L96" s="496"/>
      <c r="M96" s="496"/>
      <c r="N96" s="496"/>
      <c r="O96" s="493"/>
      <c r="P96" s="493"/>
      <c r="Q96" s="493"/>
      <c r="R96" s="496"/>
      <c r="S96" s="496"/>
      <c r="T96" s="496"/>
      <c r="U96" s="496"/>
      <c r="V96" s="499"/>
      <c r="W96" s="496"/>
      <c r="X96" s="493"/>
      <c r="Y96" s="493"/>
      <c r="Z96" s="493"/>
      <c r="AA96" s="493"/>
      <c r="AB96" s="496"/>
    </row>
    <row r="97" ht="18.0" customHeight="1">
      <c r="A97" s="493"/>
      <c r="B97" s="494"/>
      <c r="C97" s="494"/>
      <c r="D97" s="494"/>
      <c r="E97" s="494"/>
      <c r="F97" s="501"/>
      <c r="G97" s="501"/>
      <c r="H97" s="494"/>
      <c r="I97" s="507"/>
      <c r="J97" s="507"/>
      <c r="K97" s="496"/>
      <c r="L97" s="496"/>
      <c r="M97" s="496"/>
      <c r="N97" s="496"/>
      <c r="O97" s="493"/>
      <c r="P97" s="493"/>
      <c r="Q97" s="493"/>
      <c r="R97" s="496"/>
      <c r="S97" s="496"/>
      <c r="T97" s="496"/>
      <c r="U97" s="496"/>
      <c r="V97" s="499"/>
      <c r="W97" s="496"/>
      <c r="X97" s="493"/>
      <c r="Y97" s="493"/>
      <c r="Z97" s="493"/>
      <c r="AA97" s="493"/>
      <c r="AB97" s="496"/>
    </row>
    <row r="98" ht="18.0" customHeight="1">
      <c r="A98" s="493"/>
      <c r="B98" s="494"/>
      <c r="C98" s="494"/>
      <c r="D98" s="494"/>
      <c r="E98" s="494"/>
      <c r="F98" s="501"/>
      <c r="G98" s="501"/>
      <c r="H98" s="494"/>
      <c r="I98" s="507"/>
      <c r="J98" s="507"/>
      <c r="K98" s="496"/>
      <c r="L98" s="496"/>
      <c r="M98" s="496"/>
      <c r="N98" s="496"/>
      <c r="O98" s="493"/>
      <c r="P98" s="493"/>
      <c r="Q98" s="493"/>
      <c r="R98" s="496"/>
      <c r="S98" s="496"/>
      <c r="T98" s="496"/>
      <c r="U98" s="496"/>
      <c r="V98" s="499"/>
      <c r="W98" s="496"/>
      <c r="X98" s="493"/>
      <c r="Y98" s="493"/>
      <c r="Z98" s="493"/>
      <c r="AA98" s="493"/>
      <c r="AB98" s="496"/>
    </row>
    <row r="99" ht="18.0" customHeight="1">
      <c r="A99" s="493"/>
      <c r="B99" s="494"/>
      <c r="C99" s="494"/>
      <c r="D99" s="494"/>
      <c r="E99" s="494"/>
      <c r="F99" s="501"/>
      <c r="G99" s="501"/>
      <c r="H99" s="494"/>
      <c r="I99" s="507"/>
      <c r="J99" s="507"/>
      <c r="K99" s="496"/>
      <c r="L99" s="496"/>
      <c r="M99" s="496"/>
      <c r="N99" s="496"/>
      <c r="O99" s="493"/>
      <c r="P99" s="493"/>
      <c r="Q99" s="493"/>
      <c r="R99" s="496"/>
      <c r="S99" s="496"/>
      <c r="T99" s="496"/>
      <c r="U99" s="496"/>
      <c r="V99" s="499"/>
      <c r="W99" s="496"/>
      <c r="X99" s="493"/>
      <c r="Y99" s="493"/>
      <c r="Z99" s="493"/>
      <c r="AA99" s="493"/>
      <c r="AB99" s="496"/>
    </row>
    <row r="100" ht="18.0" customHeight="1">
      <c r="A100" s="493"/>
      <c r="B100" s="494"/>
      <c r="C100" s="494"/>
      <c r="D100" s="494"/>
      <c r="E100" s="494"/>
      <c r="F100" s="501"/>
      <c r="G100" s="501"/>
      <c r="H100" s="494"/>
      <c r="I100" s="507"/>
      <c r="J100" s="507"/>
      <c r="K100" s="496"/>
      <c r="L100" s="496"/>
      <c r="M100" s="496"/>
      <c r="N100" s="496"/>
      <c r="O100" s="493"/>
      <c r="P100" s="493"/>
      <c r="Q100" s="493"/>
      <c r="R100" s="496"/>
      <c r="S100" s="496"/>
      <c r="T100" s="496"/>
      <c r="U100" s="496"/>
      <c r="V100" s="499"/>
      <c r="W100" s="496"/>
      <c r="X100" s="493"/>
      <c r="Y100" s="493"/>
      <c r="Z100" s="493"/>
      <c r="AA100" s="493"/>
      <c r="AB100" s="496"/>
    </row>
    <row r="101" ht="18.0" customHeight="1">
      <c r="A101" s="493"/>
      <c r="B101" s="494"/>
      <c r="C101" s="494"/>
      <c r="D101" s="494"/>
      <c r="E101" s="494"/>
      <c r="F101" s="501"/>
      <c r="G101" s="501"/>
      <c r="H101" s="494"/>
      <c r="I101" s="507"/>
      <c r="J101" s="507"/>
      <c r="K101" s="496"/>
      <c r="L101" s="496"/>
      <c r="M101" s="496"/>
      <c r="N101" s="496"/>
      <c r="O101" s="493"/>
      <c r="P101" s="493"/>
      <c r="Q101" s="493"/>
      <c r="R101" s="496"/>
      <c r="S101" s="496"/>
      <c r="T101" s="496"/>
      <c r="U101" s="496"/>
      <c r="V101" s="499"/>
      <c r="W101" s="496"/>
      <c r="X101" s="493"/>
      <c r="Y101" s="493"/>
      <c r="Z101" s="493"/>
      <c r="AA101" s="493"/>
      <c r="AB101" s="496"/>
    </row>
    <row r="102" ht="18.0" customHeight="1">
      <c r="A102" s="493"/>
      <c r="B102" s="494"/>
      <c r="C102" s="494"/>
      <c r="D102" s="494"/>
      <c r="E102" s="494"/>
      <c r="F102" s="501"/>
      <c r="G102" s="501"/>
      <c r="H102" s="494"/>
      <c r="I102" s="507"/>
      <c r="J102" s="507"/>
      <c r="K102" s="496"/>
      <c r="L102" s="496"/>
      <c r="M102" s="496"/>
      <c r="N102" s="496"/>
      <c r="O102" s="493"/>
      <c r="P102" s="493"/>
      <c r="Q102" s="493"/>
      <c r="R102" s="496"/>
      <c r="S102" s="496"/>
      <c r="T102" s="496"/>
      <c r="U102" s="496"/>
      <c r="V102" s="499"/>
      <c r="W102" s="496"/>
      <c r="X102" s="493"/>
      <c r="Y102" s="493"/>
      <c r="Z102" s="493"/>
      <c r="AA102" s="493"/>
      <c r="AB102" s="496"/>
    </row>
    <row r="103" ht="18.0" customHeight="1">
      <c r="A103" s="493"/>
      <c r="B103" s="494"/>
      <c r="C103" s="494"/>
      <c r="D103" s="494"/>
      <c r="E103" s="494"/>
      <c r="F103" s="501"/>
      <c r="G103" s="501"/>
      <c r="H103" s="494"/>
      <c r="I103" s="507"/>
      <c r="J103" s="507"/>
      <c r="K103" s="496"/>
      <c r="L103" s="496"/>
      <c r="M103" s="496"/>
      <c r="N103" s="496"/>
      <c r="O103" s="493"/>
      <c r="P103" s="493"/>
      <c r="Q103" s="493"/>
      <c r="R103" s="496"/>
      <c r="S103" s="496"/>
      <c r="T103" s="496"/>
      <c r="U103" s="496"/>
      <c r="V103" s="499"/>
      <c r="W103" s="496"/>
      <c r="X103" s="493"/>
      <c r="Y103" s="493"/>
      <c r="Z103" s="493"/>
      <c r="AA103" s="493"/>
      <c r="AB103" s="496"/>
    </row>
    <row r="104" ht="18.0" customHeight="1">
      <c r="A104" s="493"/>
      <c r="B104" s="494"/>
      <c r="C104" s="494"/>
      <c r="D104" s="494"/>
      <c r="E104" s="494"/>
      <c r="F104" s="501"/>
      <c r="G104" s="501"/>
      <c r="H104" s="494"/>
      <c r="I104" s="507"/>
      <c r="J104" s="507"/>
      <c r="K104" s="496"/>
      <c r="L104" s="496"/>
      <c r="M104" s="496"/>
      <c r="N104" s="496"/>
      <c r="O104" s="493"/>
      <c r="P104" s="493"/>
      <c r="Q104" s="493"/>
      <c r="R104" s="496"/>
      <c r="S104" s="496"/>
      <c r="T104" s="496"/>
      <c r="U104" s="496"/>
      <c r="V104" s="499"/>
      <c r="W104" s="496"/>
      <c r="X104" s="493"/>
      <c r="Y104" s="493"/>
      <c r="Z104" s="493"/>
      <c r="AA104" s="493"/>
      <c r="AB104" s="496"/>
    </row>
    <row r="105" ht="18.0" customHeight="1">
      <c r="A105" s="493"/>
      <c r="B105" s="494"/>
      <c r="C105" s="494"/>
      <c r="D105" s="494"/>
      <c r="E105" s="494"/>
      <c r="F105" s="501"/>
      <c r="G105" s="501"/>
      <c r="H105" s="494"/>
      <c r="I105" s="507"/>
      <c r="J105" s="507"/>
      <c r="K105" s="496"/>
      <c r="L105" s="496"/>
      <c r="M105" s="496"/>
      <c r="N105" s="496"/>
      <c r="O105" s="493"/>
      <c r="P105" s="493"/>
      <c r="Q105" s="493"/>
      <c r="R105" s="496"/>
      <c r="S105" s="496"/>
      <c r="T105" s="496"/>
      <c r="U105" s="496"/>
      <c r="V105" s="499"/>
      <c r="W105" s="496"/>
      <c r="X105" s="493"/>
      <c r="Y105" s="493"/>
      <c r="Z105" s="493"/>
      <c r="AA105" s="493"/>
      <c r="AB105" s="496"/>
    </row>
    <row r="106" ht="18.0" customHeight="1">
      <c r="A106" s="493"/>
      <c r="B106" s="494"/>
      <c r="C106" s="494"/>
      <c r="D106" s="494"/>
      <c r="E106" s="494"/>
      <c r="F106" s="501"/>
      <c r="G106" s="501"/>
      <c r="H106" s="494"/>
      <c r="I106" s="507"/>
      <c r="J106" s="507"/>
      <c r="K106" s="496"/>
      <c r="L106" s="496"/>
      <c r="M106" s="496"/>
      <c r="N106" s="496"/>
      <c r="O106" s="493"/>
      <c r="P106" s="493"/>
      <c r="Q106" s="493"/>
      <c r="R106" s="496"/>
      <c r="S106" s="496"/>
      <c r="T106" s="496"/>
      <c r="U106" s="496"/>
      <c r="V106" s="499"/>
      <c r="W106" s="496"/>
      <c r="X106" s="493"/>
      <c r="Y106" s="493"/>
      <c r="Z106" s="493"/>
      <c r="AA106" s="493"/>
      <c r="AB106" s="496"/>
    </row>
    <row r="107" ht="18.0" customHeight="1">
      <c r="A107" s="493"/>
      <c r="B107" s="494"/>
      <c r="C107" s="494"/>
      <c r="D107" s="494"/>
      <c r="E107" s="494"/>
      <c r="F107" s="501"/>
      <c r="G107" s="501"/>
      <c r="H107" s="494"/>
      <c r="I107" s="507"/>
      <c r="J107" s="507"/>
      <c r="K107" s="496"/>
      <c r="L107" s="496"/>
      <c r="M107" s="496"/>
      <c r="N107" s="496"/>
      <c r="O107" s="493"/>
      <c r="P107" s="493"/>
      <c r="Q107" s="493"/>
      <c r="R107" s="496"/>
      <c r="S107" s="496"/>
      <c r="T107" s="496"/>
      <c r="U107" s="496"/>
      <c r="V107" s="499"/>
      <c r="W107" s="496"/>
      <c r="X107" s="493"/>
      <c r="Y107" s="493"/>
      <c r="Z107" s="493"/>
      <c r="AA107" s="493"/>
      <c r="AB107" s="496"/>
    </row>
    <row r="108" ht="18.0" customHeight="1">
      <c r="A108" s="493"/>
      <c r="B108" s="494"/>
      <c r="C108" s="494"/>
      <c r="D108" s="494"/>
      <c r="E108" s="494"/>
      <c r="F108" s="501"/>
      <c r="G108" s="501"/>
      <c r="H108" s="494"/>
      <c r="I108" s="507"/>
      <c r="J108" s="507"/>
      <c r="K108" s="496"/>
      <c r="L108" s="496"/>
      <c r="M108" s="496"/>
      <c r="N108" s="496"/>
      <c r="O108" s="493"/>
      <c r="P108" s="493"/>
      <c r="Q108" s="493"/>
      <c r="R108" s="496"/>
      <c r="S108" s="496"/>
      <c r="T108" s="496"/>
      <c r="U108" s="496"/>
      <c r="V108" s="499"/>
      <c r="W108" s="496"/>
      <c r="X108" s="493"/>
      <c r="Y108" s="493"/>
      <c r="Z108" s="493"/>
      <c r="AA108" s="493"/>
      <c r="AB108" s="496"/>
    </row>
    <row r="109" ht="18.0" customHeight="1">
      <c r="A109" s="493"/>
      <c r="B109" s="494"/>
      <c r="C109" s="494"/>
      <c r="D109" s="494"/>
      <c r="E109" s="494"/>
      <c r="F109" s="501"/>
      <c r="G109" s="501"/>
      <c r="H109" s="494"/>
      <c r="I109" s="507"/>
      <c r="J109" s="507"/>
      <c r="K109" s="496"/>
      <c r="L109" s="496"/>
      <c r="M109" s="496"/>
      <c r="N109" s="496"/>
      <c r="O109" s="493"/>
      <c r="P109" s="493"/>
      <c r="Q109" s="493"/>
      <c r="R109" s="496"/>
      <c r="S109" s="496"/>
      <c r="T109" s="496"/>
      <c r="U109" s="496"/>
      <c r="V109" s="499"/>
      <c r="W109" s="496"/>
      <c r="X109" s="493"/>
      <c r="Y109" s="493"/>
      <c r="Z109" s="493"/>
      <c r="AA109" s="493"/>
      <c r="AB109" s="496"/>
    </row>
    <row r="110" ht="18.0" customHeight="1">
      <c r="A110" s="493"/>
      <c r="B110" s="494"/>
      <c r="C110" s="494"/>
      <c r="D110" s="494"/>
      <c r="E110" s="494"/>
      <c r="F110" s="501"/>
      <c r="G110" s="501"/>
      <c r="H110" s="494"/>
      <c r="I110" s="507"/>
      <c r="J110" s="507"/>
      <c r="K110" s="496"/>
      <c r="L110" s="496"/>
      <c r="M110" s="496"/>
      <c r="N110" s="496"/>
      <c r="O110" s="493"/>
      <c r="P110" s="493"/>
      <c r="Q110" s="493"/>
      <c r="R110" s="496"/>
      <c r="S110" s="496"/>
      <c r="T110" s="496"/>
      <c r="U110" s="496"/>
      <c r="V110" s="499"/>
      <c r="W110" s="496"/>
      <c r="X110" s="493"/>
      <c r="Y110" s="493"/>
      <c r="Z110" s="493"/>
      <c r="AA110" s="493"/>
      <c r="AB110" s="496"/>
    </row>
    <row r="111" ht="18.0" customHeight="1">
      <c r="A111" s="493"/>
      <c r="B111" s="494"/>
      <c r="C111" s="494"/>
      <c r="D111" s="494"/>
      <c r="E111" s="494"/>
      <c r="F111" s="501"/>
      <c r="G111" s="501"/>
      <c r="H111" s="494"/>
      <c r="I111" s="507"/>
      <c r="J111" s="507"/>
      <c r="K111" s="496"/>
      <c r="L111" s="496"/>
      <c r="M111" s="496"/>
      <c r="N111" s="496"/>
      <c r="O111" s="493"/>
      <c r="P111" s="493"/>
      <c r="Q111" s="493"/>
      <c r="R111" s="496"/>
      <c r="S111" s="496"/>
      <c r="T111" s="496"/>
      <c r="U111" s="496"/>
      <c r="V111" s="499"/>
      <c r="W111" s="496"/>
      <c r="X111" s="493"/>
      <c r="Y111" s="493"/>
      <c r="Z111" s="493"/>
      <c r="AA111" s="493"/>
      <c r="AB111" s="496"/>
    </row>
    <row r="112" ht="18.0" customHeight="1">
      <c r="A112" s="493"/>
      <c r="B112" s="494"/>
      <c r="C112" s="494"/>
      <c r="D112" s="494"/>
      <c r="E112" s="494"/>
      <c r="F112" s="501"/>
      <c r="G112" s="501"/>
      <c r="H112" s="494"/>
      <c r="I112" s="507"/>
      <c r="J112" s="507"/>
      <c r="K112" s="496"/>
      <c r="L112" s="496"/>
      <c r="M112" s="496"/>
      <c r="N112" s="496"/>
      <c r="O112" s="493"/>
      <c r="P112" s="493"/>
      <c r="Q112" s="493"/>
      <c r="R112" s="496"/>
      <c r="S112" s="496"/>
      <c r="T112" s="496"/>
      <c r="U112" s="496"/>
      <c r="V112" s="499"/>
      <c r="W112" s="496"/>
      <c r="X112" s="493"/>
      <c r="Y112" s="493"/>
      <c r="Z112" s="493"/>
      <c r="AA112" s="493"/>
      <c r="AB112" s="496"/>
    </row>
    <row r="113" ht="18.0" customHeight="1">
      <c r="A113" s="493"/>
      <c r="B113" s="494"/>
      <c r="C113" s="494"/>
      <c r="D113" s="494"/>
      <c r="E113" s="494"/>
      <c r="F113" s="501"/>
      <c r="G113" s="501"/>
      <c r="H113" s="494"/>
      <c r="I113" s="507"/>
      <c r="J113" s="507"/>
      <c r="K113" s="496"/>
      <c r="L113" s="496"/>
      <c r="M113" s="496"/>
      <c r="N113" s="496"/>
      <c r="O113" s="493"/>
      <c r="P113" s="493"/>
      <c r="Q113" s="493"/>
      <c r="R113" s="496"/>
      <c r="S113" s="496"/>
      <c r="T113" s="496"/>
      <c r="U113" s="496"/>
      <c r="V113" s="499"/>
      <c r="W113" s="496"/>
      <c r="X113" s="493"/>
      <c r="Y113" s="493"/>
      <c r="Z113" s="493"/>
      <c r="AA113" s="493"/>
      <c r="AB113" s="496"/>
    </row>
    <row r="114" ht="18.0" customHeight="1">
      <c r="A114" s="493"/>
      <c r="B114" s="494"/>
      <c r="C114" s="494"/>
      <c r="D114" s="494"/>
      <c r="E114" s="494"/>
      <c r="F114" s="501"/>
      <c r="G114" s="501"/>
      <c r="H114" s="494"/>
      <c r="I114" s="507"/>
      <c r="J114" s="507"/>
      <c r="K114" s="496"/>
      <c r="L114" s="496"/>
      <c r="M114" s="496"/>
      <c r="N114" s="496"/>
      <c r="O114" s="493"/>
      <c r="P114" s="493"/>
      <c r="Q114" s="493"/>
      <c r="R114" s="496"/>
      <c r="S114" s="496"/>
      <c r="T114" s="496"/>
      <c r="U114" s="496"/>
      <c r="V114" s="499"/>
      <c r="W114" s="496"/>
      <c r="X114" s="493"/>
      <c r="Y114" s="493"/>
      <c r="Z114" s="493"/>
      <c r="AA114" s="493"/>
      <c r="AB114" s="496"/>
    </row>
    <row r="115" ht="18.0" customHeight="1">
      <c r="A115" s="493"/>
      <c r="B115" s="494"/>
      <c r="C115" s="494"/>
      <c r="D115" s="494"/>
      <c r="E115" s="494"/>
      <c r="F115" s="501"/>
      <c r="G115" s="501"/>
      <c r="H115" s="494"/>
      <c r="I115" s="507"/>
      <c r="J115" s="507"/>
      <c r="K115" s="496"/>
      <c r="L115" s="496"/>
      <c r="M115" s="496"/>
      <c r="N115" s="496"/>
      <c r="O115" s="493"/>
      <c r="P115" s="493"/>
      <c r="Q115" s="493"/>
      <c r="R115" s="496"/>
      <c r="S115" s="496"/>
      <c r="T115" s="496"/>
      <c r="U115" s="496"/>
      <c r="V115" s="499"/>
      <c r="W115" s="496"/>
      <c r="X115" s="493"/>
      <c r="Y115" s="493"/>
      <c r="Z115" s="493"/>
      <c r="AA115" s="493"/>
      <c r="AB115" s="496"/>
    </row>
    <row r="116" ht="18.0" customHeight="1">
      <c r="A116" s="493"/>
      <c r="B116" s="494"/>
      <c r="C116" s="494"/>
      <c r="D116" s="494"/>
      <c r="E116" s="494"/>
      <c r="F116" s="501"/>
      <c r="G116" s="501"/>
      <c r="H116" s="494"/>
      <c r="I116" s="507"/>
      <c r="J116" s="507"/>
      <c r="K116" s="496"/>
      <c r="L116" s="496"/>
      <c r="M116" s="496"/>
      <c r="N116" s="496"/>
      <c r="O116" s="493"/>
      <c r="P116" s="493"/>
      <c r="Q116" s="493"/>
      <c r="R116" s="496"/>
      <c r="S116" s="496"/>
      <c r="T116" s="496"/>
      <c r="U116" s="496"/>
      <c r="V116" s="499"/>
      <c r="W116" s="496"/>
      <c r="X116" s="493"/>
      <c r="Y116" s="493"/>
      <c r="Z116" s="493"/>
      <c r="AA116" s="493"/>
      <c r="AB116" s="496"/>
    </row>
    <row r="117" ht="18.0" customHeight="1">
      <c r="A117" s="493"/>
      <c r="B117" s="494"/>
      <c r="C117" s="494"/>
      <c r="D117" s="494"/>
      <c r="E117" s="494"/>
      <c r="F117" s="501"/>
      <c r="G117" s="501"/>
      <c r="H117" s="494"/>
      <c r="I117" s="507"/>
      <c r="J117" s="507"/>
      <c r="K117" s="496"/>
      <c r="L117" s="496"/>
      <c r="M117" s="496"/>
      <c r="N117" s="496"/>
      <c r="O117" s="493"/>
      <c r="P117" s="493"/>
      <c r="Q117" s="493"/>
      <c r="R117" s="496"/>
      <c r="S117" s="496"/>
      <c r="T117" s="496"/>
      <c r="U117" s="496"/>
      <c r="V117" s="499"/>
      <c r="W117" s="496"/>
      <c r="X117" s="493"/>
      <c r="Y117" s="493"/>
      <c r="Z117" s="493"/>
      <c r="AA117" s="493"/>
      <c r="AB117" s="496"/>
    </row>
    <row r="118" ht="18.0" customHeight="1">
      <c r="A118" s="493"/>
      <c r="B118" s="494"/>
      <c r="C118" s="494"/>
      <c r="D118" s="494"/>
      <c r="E118" s="494"/>
      <c r="F118" s="501"/>
      <c r="G118" s="501"/>
      <c r="H118" s="494"/>
      <c r="I118" s="507"/>
      <c r="J118" s="507"/>
      <c r="K118" s="496"/>
      <c r="L118" s="496"/>
      <c r="M118" s="496"/>
      <c r="N118" s="496"/>
      <c r="O118" s="493"/>
      <c r="P118" s="493"/>
      <c r="Q118" s="493"/>
      <c r="R118" s="496"/>
      <c r="S118" s="496"/>
      <c r="T118" s="496"/>
      <c r="U118" s="496"/>
      <c r="V118" s="499"/>
      <c r="W118" s="496"/>
      <c r="X118" s="493"/>
      <c r="Y118" s="493"/>
      <c r="Z118" s="493"/>
      <c r="AA118" s="493"/>
      <c r="AB118" s="496"/>
    </row>
    <row r="119" ht="18.0" customHeight="1">
      <c r="A119" s="493"/>
      <c r="B119" s="494"/>
      <c r="C119" s="494"/>
      <c r="D119" s="494"/>
      <c r="E119" s="494"/>
      <c r="F119" s="501"/>
      <c r="G119" s="501"/>
      <c r="H119" s="494"/>
      <c r="I119" s="507"/>
      <c r="J119" s="507"/>
      <c r="K119" s="496"/>
      <c r="L119" s="496"/>
      <c r="M119" s="496"/>
      <c r="N119" s="496"/>
      <c r="O119" s="493"/>
      <c r="P119" s="493"/>
      <c r="Q119" s="493"/>
      <c r="R119" s="496"/>
      <c r="S119" s="496"/>
      <c r="T119" s="496"/>
      <c r="U119" s="496"/>
      <c r="V119" s="499"/>
      <c r="W119" s="496"/>
      <c r="X119" s="493"/>
      <c r="Y119" s="493"/>
      <c r="Z119" s="493"/>
      <c r="AA119" s="493"/>
      <c r="AB119" s="496"/>
    </row>
    <row r="120" ht="18.0" customHeight="1">
      <c r="A120" s="493"/>
      <c r="B120" s="494"/>
      <c r="C120" s="494"/>
      <c r="D120" s="494"/>
      <c r="E120" s="494"/>
      <c r="F120" s="501"/>
      <c r="G120" s="501"/>
      <c r="H120" s="494"/>
      <c r="I120" s="507"/>
      <c r="J120" s="507"/>
      <c r="K120" s="496"/>
      <c r="L120" s="496"/>
      <c r="M120" s="496"/>
      <c r="N120" s="496"/>
      <c r="O120" s="493"/>
      <c r="P120" s="493"/>
      <c r="Q120" s="493"/>
      <c r="R120" s="496"/>
      <c r="S120" s="496"/>
      <c r="T120" s="496"/>
      <c r="U120" s="496"/>
      <c r="V120" s="499"/>
      <c r="W120" s="496"/>
      <c r="X120" s="493"/>
      <c r="Y120" s="493"/>
      <c r="Z120" s="493"/>
      <c r="AA120" s="493"/>
      <c r="AB120" s="496"/>
    </row>
    <row r="121" ht="18.0" customHeight="1">
      <c r="A121" s="493"/>
      <c r="B121" s="494"/>
      <c r="C121" s="494"/>
      <c r="D121" s="494"/>
      <c r="E121" s="494"/>
      <c r="F121" s="501"/>
      <c r="G121" s="501"/>
      <c r="H121" s="494"/>
      <c r="I121" s="507"/>
      <c r="J121" s="507"/>
      <c r="K121" s="496"/>
      <c r="L121" s="496"/>
      <c r="M121" s="496"/>
      <c r="N121" s="496"/>
      <c r="O121" s="493"/>
      <c r="P121" s="493"/>
      <c r="Q121" s="493"/>
      <c r="R121" s="496"/>
      <c r="S121" s="496"/>
      <c r="T121" s="496"/>
      <c r="U121" s="496"/>
      <c r="V121" s="499"/>
      <c r="W121" s="496"/>
      <c r="X121" s="493"/>
      <c r="Y121" s="493"/>
      <c r="Z121" s="493"/>
      <c r="AA121" s="493"/>
      <c r="AB121" s="496"/>
    </row>
    <row r="122" ht="18.0" customHeight="1">
      <c r="A122" s="493"/>
      <c r="B122" s="494"/>
      <c r="C122" s="494"/>
      <c r="D122" s="494"/>
      <c r="E122" s="494"/>
      <c r="F122" s="501"/>
      <c r="G122" s="501"/>
      <c r="H122" s="494"/>
      <c r="I122" s="507"/>
      <c r="J122" s="507"/>
      <c r="K122" s="496"/>
      <c r="L122" s="496"/>
      <c r="M122" s="496"/>
      <c r="N122" s="496"/>
      <c r="O122" s="493"/>
      <c r="P122" s="493"/>
      <c r="Q122" s="493"/>
      <c r="R122" s="496"/>
      <c r="S122" s="496"/>
      <c r="T122" s="496"/>
      <c r="U122" s="496"/>
      <c r="V122" s="499"/>
      <c r="W122" s="496"/>
      <c r="X122" s="493"/>
      <c r="Y122" s="493"/>
      <c r="Z122" s="493"/>
      <c r="AA122" s="493"/>
      <c r="AB122" s="496"/>
    </row>
    <row r="123" ht="18.0" customHeight="1">
      <c r="A123" s="493"/>
      <c r="B123" s="494"/>
      <c r="C123" s="494"/>
      <c r="D123" s="494"/>
      <c r="E123" s="494"/>
      <c r="F123" s="501"/>
      <c r="G123" s="501"/>
      <c r="H123" s="494"/>
      <c r="I123" s="507"/>
      <c r="J123" s="507"/>
      <c r="K123" s="496"/>
      <c r="L123" s="496"/>
      <c r="M123" s="496"/>
      <c r="N123" s="496"/>
      <c r="O123" s="493"/>
      <c r="P123" s="493"/>
      <c r="Q123" s="493"/>
      <c r="R123" s="496"/>
      <c r="S123" s="496"/>
      <c r="T123" s="496"/>
      <c r="U123" s="496"/>
      <c r="V123" s="499"/>
      <c r="W123" s="496"/>
      <c r="X123" s="493"/>
      <c r="Y123" s="493"/>
      <c r="Z123" s="493"/>
      <c r="AA123" s="493"/>
      <c r="AB123" s="496"/>
    </row>
    <row r="124" ht="18.0" customHeight="1">
      <c r="A124" s="493"/>
      <c r="B124" s="494"/>
      <c r="C124" s="494"/>
      <c r="D124" s="494"/>
      <c r="E124" s="494"/>
      <c r="F124" s="501"/>
      <c r="G124" s="501"/>
      <c r="H124" s="494"/>
      <c r="I124" s="507"/>
      <c r="J124" s="507"/>
      <c r="K124" s="496"/>
      <c r="L124" s="496"/>
      <c r="M124" s="496"/>
      <c r="N124" s="496"/>
      <c r="O124" s="493"/>
      <c r="P124" s="493"/>
      <c r="Q124" s="493"/>
      <c r="R124" s="496"/>
      <c r="S124" s="496"/>
      <c r="T124" s="496"/>
      <c r="U124" s="496"/>
      <c r="V124" s="499"/>
      <c r="W124" s="496"/>
      <c r="X124" s="493"/>
      <c r="Y124" s="493"/>
      <c r="Z124" s="493"/>
      <c r="AA124" s="493"/>
      <c r="AB124" s="496"/>
    </row>
    <row r="125" ht="18.0" customHeight="1">
      <c r="A125" s="493"/>
      <c r="B125" s="494"/>
      <c r="C125" s="494"/>
      <c r="D125" s="494"/>
      <c r="E125" s="494"/>
      <c r="F125" s="501"/>
      <c r="G125" s="501"/>
      <c r="H125" s="494"/>
      <c r="I125" s="507"/>
      <c r="J125" s="507"/>
      <c r="K125" s="496"/>
      <c r="L125" s="496"/>
      <c r="M125" s="496"/>
      <c r="N125" s="496"/>
      <c r="O125" s="493"/>
      <c r="P125" s="493"/>
      <c r="Q125" s="493"/>
      <c r="R125" s="496"/>
      <c r="S125" s="496"/>
      <c r="T125" s="496"/>
      <c r="U125" s="496"/>
      <c r="V125" s="499"/>
      <c r="W125" s="496"/>
      <c r="X125" s="493"/>
      <c r="Y125" s="493"/>
      <c r="Z125" s="493"/>
      <c r="AA125" s="493"/>
      <c r="AB125" s="496"/>
    </row>
    <row r="126" ht="18.0" customHeight="1">
      <c r="A126" s="493"/>
      <c r="B126" s="494"/>
      <c r="C126" s="494"/>
      <c r="D126" s="494"/>
      <c r="E126" s="494"/>
      <c r="F126" s="501"/>
      <c r="G126" s="501"/>
      <c r="H126" s="494"/>
      <c r="I126" s="507"/>
      <c r="J126" s="507"/>
      <c r="K126" s="496"/>
      <c r="L126" s="496"/>
      <c r="M126" s="496"/>
      <c r="N126" s="496"/>
      <c r="O126" s="493"/>
      <c r="P126" s="493"/>
      <c r="Q126" s="493"/>
      <c r="R126" s="496"/>
      <c r="S126" s="496"/>
      <c r="T126" s="496"/>
      <c r="U126" s="496"/>
      <c r="V126" s="499"/>
      <c r="W126" s="496"/>
      <c r="X126" s="493"/>
      <c r="Y126" s="493"/>
      <c r="Z126" s="493"/>
      <c r="AA126" s="493"/>
      <c r="AB126" s="496"/>
    </row>
    <row r="127" ht="18.0" customHeight="1">
      <c r="A127" s="493"/>
      <c r="B127" s="494"/>
      <c r="C127" s="494"/>
      <c r="D127" s="494"/>
      <c r="E127" s="494"/>
      <c r="F127" s="501"/>
      <c r="G127" s="501"/>
      <c r="H127" s="494"/>
      <c r="I127" s="507"/>
      <c r="J127" s="507"/>
      <c r="K127" s="496"/>
      <c r="L127" s="496"/>
      <c r="M127" s="496"/>
      <c r="N127" s="496"/>
      <c r="O127" s="493"/>
      <c r="P127" s="493"/>
      <c r="Q127" s="493"/>
      <c r="R127" s="496"/>
      <c r="S127" s="496"/>
      <c r="T127" s="496"/>
      <c r="U127" s="496"/>
      <c r="V127" s="499"/>
      <c r="W127" s="496"/>
      <c r="X127" s="493"/>
      <c r="Y127" s="493"/>
      <c r="Z127" s="493"/>
      <c r="AA127" s="493"/>
      <c r="AB127" s="496"/>
    </row>
    <row r="128" ht="18.0" customHeight="1">
      <c r="A128" s="493"/>
      <c r="B128" s="494"/>
      <c r="C128" s="494"/>
      <c r="D128" s="494"/>
      <c r="E128" s="494"/>
      <c r="F128" s="501"/>
      <c r="G128" s="501"/>
      <c r="H128" s="494"/>
      <c r="I128" s="507"/>
      <c r="J128" s="507"/>
      <c r="K128" s="496"/>
      <c r="L128" s="496"/>
      <c r="M128" s="496"/>
      <c r="N128" s="496"/>
      <c r="O128" s="493"/>
      <c r="P128" s="493"/>
      <c r="Q128" s="493"/>
      <c r="R128" s="496"/>
      <c r="S128" s="496"/>
      <c r="T128" s="496"/>
      <c r="U128" s="496"/>
      <c r="V128" s="499"/>
      <c r="W128" s="496"/>
      <c r="X128" s="493"/>
      <c r="Y128" s="493"/>
      <c r="Z128" s="493"/>
      <c r="AA128" s="493"/>
      <c r="AB128" s="496"/>
    </row>
    <row r="129" ht="18.0" customHeight="1">
      <c r="A129" s="493"/>
      <c r="B129" s="494"/>
      <c r="C129" s="494"/>
      <c r="D129" s="494"/>
      <c r="E129" s="494"/>
      <c r="F129" s="501"/>
      <c r="G129" s="501"/>
      <c r="H129" s="494"/>
      <c r="I129" s="507"/>
      <c r="J129" s="507"/>
      <c r="K129" s="496"/>
      <c r="L129" s="496"/>
      <c r="M129" s="496"/>
      <c r="N129" s="496"/>
      <c r="O129" s="493"/>
      <c r="P129" s="493"/>
      <c r="Q129" s="493"/>
      <c r="R129" s="496"/>
      <c r="S129" s="496"/>
      <c r="T129" s="496"/>
      <c r="U129" s="496"/>
      <c r="V129" s="499"/>
      <c r="W129" s="496"/>
      <c r="X129" s="493"/>
      <c r="Y129" s="493"/>
      <c r="Z129" s="493"/>
      <c r="AA129" s="493"/>
      <c r="AB129" s="496"/>
    </row>
    <row r="130" ht="18.0" customHeight="1">
      <c r="A130" s="493"/>
      <c r="B130" s="494"/>
      <c r="C130" s="494"/>
      <c r="D130" s="494"/>
      <c r="E130" s="494"/>
      <c r="F130" s="501"/>
      <c r="G130" s="501"/>
      <c r="H130" s="494"/>
      <c r="I130" s="507"/>
      <c r="J130" s="507"/>
      <c r="K130" s="496"/>
      <c r="L130" s="496"/>
      <c r="M130" s="496"/>
      <c r="N130" s="496"/>
      <c r="O130" s="493"/>
      <c r="P130" s="493"/>
      <c r="Q130" s="493"/>
      <c r="R130" s="496"/>
      <c r="S130" s="496"/>
      <c r="T130" s="496"/>
      <c r="U130" s="496"/>
      <c r="V130" s="499"/>
      <c r="W130" s="496"/>
      <c r="X130" s="493"/>
      <c r="Y130" s="493"/>
      <c r="Z130" s="493"/>
      <c r="AA130" s="493"/>
      <c r="AB130" s="496"/>
    </row>
    <row r="131" ht="18.0" customHeight="1">
      <c r="A131" s="493"/>
      <c r="B131" s="494"/>
      <c r="C131" s="494"/>
      <c r="D131" s="494"/>
      <c r="E131" s="494"/>
      <c r="F131" s="501"/>
      <c r="G131" s="501"/>
      <c r="H131" s="494"/>
      <c r="I131" s="507"/>
      <c r="J131" s="507"/>
      <c r="K131" s="496"/>
      <c r="L131" s="496"/>
      <c r="M131" s="496"/>
      <c r="N131" s="496"/>
      <c r="O131" s="493"/>
      <c r="P131" s="493"/>
      <c r="Q131" s="493"/>
      <c r="R131" s="496"/>
      <c r="S131" s="496"/>
      <c r="T131" s="496"/>
      <c r="U131" s="496"/>
      <c r="V131" s="499"/>
      <c r="W131" s="496"/>
      <c r="X131" s="493"/>
      <c r="Y131" s="493"/>
      <c r="Z131" s="493"/>
      <c r="AA131" s="493"/>
      <c r="AB131" s="496"/>
    </row>
    <row r="132" ht="18.0" customHeight="1">
      <c r="A132" s="493"/>
      <c r="B132" s="494"/>
      <c r="C132" s="494"/>
      <c r="D132" s="494"/>
      <c r="E132" s="494"/>
      <c r="F132" s="501"/>
      <c r="G132" s="501"/>
      <c r="H132" s="494"/>
      <c r="I132" s="507"/>
      <c r="J132" s="507"/>
      <c r="K132" s="496"/>
      <c r="L132" s="496"/>
      <c r="M132" s="496"/>
      <c r="N132" s="496"/>
      <c r="O132" s="493"/>
      <c r="P132" s="493"/>
      <c r="Q132" s="493"/>
      <c r="R132" s="496"/>
      <c r="S132" s="496"/>
      <c r="T132" s="496"/>
      <c r="U132" s="496"/>
      <c r="V132" s="499"/>
      <c r="W132" s="496"/>
      <c r="X132" s="493"/>
      <c r="Y132" s="493"/>
      <c r="Z132" s="493"/>
      <c r="AA132" s="493"/>
      <c r="AB132" s="496"/>
    </row>
    <row r="133" ht="18.0" customHeight="1">
      <c r="A133" s="493"/>
      <c r="B133" s="494"/>
      <c r="C133" s="494"/>
      <c r="D133" s="494"/>
      <c r="E133" s="494"/>
      <c r="F133" s="501"/>
      <c r="G133" s="501"/>
      <c r="H133" s="494"/>
      <c r="I133" s="507"/>
      <c r="J133" s="507"/>
      <c r="K133" s="496"/>
      <c r="L133" s="496"/>
      <c r="M133" s="496"/>
      <c r="N133" s="496"/>
      <c r="O133" s="493"/>
      <c r="P133" s="493"/>
      <c r="Q133" s="493"/>
      <c r="R133" s="496"/>
      <c r="S133" s="496"/>
      <c r="T133" s="496"/>
      <c r="U133" s="496"/>
      <c r="V133" s="499"/>
      <c r="W133" s="496"/>
      <c r="X133" s="493"/>
      <c r="Y133" s="493"/>
      <c r="Z133" s="493"/>
      <c r="AA133" s="493"/>
      <c r="AB133" s="496"/>
    </row>
    <row r="134" ht="18.0" customHeight="1">
      <c r="A134" s="493"/>
      <c r="B134" s="494"/>
      <c r="C134" s="494"/>
      <c r="D134" s="494"/>
      <c r="E134" s="494"/>
      <c r="F134" s="501"/>
      <c r="G134" s="501"/>
      <c r="H134" s="494"/>
      <c r="I134" s="507"/>
      <c r="J134" s="507"/>
      <c r="K134" s="496"/>
      <c r="L134" s="496"/>
      <c r="M134" s="496"/>
      <c r="N134" s="496"/>
      <c r="O134" s="493"/>
      <c r="P134" s="493"/>
      <c r="Q134" s="493"/>
      <c r="R134" s="496"/>
      <c r="S134" s="496"/>
      <c r="T134" s="496"/>
      <c r="U134" s="496"/>
      <c r="V134" s="499"/>
      <c r="W134" s="496"/>
      <c r="X134" s="493"/>
      <c r="Y134" s="493"/>
      <c r="Z134" s="493"/>
      <c r="AA134" s="493"/>
      <c r="AB134" s="496"/>
    </row>
    <row r="135" ht="18.0" customHeight="1">
      <c r="A135" s="493"/>
      <c r="B135" s="494"/>
      <c r="C135" s="494"/>
      <c r="D135" s="494"/>
      <c r="E135" s="494"/>
      <c r="F135" s="501"/>
      <c r="G135" s="501"/>
      <c r="H135" s="494"/>
      <c r="I135" s="507"/>
      <c r="J135" s="507"/>
      <c r="K135" s="496"/>
      <c r="L135" s="496"/>
      <c r="M135" s="496"/>
      <c r="N135" s="496"/>
      <c r="O135" s="493"/>
      <c r="P135" s="493"/>
      <c r="Q135" s="493"/>
      <c r="R135" s="496"/>
      <c r="S135" s="496"/>
      <c r="T135" s="496"/>
      <c r="U135" s="496"/>
      <c r="V135" s="499"/>
      <c r="W135" s="496"/>
      <c r="X135" s="493"/>
      <c r="Y135" s="493"/>
      <c r="Z135" s="493"/>
      <c r="AA135" s="493"/>
      <c r="AB135" s="496"/>
    </row>
    <row r="136" ht="18.0" customHeight="1">
      <c r="A136" s="493"/>
      <c r="B136" s="494"/>
      <c r="C136" s="494"/>
      <c r="D136" s="494"/>
      <c r="E136" s="494"/>
      <c r="F136" s="501"/>
      <c r="G136" s="501"/>
      <c r="H136" s="494"/>
      <c r="I136" s="507"/>
      <c r="J136" s="507"/>
      <c r="K136" s="496"/>
      <c r="L136" s="496"/>
      <c r="M136" s="496"/>
      <c r="N136" s="496"/>
      <c r="O136" s="493"/>
      <c r="P136" s="493"/>
      <c r="Q136" s="493"/>
      <c r="R136" s="496"/>
      <c r="S136" s="496"/>
      <c r="T136" s="496"/>
      <c r="U136" s="496"/>
      <c r="V136" s="499"/>
      <c r="W136" s="496"/>
      <c r="X136" s="493"/>
      <c r="Y136" s="493"/>
      <c r="Z136" s="493"/>
      <c r="AA136" s="493"/>
      <c r="AB136" s="496"/>
    </row>
    <row r="137" ht="18.0" customHeight="1">
      <c r="A137" s="493"/>
      <c r="B137" s="494"/>
      <c r="C137" s="494"/>
      <c r="D137" s="494"/>
      <c r="E137" s="494"/>
      <c r="F137" s="501"/>
      <c r="G137" s="501"/>
      <c r="H137" s="494"/>
      <c r="I137" s="507"/>
      <c r="J137" s="507"/>
      <c r="K137" s="496"/>
      <c r="L137" s="496"/>
      <c r="M137" s="496"/>
      <c r="N137" s="496"/>
      <c r="O137" s="493"/>
      <c r="P137" s="493"/>
      <c r="Q137" s="493"/>
      <c r="R137" s="496"/>
      <c r="S137" s="496"/>
      <c r="T137" s="496"/>
      <c r="U137" s="496"/>
      <c r="V137" s="499"/>
      <c r="W137" s="496"/>
      <c r="X137" s="493"/>
      <c r="Y137" s="493"/>
      <c r="Z137" s="493"/>
      <c r="AA137" s="493"/>
      <c r="AB137" s="496"/>
    </row>
    <row r="138" ht="18.0" customHeight="1">
      <c r="A138" s="493"/>
      <c r="B138" s="494"/>
      <c r="C138" s="494"/>
      <c r="D138" s="494"/>
      <c r="E138" s="494"/>
      <c r="F138" s="501"/>
      <c r="G138" s="501"/>
      <c r="H138" s="494"/>
      <c r="I138" s="507"/>
      <c r="J138" s="507"/>
      <c r="K138" s="496"/>
      <c r="L138" s="496"/>
      <c r="M138" s="496"/>
      <c r="N138" s="496"/>
      <c r="O138" s="493"/>
      <c r="P138" s="493"/>
      <c r="Q138" s="493"/>
      <c r="R138" s="496"/>
      <c r="S138" s="496"/>
      <c r="T138" s="496"/>
      <c r="U138" s="496"/>
      <c r="V138" s="499"/>
      <c r="W138" s="496"/>
      <c r="X138" s="493"/>
      <c r="Y138" s="493"/>
      <c r="Z138" s="493"/>
      <c r="AA138" s="493"/>
      <c r="AB138" s="496"/>
    </row>
    <row r="139" ht="18.0" customHeight="1">
      <c r="A139" s="493"/>
      <c r="B139" s="494"/>
      <c r="C139" s="494"/>
      <c r="D139" s="494"/>
      <c r="E139" s="494"/>
      <c r="F139" s="501"/>
      <c r="G139" s="501"/>
      <c r="H139" s="494"/>
      <c r="I139" s="507"/>
      <c r="J139" s="507"/>
      <c r="K139" s="496"/>
      <c r="L139" s="496"/>
      <c r="M139" s="496"/>
      <c r="N139" s="496"/>
      <c r="O139" s="493"/>
      <c r="P139" s="493"/>
      <c r="Q139" s="493"/>
      <c r="R139" s="496"/>
      <c r="S139" s="496"/>
      <c r="T139" s="496"/>
      <c r="U139" s="496"/>
      <c r="V139" s="499"/>
      <c r="W139" s="496"/>
      <c r="X139" s="493"/>
      <c r="Y139" s="493"/>
      <c r="Z139" s="493"/>
      <c r="AA139" s="493"/>
      <c r="AB139" s="496"/>
    </row>
    <row r="140" ht="18.0" customHeight="1">
      <c r="A140" s="493"/>
      <c r="B140" s="494"/>
      <c r="C140" s="494"/>
      <c r="D140" s="494"/>
      <c r="E140" s="494"/>
      <c r="F140" s="501"/>
      <c r="G140" s="501"/>
      <c r="H140" s="494"/>
      <c r="I140" s="507"/>
      <c r="J140" s="507"/>
      <c r="K140" s="496"/>
      <c r="L140" s="496"/>
      <c r="M140" s="496"/>
      <c r="N140" s="496"/>
      <c r="O140" s="493"/>
      <c r="P140" s="493"/>
      <c r="Q140" s="493"/>
      <c r="R140" s="496"/>
      <c r="S140" s="496"/>
      <c r="T140" s="496"/>
      <c r="U140" s="496"/>
      <c r="V140" s="499"/>
      <c r="W140" s="496"/>
      <c r="X140" s="493"/>
      <c r="Y140" s="493"/>
      <c r="Z140" s="493"/>
      <c r="AA140" s="493"/>
      <c r="AB140" s="496"/>
    </row>
    <row r="141" ht="18.0" customHeight="1">
      <c r="A141" s="493"/>
      <c r="B141" s="494"/>
      <c r="C141" s="494"/>
      <c r="D141" s="494"/>
      <c r="E141" s="494"/>
      <c r="F141" s="501"/>
      <c r="G141" s="501"/>
      <c r="H141" s="494"/>
      <c r="I141" s="507"/>
      <c r="J141" s="507"/>
      <c r="K141" s="496"/>
      <c r="L141" s="496"/>
      <c r="M141" s="496"/>
      <c r="N141" s="496"/>
      <c r="O141" s="493"/>
      <c r="P141" s="493"/>
      <c r="Q141" s="493"/>
      <c r="R141" s="496"/>
      <c r="S141" s="496"/>
      <c r="T141" s="496"/>
      <c r="U141" s="496"/>
      <c r="V141" s="499"/>
      <c r="W141" s="496"/>
      <c r="X141" s="493"/>
      <c r="Y141" s="493"/>
      <c r="Z141" s="493"/>
      <c r="AA141" s="493"/>
      <c r="AB141" s="496"/>
    </row>
    <row r="142" ht="18.0" customHeight="1">
      <c r="A142" s="493"/>
      <c r="B142" s="494"/>
      <c r="C142" s="494"/>
      <c r="D142" s="494"/>
      <c r="E142" s="494"/>
      <c r="F142" s="501"/>
      <c r="G142" s="501"/>
      <c r="H142" s="494"/>
      <c r="I142" s="507"/>
      <c r="J142" s="507"/>
      <c r="K142" s="496"/>
      <c r="L142" s="496"/>
      <c r="M142" s="496"/>
      <c r="N142" s="496"/>
      <c r="O142" s="493"/>
      <c r="P142" s="493"/>
      <c r="Q142" s="493"/>
      <c r="R142" s="496"/>
      <c r="S142" s="496"/>
      <c r="T142" s="496"/>
      <c r="U142" s="496"/>
      <c r="V142" s="499"/>
      <c r="W142" s="496"/>
      <c r="X142" s="493"/>
      <c r="Y142" s="493"/>
      <c r="Z142" s="493"/>
      <c r="AA142" s="493"/>
      <c r="AB142" s="496"/>
    </row>
    <row r="143" ht="18.0" customHeight="1">
      <c r="A143" s="493"/>
      <c r="B143" s="494"/>
      <c r="C143" s="494"/>
      <c r="D143" s="494"/>
      <c r="E143" s="494"/>
      <c r="F143" s="501"/>
      <c r="G143" s="501"/>
      <c r="H143" s="494"/>
      <c r="I143" s="507"/>
      <c r="J143" s="507"/>
      <c r="K143" s="496"/>
      <c r="L143" s="496"/>
      <c r="M143" s="496"/>
      <c r="N143" s="496"/>
      <c r="O143" s="493"/>
      <c r="P143" s="493"/>
      <c r="Q143" s="493"/>
      <c r="R143" s="496"/>
      <c r="S143" s="496"/>
      <c r="T143" s="496"/>
      <c r="U143" s="496"/>
      <c r="V143" s="499"/>
      <c r="W143" s="496"/>
      <c r="X143" s="493"/>
      <c r="Y143" s="493"/>
      <c r="Z143" s="493"/>
      <c r="AA143" s="493"/>
      <c r="AB143" s="496"/>
    </row>
    <row r="144" ht="18.0" customHeight="1">
      <c r="A144" s="493"/>
      <c r="B144" s="494"/>
      <c r="C144" s="494"/>
      <c r="D144" s="494"/>
      <c r="E144" s="494"/>
      <c r="F144" s="501"/>
      <c r="G144" s="501"/>
      <c r="H144" s="494"/>
      <c r="I144" s="507"/>
      <c r="J144" s="507"/>
      <c r="K144" s="496"/>
      <c r="L144" s="496"/>
      <c r="M144" s="496"/>
      <c r="N144" s="496"/>
      <c r="O144" s="493"/>
      <c r="P144" s="493"/>
      <c r="Q144" s="493"/>
      <c r="R144" s="496"/>
      <c r="S144" s="496"/>
      <c r="T144" s="496"/>
      <c r="U144" s="496"/>
      <c r="V144" s="499"/>
      <c r="W144" s="496"/>
      <c r="X144" s="493"/>
      <c r="Y144" s="493"/>
      <c r="Z144" s="493"/>
      <c r="AA144" s="493"/>
      <c r="AB144" s="496"/>
    </row>
    <row r="145" ht="18.0" customHeight="1">
      <c r="A145" s="493"/>
      <c r="B145" s="494"/>
      <c r="C145" s="494"/>
      <c r="D145" s="494"/>
      <c r="E145" s="494"/>
      <c r="F145" s="501"/>
      <c r="G145" s="501"/>
      <c r="H145" s="494"/>
      <c r="I145" s="507"/>
      <c r="J145" s="507"/>
      <c r="K145" s="496"/>
      <c r="L145" s="496"/>
      <c r="M145" s="496"/>
      <c r="N145" s="496"/>
      <c r="O145" s="493"/>
      <c r="P145" s="493"/>
      <c r="Q145" s="493"/>
      <c r="R145" s="496"/>
      <c r="S145" s="496"/>
      <c r="T145" s="496"/>
      <c r="U145" s="496"/>
      <c r="V145" s="499"/>
      <c r="W145" s="496"/>
      <c r="X145" s="493"/>
      <c r="Y145" s="493"/>
      <c r="Z145" s="493"/>
      <c r="AA145" s="493"/>
      <c r="AB145" s="496"/>
    </row>
    <row r="146" ht="18.0" customHeight="1">
      <c r="A146" s="493"/>
      <c r="B146" s="494"/>
      <c r="C146" s="494"/>
      <c r="D146" s="494"/>
      <c r="E146" s="494"/>
      <c r="F146" s="501"/>
      <c r="G146" s="501"/>
      <c r="H146" s="494"/>
      <c r="I146" s="507"/>
      <c r="J146" s="507"/>
      <c r="K146" s="496"/>
      <c r="L146" s="496"/>
      <c r="M146" s="496"/>
      <c r="N146" s="496"/>
      <c r="O146" s="493"/>
      <c r="P146" s="493"/>
      <c r="Q146" s="493"/>
      <c r="R146" s="496"/>
      <c r="S146" s="496"/>
      <c r="T146" s="496"/>
      <c r="U146" s="496"/>
      <c r="V146" s="499"/>
      <c r="W146" s="496"/>
      <c r="X146" s="493"/>
      <c r="Y146" s="493"/>
      <c r="Z146" s="493"/>
      <c r="AA146" s="493"/>
      <c r="AB146" s="496"/>
    </row>
    <row r="147" ht="18.0" customHeight="1">
      <c r="A147" s="493"/>
      <c r="B147" s="494"/>
      <c r="C147" s="494"/>
      <c r="D147" s="494"/>
      <c r="E147" s="494"/>
      <c r="F147" s="501"/>
      <c r="G147" s="501"/>
      <c r="H147" s="494"/>
      <c r="I147" s="507"/>
      <c r="J147" s="507"/>
      <c r="K147" s="496"/>
      <c r="L147" s="496"/>
      <c r="M147" s="496"/>
      <c r="N147" s="496"/>
      <c r="O147" s="493"/>
      <c r="P147" s="493"/>
      <c r="Q147" s="493"/>
      <c r="R147" s="496"/>
      <c r="S147" s="496"/>
      <c r="T147" s="496"/>
      <c r="U147" s="496"/>
      <c r="V147" s="499"/>
      <c r="W147" s="496"/>
      <c r="X147" s="493"/>
      <c r="Y147" s="493"/>
      <c r="Z147" s="493"/>
      <c r="AA147" s="493"/>
      <c r="AB147" s="496"/>
    </row>
    <row r="148" ht="18.0" customHeight="1">
      <c r="A148" s="493"/>
      <c r="B148" s="494"/>
      <c r="C148" s="494"/>
      <c r="D148" s="494"/>
      <c r="E148" s="494"/>
      <c r="F148" s="501"/>
      <c r="G148" s="501"/>
      <c r="H148" s="494"/>
      <c r="I148" s="507"/>
      <c r="J148" s="507"/>
      <c r="K148" s="496"/>
      <c r="L148" s="496"/>
      <c r="M148" s="496"/>
      <c r="N148" s="496"/>
      <c r="O148" s="493"/>
      <c r="P148" s="493"/>
      <c r="Q148" s="493"/>
      <c r="R148" s="496"/>
      <c r="S148" s="496"/>
      <c r="T148" s="496"/>
      <c r="U148" s="496"/>
      <c r="V148" s="499"/>
      <c r="W148" s="496"/>
      <c r="X148" s="493"/>
      <c r="Y148" s="493"/>
      <c r="Z148" s="493"/>
      <c r="AA148" s="493"/>
      <c r="AB148" s="496"/>
    </row>
    <row r="149" ht="18.0" customHeight="1">
      <c r="A149" s="493"/>
      <c r="B149" s="494"/>
      <c r="C149" s="494"/>
      <c r="D149" s="494"/>
      <c r="E149" s="494"/>
      <c r="F149" s="501"/>
      <c r="G149" s="501"/>
      <c r="H149" s="494"/>
      <c r="I149" s="507"/>
      <c r="J149" s="507"/>
      <c r="K149" s="496"/>
      <c r="L149" s="496"/>
      <c r="M149" s="496"/>
      <c r="N149" s="496"/>
      <c r="O149" s="493"/>
      <c r="P149" s="493"/>
      <c r="Q149" s="493"/>
      <c r="R149" s="496"/>
      <c r="S149" s="496"/>
      <c r="T149" s="496"/>
      <c r="U149" s="496"/>
      <c r="V149" s="499"/>
      <c r="W149" s="496"/>
      <c r="X149" s="493"/>
      <c r="Y149" s="493"/>
      <c r="Z149" s="493"/>
      <c r="AA149" s="493"/>
      <c r="AB149" s="496"/>
    </row>
    <row r="150" ht="18.0" customHeight="1">
      <c r="A150" s="493"/>
      <c r="B150" s="494"/>
      <c r="C150" s="494"/>
      <c r="D150" s="494"/>
      <c r="E150" s="494"/>
      <c r="F150" s="501"/>
      <c r="G150" s="501"/>
      <c r="H150" s="494"/>
      <c r="I150" s="507"/>
      <c r="J150" s="507"/>
      <c r="K150" s="496"/>
      <c r="L150" s="496"/>
      <c r="M150" s="496"/>
      <c r="N150" s="496"/>
      <c r="O150" s="493"/>
      <c r="P150" s="493"/>
      <c r="Q150" s="493"/>
      <c r="R150" s="496"/>
      <c r="S150" s="496"/>
      <c r="T150" s="496"/>
      <c r="U150" s="496"/>
      <c r="V150" s="499"/>
      <c r="W150" s="496"/>
      <c r="X150" s="493"/>
      <c r="Y150" s="493"/>
      <c r="Z150" s="493"/>
      <c r="AA150" s="493"/>
      <c r="AB150" s="496"/>
    </row>
    <row r="151" ht="18.0" customHeight="1">
      <c r="A151" s="493"/>
      <c r="B151" s="494"/>
      <c r="C151" s="494"/>
      <c r="D151" s="494"/>
      <c r="E151" s="494"/>
      <c r="F151" s="501"/>
      <c r="G151" s="501"/>
      <c r="H151" s="494"/>
      <c r="I151" s="507"/>
      <c r="J151" s="507"/>
      <c r="K151" s="496"/>
      <c r="L151" s="496"/>
      <c r="M151" s="496"/>
      <c r="N151" s="496"/>
      <c r="O151" s="493"/>
      <c r="P151" s="493"/>
      <c r="Q151" s="493"/>
      <c r="R151" s="496"/>
      <c r="S151" s="496"/>
      <c r="T151" s="496"/>
      <c r="U151" s="496"/>
      <c r="V151" s="499"/>
      <c r="W151" s="496"/>
      <c r="X151" s="493"/>
      <c r="Y151" s="493"/>
      <c r="Z151" s="493"/>
      <c r="AA151" s="493"/>
      <c r="AB151" s="496"/>
    </row>
    <row r="152" ht="18.0" customHeight="1">
      <c r="A152" s="493"/>
      <c r="B152" s="494"/>
      <c r="C152" s="494"/>
      <c r="D152" s="494"/>
      <c r="E152" s="494"/>
      <c r="F152" s="501"/>
      <c r="G152" s="501"/>
      <c r="H152" s="494"/>
      <c r="I152" s="507"/>
      <c r="J152" s="507"/>
      <c r="K152" s="496"/>
      <c r="L152" s="496"/>
      <c r="M152" s="496"/>
      <c r="N152" s="496"/>
      <c r="O152" s="493"/>
      <c r="P152" s="493"/>
      <c r="Q152" s="493"/>
      <c r="R152" s="496"/>
      <c r="S152" s="496"/>
      <c r="T152" s="496"/>
      <c r="U152" s="496"/>
      <c r="V152" s="499"/>
      <c r="W152" s="496"/>
      <c r="X152" s="493"/>
      <c r="Y152" s="493"/>
      <c r="Z152" s="493"/>
      <c r="AA152" s="493"/>
      <c r="AB152" s="496"/>
    </row>
    <row r="153" ht="18.0" customHeight="1">
      <c r="A153" s="493"/>
      <c r="B153" s="494"/>
      <c r="C153" s="494"/>
      <c r="D153" s="494"/>
      <c r="E153" s="494"/>
      <c r="F153" s="501"/>
      <c r="G153" s="501"/>
      <c r="H153" s="494"/>
      <c r="I153" s="507"/>
      <c r="J153" s="507"/>
      <c r="K153" s="496"/>
      <c r="L153" s="496"/>
      <c r="M153" s="496"/>
      <c r="N153" s="496"/>
      <c r="O153" s="493"/>
      <c r="P153" s="493"/>
      <c r="Q153" s="493"/>
      <c r="R153" s="496"/>
      <c r="S153" s="496"/>
      <c r="T153" s="496"/>
      <c r="U153" s="496"/>
      <c r="V153" s="499"/>
      <c r="W153" s="496"/>
      <c r="X153" s="493"/>
      <c r="Y153" s="493"/>
      <c r="Z153" s="493"/>
      <c r="AA153" s="493"/>
      <c r="AB153" s="496"/>
    </row>
    <row r="154" ht="18.0" customHeight="1">
      <c r="A154" s="493"/>
      <c r="B154" s="494"/>
      <c r="C154" s="494"/>
      <c r="D154" s="494"/>
      <c r="E154" s="494"/>
      <c r="F154" s="501"/>
      <c r="G154" s="501"/>
      <c r="H154" s="494"/>
      <c r="I154" s="507"/>
      <c r="J154" s="507"/>
      <c r="K154" s="496"/>
      <c r="L154" s="496"/>
      <c r="M154" s="496"/>
      <c r="N154" s="496"/>
      <c r="O154" s="493"/>
      <c r="P154" s="493"/>
      <c r="Q154" s="493"/>
      <c r="R154" s="496"/>
      <c r="S154" s="496"/>
      <c r="T154" s="496"/>
      <c r="U154" s="496"/>
      <c r="V154" s="499"/>
      <c r="W154" s="496"/>
      <c r="X154" s="493"/>
      <c r="Y154" s="493"/>
      <c r="Z154" s="493"/>
      <c r="AA154" s="493"/>
      <c r="AB154" s="496"/>
    </row>
    <row r="155" ht="18.0" customHeight="1">
      <c r="A155" s="493"/>
      <c r="B155" s="494"/>
      <c r="C155" s="494"/>
      <c r="D155" s="494"/>
      <c r="E155" s="494"/>
      <c r="F155" s="501"/>
      <c r="G155" s="501"/>
      <c r="H155" s="494"/>
      <c r="I155" s="507"/>
      <c r="J155" s="507"/>
      <c r="K155" s="496"/>
      <c r="L155" s="496"/>
      <c r="M155" s="496"/>
      <c r="N155" s="496"/>
      <c r="O155" s="493"/>
      <c r="P155" s="493"/>
      <c r="Q155" s="493"/>
      <c r="R155" s="496"/>
      <c r="S155" s="496"/>
      <c r="T155" s="496"/>
      <c r="U155" s="496"/>
      <c r="V155" s="499"/>
      <c r="W155" s="496"/>
      <c r="X155" s="493"/>
      <c r="Y155" s="493"/>
      <c r="Z155" s="493"/>
      <c r="AA155" s="493"/>
      <c r="AB155" s="496"/>
    </row>
    <row r="156" ht="18.0" customHeight="1">
      <c r="A156" s="493"/>
      <c r="B156" s="494"/>
      <c r="C156" s="494"/>
      <c r="D156" s="494"/>
      <c r="E156" s="494"/>
      <c r="F156" s="501"/>
      <c r="G156" s="501"/>
      <c r="H156" s="494"/>
      <c r="I156" s="507"/>
      <c r="J156" s="507"/>
      <c r="K156" s="496"/>
      <c r="L156" s="496"/>
      <c r="M156" s="496"/>
      <c r="N156" s="496"/>
      <c r="O156" s="493"/>
      <c r="P156" s="493"/>
      <c r="Q156" s="493"/>
      <c r="R156" s="496"/>
      <c r="S156" s="496"/>
      <c r="T156" s="496"/>
      <c r="U156" s="496"/>
      <c r="V156" s="499"/>
      <c r="W156" s="496"/>
      <c r="X156" s="493"/>
      <c r="Y156" s="493"/>
      <c r="Z156" s="493"/>
      <c r="AA156" s="493"/>
      <c r="AB156" s="496"/>
    </row>
    <row r="157" ht="18.0" customHeight="1">
      <c r="A157" s="493"/>
      <c r="B157" s="494"/>
      <c r="C157" s="494"/>
      <c r="D157" s="494"/>
      <c r="E157" s="494"/>
      <c r="F157" s="501"/>
      <c r="G157" s="501"/>
      <c r="H157" s="494"/>
      <c r="I157" s="507"/>
      <c r="J157" s="507"/>
      <c r="K157" s="496"/>
      <c r="L157" s="496"/>
      <c r="M157" s="496"/>
      <c r="N157" s="496"/>
      <c r="O157" s="493"/>
      <c r="P157" s="493"/>
      <c r="Q157" s="493"/>
      <c r="R157" s="496"/>
      <c r="S157" s="496"/>
      <c r="T157" s="496"/>
      <c r="U157" s="496"/>
      <c r="V157" s="499"/>
      <c r="W157" s="496"/>
      <c r="X157" s="493"/>
      <c r="Y157" s="493"/>
      <c r="Z157" s="493"/>
      <c r="AA157" s="493"/>
      <c r="AB157" s="496"/>
    </row>
    <row r="158" ht="18.0" customHeight="1">
      <c r="A158" s="493"/>
      <c r="B158" s="494"/>
      <c r="C158" s="494"/>
      <c r="D158" s="494"/>
      <c r="E158" s="494"/>
      <c r="F158" s="501"/>
      <c r="G158" s="501"/>
      <c r="H158" s="494"/>
      <c r="I158" s="507"/>
      <c r="J158" s="507"/>
      <c r="K158" s="496"/>
      <c r="L158" s="496"/>
      <c r="M158" s="496"/>
      <c r="N158" s="496"/>
      <c r="O158" s="493"/>
      <c r="P158" s="493"/>
      <c r="Q158" s="493"/>
      <c r="R158" s="496"/>
      <c r="S158" s="496"/>
      <c r="T158" s="496"/>
      <c r="U158" s="496"/>
      <c r="V158" s="499"/>
      <c r="W158" s="496"/>
      <c r="X158" s="493"/>
      <c r="Y158" s="493"/>
      <c r="Z158" s="493"/>
      <c r="AA158" s="493"/>
      <c r="AB158" s="496"/>
    </row>
    <row r="159" ht="18.0" customHeight="1">
      <c r="A159" s="493"/>
      <c r="B159" s="494"/>
      <c r="C159" s="494"/>
      <c r="D159" s="494"/>
      <c r="E159" s="494"/>
      <c r="F159" s="501"/>
      <c r="G159" s="501"/>
      <c r="H159" s="494"/>
      <c r="I159" s="507"/>
      <c r="J159" s="507"/>
      <c r="K159" s="496"/>
      <c r="L159" s="496"/>
      <c r="M159" s="496"/>
      <c r="N159" s="496"/>
      <c r="O159" s="493"/>
      <c r="P159" s="493"/>
      <c r="Q159" s="493"/>
      <c r="R159" s="496"/>
      <c r="S159" s="496"/>
      <c r="T159" s="496"/>
      <c r="U159" s="496"/>
      <c r="V159" s="499"/>
      <c r="W159" s="496"/>
      <c r="X159" s="493"/>
      <c r="Y159" s="493"/>
      <c r="Z159" s="493"/>
      <c r="AA159" s="493"/>
      <c r="AB159" s="496"/>
    </row>
    <row r="160" ht="18.0" customHeight="1">
      <c r="A160" s="493"/>
      <c r="B160" s="494"/>
      <c r="C160" s="494"/>
      <c r="D160" s="494"/>
      <c r="E160" s="494"/>
      <c r="F160" s="501"/>
      <c r="G160" s="501"/>
      <c r="H160" s="494"/>
      <c r="I160" s="507"/>
      <c r="J160" s="507"/>
      <c r="K160" s="496"/>
      <c r="L160" s="496"/>
      <c r="M160" s="496"/>
      <c r="N160" s="496"/>
      <c r="O160" s="493"/>
      <c r="P160" s="493"/>
      <c r="Q160" s="493"/>
      <c r="R160" s="496"/>
      <c r="S160" s="496"/>
      <c r="T160" s="496"/>
      <c r="U160" s="496"/>
      <c r="V160" s="499"/>
      <c r="W160" s="496"/>
      <c r="X160" s="493"/>
      <c r="Y160" s="493"/>
      <c r="Z160" s="493"/>
      <c r="AA160" s="493"/>
      <c r="AB160" s="496"/>
    </row>
    <row r="161" ht="18.0" customHeight="1">
      <c r="A161" s="493"/>
      <c r="B161" s="494"/>
      <c r="C161" s="494"/>
      <c r="D161" s="494"/>
      <c r="E161" s="494"/>
      <c r="F161" s="501"/>
      <c r="G161" s="501"/>
      <c r="H161" s="494"/>
      <c r="I161" s="507"/>
      <c r="J161" s="507"/>
      <c r="K161" s="496"/>
      <c r="L161" s="496"/>
      <c r="M161" s="496"/>
      <c r="N161" s="496"/>
      <c r="O161" s="493"/>
      <c r="P161" s="493"/>
      <c r="Q161" s="493"/>
      <c r="R161" s="496"/>
      <c r="S161" s="496"/>
      <c r="T161" s="496"/>
      <c r="U161" s="496"/>
      <c r="V161" s="499"/>
      <c r="W161" s="496"/>
      <c r="X161" s="493"/>
      <c r="Y161" s="493"/>
      <c r="Z161" s="493"/>
      <c r="AA161" s="493"/>
      <c r="AB161" s="496"/>
    </row>
    <row r="162" ht="18.0" customHeight="1">
      <c r="A162" s="493"/>
      <c r="B162" s="494"/>
      <c r="C162" s="494"/>
      <c r="D162" s="494"/>
      <c r="E162" s="494"/>
      <c r="F162" s="501"/>
      <c r="G162" s="501"/>
      <c r="H162" s="494"/>
      <c r="I162" s="507"/>
      <c r="J162" s="507"/>
      <c r="K162" s="496"/>
      <c r="L162" s="496"/>
      <c r="M162" s="496"/>
      <c r="N162" s="496"/>
      <c r="O162" s="493"/>
      <c r="P162" s="493"/>
      <c r="Q162" s="493"/>
      <c r="R162" s="496"/>
      <c r="S162" s="496"/>
      <c r="T162" s="496"/>
      <c r="U162" s="496"/>
      <c r="V162" s="499"/>
      <c r="W162" s="496"/>
      <c r="X162" s="493"/>
      <c r="Y162" s="493"/>
      <c r="Z162" s="493"/>
      <c r="AA162" s="493"/>
      <c r="AB162" s="496"/>
    </row>
    <row r="163" ht="18.0" customHeight="1">
      <c r="A163" s="493"/>
      <c r="B163" s="494"/>
      <c r="C163" s="494"/>
      <c r="D163" s="494"/>
      <c r="E163" s="494"/>
      <c r="F163" s="501"/>
      <c r="G163" s="501"/>
      <c r="H163" s="494"/>
      <c r="I163" s="507"/>
      <c r="J163" s="507"/>
      <c r="K163" s="496"/>
      <c r="L163" s="496"/>
      <c r="M163" s="496"/>
      <c r="N163" s="496"/>
      <c r="O163" s="493"/>
      <c r="P163" s="493"/>
      <c r="Q163" s="493"/>
      <c r="R163" s="496"/>
      <c r="S163" s="496"/>
      <c r="T163" s="496"/>
      <c r="U163" s="496"/>
      <c r="V163" s="499"/>
      <c r="W163" s="496"/>
      <c r="X163" s="493"/>
      <c r="Y163" s="493"/>
      <c r="Z163" s="493"/>
      <c r="AA163" s="493"/>
      <c r="AB163" s="496"/>
    </row>
    <row r="164" ht="18.0" customHeight="1">
      <c r="A164" s="493"/>
      <c r="B164" s="494"/>
      <c r="C164" s="494"/>
      <c r="D164" s="494"/>
      <c r="E164" s="494"/>
      <c r="F164" s="501"/>
      <c r="G164" s="501"/>
      <c r="H164" s="494"/>
      <c r="I164" s="507"/>
      <c r="J164" s="507"/>
      <c r="K164" s="496"/>
      <c r="L164" s="496"/>
      <c r="M164" s="496"/>
      <c r="N164" s="496"/>
      <c r="O164" s="493"/>
      <c r="P164" s="493"/>
      <c r="Q164" s="493"/>
      <c r="R164" s="496"/>
      <c r="S164" s="496"/>
      <c r="T164" s="496"/>
      <c r="U164" s="496"/>
      <c r="V164" s="499"/>
      <c r="W164" s="496"/>
      <c r="X164" s="493"/>
      <c r="Y164" s="493"/>
      <c r="Z164" s="493"/>
      <c r="AA164" s="493"/>
      <c r="AB164" s="496"/>
    </row>
    <row r="165" ht="18.0" customHeight="1">
      <c r="A165" s="493"/>
      <c r="B165" s="494"/>
      <c r="C165" s="494"/>
      <c r="D165" s="494"/>
      <c r="E165" s="494"/>
      <c r="F165" s="501"/>
      <c r="G165" s="501"/>
      <c r="H165" s="494"/>
      <c r="I165" s="507"/>
      <c r="J165" s="507"/>
      <c r="K165" s="496"/>
      <c r="L165" s="496"/>
      <c r="M165" s="496"/>
      <c r="N165" s="496"/>
      <c r="O165" s="493"/>
      <c r="P165" s="493"/>
      <c r="Q165" s="493"/>
      <c r="R165" s="496"/>
      <c r="S165" s="496"/>
      <c r="T165" s="496"/>
      <c r="U165" s="496"/>
      <c r="V165" s="499"/>
      <c r="W165" s="496"/>
      <c r="X165" s="493"/>
      <c r="Y165" s="493"/>
      <c r="Z165" s="493"/>
      <c r="AA165" s="493"/>
      <c r="AB165" s="496"/>
    </row>
    <row r="166" ht="18.0" customHeight="1">
      <c r="A166" s="493"/>
      <c r="B166" s="494"/>
      <c r="C166" s="494"/>
      <c r="D166" s="494"/>
      <c r="E166" s="494"/>
      <c r="F166" s="501"/>
      <c r="G166" s="501"/>
      <c r="H166" s="494"/>
      <c r="I166" s="507"/>
      <c r="J166" s="507"/>
      <c r="K166" s="496"/>
      <c r="L166" s="496"/>
      <c r="M166" s="496"/>
      <c r="N166" s="496"/>
      <c r="O166" s="493"/>
      <c r="P166" s="493"/>
      <c r="Q166" s="493"/>
      <c r="R166" s="496"/>
      <c r="S166" s="496"/>
      <c r="T166" s="496"/>
      <c r="U166" s="496"/>
      <c r="V166" s="499"/>
      <c r="W166" s="496"/>
      <c r="X166" s="493"/>
      <c r="Y166" s="493"/>
      <c r="Z166" s="493"/>
      <c r="AA166" s="493"/>
      <c r="AB166" s="496"/>
    </row>
    <row r="167" ht="18.0" customHeight="1">
      <c r="A167" s="493"/>
      <c r="B167" s="494"/>
      <c r="C167" s="494"/>
      <c r="D167" s="494"/>
      <c r="E167" s="494"/>
      <c r="F167" s="501"/>
      <c r="G167" s="501"/>
      <c r="H167" s="494"/>
      <c r="I167" s="507"/>
      <c r="J167" s="507"/>
      <c r="K167" s="496"/>
      <c r="L167" s="496"/>
      <c r="M167" s="496"/>
      <c r="N167" s="496"/>
      <c r="O167" s="493"/>
      <c r="P167" s="493"/>
      <c r="Q167" s="493"/>
      <c r="R167" s="496"/>
      <c r="S167" s="496"/>
      <c r="T167" s="496"/>
      <c r="U167" s="496"/>
      <c r="V167" s="499"/>
      <c r="W167" s="496"/>
      <c r="X167" s="493"/>
      <c r="Y167" s="493"/>
      <c r="Z167" s="493"/>
      <c r="AA167" s="493"/>
      <c r="AB167" s="496"/>
    </row>
    <row r="168" ht="18.0" customHeight="1">
      <c r="A168" s="493"/>
      <c r="B168" s="494"/>
      <c r="C168" s="494"/>
      <c r="D168" s="494"/>
      <c r="E168" s="494"/>
      <c r="F168" s="501"/>
      <c r="G168" s="501"/>
      <c r="H168" s="494"/>
      <c r="I168" s="507"/>
      <c r="J168" s="507"/>
      <c r="K168" s="496"/>
      <c r="L168" s="496"/>
      <c r="M168" s="496"/>
      <c r="N168" s="496"/>
      <c r="O168" s="493"/>
      <c r="P168" s="493"/>
      <c r="Q168" s="493"/>
      <c r="R168" s="496"/>
      <c r="S168" s="496"/>
      <c r="T168" s="496"/>
      <c r="U168" s="496"/>
      <c r="V168" s="499"/>
      <c r="W168" s="496"/>
      <c r="X168" s="493"/>
      <c r="Y168" s="493"/>
      <c r="Z168" s="493"/>
      <c r="AA168" s="493"/>
      <c r="AB168" s="496"/>
    </row>
    <row r="169" ht="18.0" customHeight="1">
      <c r="A169" s="493"/>
      <c r="B169" s="494"/>
      <c r="C169" s="494"/>
      <c r="D169" s="494"/>
      <c r="E169" s="494"/>
      <c r="F169" s="501"/>
      <c r="G169" s="501"/>
      <c r="H169" s="494"/>
      <c r="I169" s="507"/>
      <c r="J169" s="507"/>
      <c r="K169" s="496"/>
      <c r="L169" s="496"/>
      <c r="M169" s="496"/>
      <c r="N169" s="496"/>
      <c r="O169" s="493"/>
      <c r="P169" s="493"/>
      <c r="Q169" s="493"/>
      <c r="R169" s="496"/>
      <c r="S169" s="496"/>
      <c r="T169" s="496"/>
      <c r="U169" s="496"/>
      <c r="V169" s="499"/>
      <c r="W169" s="496"/>
      <c r="X169" s="493"/>
      <c r="Y169" s="493"/>
      <c r="Z169" s="493"/>
      <c r="AA169" s="493"/>
      <c r="AB169" s="496"/>
    </row>
    <row r="170" ht="18.0" customHeight="1">
      <c r="A170" s="493"/>
      <c r="B170" s="494"/>
      <c r="C170" s="494"/>
      <c r="D170" s="494"/>
      <c r="E170" s="494"/>
      <c r="F170" s="501"/>
      <c r="G170" s="501"/>
      <c r="H170" s="494"/>
      <c r="I170" s="507"/>
      <c r="J170" s="507"/>
      <c r="K170" s="496"/>
      <c r="L170" s="496"/>
      <c r="M170" s="496"/>
      <c r="N170" s="496"/>
      <c r="O170" s="493"/>
      <c r="P170" s="493"/>
      <c r="Q170" s="493"/>
      <c r="R170" s="496"/>
      <c r="S170" s="496"/>
      <c r="T170" s="496"/>
      <c r="U170" s="496"/>
      <c r="V170" s="499"/>
      <c r="W170" s="496"/>
      <c r="X170" s="493"/>
      <c r="Y170" s="493"/>
      <c r="Z170" s="493"/>
      <c r="AA170" s="493"/>
      <c r="AB170" s="496"/>
    </row>
    <row r="171" ht="18.0" customHeight="1">
      <c r="A171" s="493"/>
      <c r="B171" s="494"/>
      <c r="C171" s="494"/>
      <c r="D171" s="494"/>
      <c r="E171" s="494"/>
      <c r="F171" s="501"/>
      <c r="G171" s="501"/>
      <c r="H171" s="494"/>
      <c r="I171" s="507"/>
      <c r="J171" s="507"/>
      <c r="K171" s="496"/>
      <c r="L171" s="496"/>
      <c r="M171" s="496"/>
      <c r="N171" s="496"/>
      <c r="O171" s="493"/>
      <c r="P171" s="493"/>
      <c r="Q171" s="493"/>
      <c r="R171" s="496"/>
      <c r="S171" s="496"/>
      <c r="T171" s="496"/>
      <c r="U171" s="496"/>
      <c r="V171" s="499"/>
      <c r="W171" s="496"/>
      <c r="X171" s="493"/>
      <c r="Y171" s="493"/>
      <c r="Z171" s="493"/>
      <c r="AA171" s="493"/>
      <c r="AB171" s="496"/>
    </row>
    <row r="172" ht="18.0" customHeight="1">
      <c r="A172" s="493"/>
      <c r="B172" s="494"/>
      <c r="C172" s="494"/>
      <c r="D172" s="494"/>
      <c r="E172" s="494"/>
      <c r="F172" s="501"/>
      <c r="G172" s="501"/>
      <c r="H172" s="494"/>
      <c r="I172" s="507"/>
      <c r="J172" s="507"/>
      <c r="K172" s="496"/>
      <c r="L172" s="496"/>
      <c r="M172" s="496"/>
      <c r="N172" s="496"/>
      <c r="O172" s="493"/>
      <c r="P172" s="493"/>
      <c r="Q172" s="493"/>
      <c r="R172" s="496"/>
      <c r="S172" s="496"/>
      <c r="T172" s="496"/>
      <c r="U172" s="496"/>
      <c r="V172" s="499"/>
      <c r="W172" s="496"/>
      <c r="X172" s="493"/>
      <c r="Y172" s="493"/>
      <c r="Z172" s="493"/>
      <c r="AA172" s="493"/>
      <c r="AB172" s="496"/>
    </row>
    <row r="173" ht="18.0" customHeight="1">
      <c r="A173" s="493"/>
      <c r="B173" s="494"/>
      <c r="C173" s="494"/>
      <c r="D173" s="494"/>
      <c r="E173" s="494"/>
      <c r="F173" s="501"/>
      <c r="G173" s="501"/>
      <c r="H173" s="494"/>
      <c r="I173" s="507"/>
      <c r="J173" s="507"/>
      <c r="K173" s="496"/>
      <c r="L173" s="496"/>
      <c r="M173" s="496"/>
      <c r="N173" s="496"/>
      <c r="O173" s="493"/>
      <c r="P173" s="493"/>
      <c r="Q173" s="493"/>
      <c r="R173" s="496"/>
      <c r="S173" s="496"/>
      <c r="T173" s="496"/>
      <c r="U173" s="496"/>
      <c r="V173" s="499"/>
      <c r="W173" s="496"/>
      <c r="X173" s="493"/>
      <c r="Y173" s="493"/>
      <c r="Z173" s="493"/>
      <c r="AA173" s="493"/>
      <c r="AB173" s="496"/>
    </row>
    <row r="174" ht="18.0" customHeight="1">
      <c r="A174" s="493"/>
      <c r="B174" s="494"/>
      <c r="C174" s="494"/>
      <c r="D174" s="494"/>
      <c r="E174" s="494"/>
      <c r="F174" s="501"/>
      <c r="G174" s="501"/>
      <c r="H174" s="494"/>
      <c r="I174" s="507"/>
      <c r="J174" s="507"/>
      <c r="K174" s="496"/>
      <c r="L174" s="496"/>
      <c r="M174" s="496"/>
      <c r="N174" s="496"/>
      <c r="O174" s="493"/>
      <c r="P174" s="493"/>
      <c r="Q174" s="493"/>
      <c r="R174" s="496"/>
      <c r="S174" s="496"/>
      <c r="T174" s="496"/>
      <c r="U174" s="496"/>
      <c r="V174" s="499"/>
      <c r="W174" s="496"/>
      <c r="X174" s="493"/>
      <c r="Y174" s="493"/>
      <c r="Z174" s="493"/>
      <c r="AA174" s="493"/>
      <c r="AB174" s="496"/>
    </row>
    <row r="175" ht="18.0" customHeight="1">
      <c r="A175" s="493"/>
      <c r="B175" s="494"/>
      <c r="C175" s="494"/>
      <c r="D175" s="494"/>
      <c r="E175" s="494"/>
      <c r="F175" s="501"/>
      <c r="G175" s="501"/>
      <c r="H175" s="494"/>
      <c r="I175" s="507"/>
      <c r="J175" s="507"/>
      <c r="K175" s="496"/>
      <c r="L175" s="496"/>
      <c r="M175" s="496"/>
      <c r="N175" s="496"/>
      <c r="O175" s="493"/>
      <c r="P175" s="493"/>
      <c r="Q175" s="493"/>
      <c r="R175" s="496"/>
      <c r="S175" s="496"/>
      <c r="T175" s="496"/>
      <c r="U175" s="496"/>
      <c r="V175" s="499"/>
      <c r="W175" s="496"/>
      <c r="X175" s="493"/>
      <c r="Y175" s="493"/>
      <c r="Z175" s="493"/>
      <c r="AA175" s="493"/>
      <c r="AB175" s="496"/>
    </row>
    <row r="176" ht="18.0" customHeight="1">
      <c r="A176" s="493"/>
      <c r="B176" s="494"/>
      <c r="C176" s="494"/>
      <c r="D176" s="494"/>
      <c r="E176" s="494"/>
      <c r="F176" s="501"/>
      <c r="G176" s="501"/>
      <c r="H176" s="494"/>
      <c r="I176" s="507"/>
      <c r="J176" s="507"/>
      <c r="K176" s="496"/>
      <c r="L176" s="496"/>
      <c r="M176" s="496"/>
      <c r="N176" s="496"/>
      <c r="O176" s="493"/>
      <c r="P176" s="493"/>
      <c r="Q176" s="493"/>
      <c r="R176" s="496"/>
      <c r="S176" s="496"/>
      <c r="T176" s="496"/>
      <c r="U176" s="496"/>
      <c r="V176" s="499"/>
      <c r="W176" s="496"/>
      <c r="X176" s="493"/>
      <c r="Y176" s="493"/>
      <c r="Z176" s="493"/>
      <c r="AA176" s="493"/>
      <c r="AB176" s="496"/>
    </row>
    <row r="177" ht="18.0" customHeight="1">
      <c r="A177" s="493"/>
      <c r="B177" s="494"/>
      <c r="C177" s="494"/>
      <c r="D177" s="494"/>
      <c r="E177" s="494"/>
      <c r="F177" s="501"/>
      <c r="G177" s="501"/>
      <c r="H177" s="494"/>
      <c r="I177" s="507"/>
      <c r="J177" s="507"/>
      <c r="K177" s="496"/>
      <c r="L177" s="496"/>
      <c r="M177" s="496"/>
      <c r="N177" s="496"/>
      <c r="O177" s="493"/>
      <c r="P177" s="493"/>
      <c r="Q177" s="493"/>
      <c r="R177" s="496"/>
      <c r="S177" s="496"/>
      <c r="T177" s="496"/>
      <c r="U177" s="496"/>
      <c r="V177" s="499"/>
      <c r="W177" s="496"/>
      <c r="X177" s="493"/>
      <c r="Y177" s="493"/>
      <c r="Z177" s="493"/>
      <c r="AA177" s="493"/>
      <c r="AB177" s="496"/>
    </row>
    <row r="178" ht="18.0" customHeight="1">
      <c r="A178" s="493"/>
      <c r="B178" s="494"/>
      <c r="C178" s="494"/>
      <c r="D178" s="494"/>
      <c r="E178" s="494"/>
      <c r="F178" s="501"/>
      <c r="G178" s="501"/>
      <c r="H178" s="494"/>
      <c r="I178" s="507"/>
      <c r="J178" s="507"/>
      <c r="K178" s="496"/>
      <c r="L178" s="496"/>
      <c r="M178" s="496"/>
      <c r="N178" s="496"/>
      <c r="O178" s="493"/>
      <c r="P178" s="493"/>
      <c r="Q178" s="493"/>
      <c r="R178" s="496"/>
      <c r="S178" s="496"/>
      <c r="T178" s="496"/>
      <c r="U178" s="496"/>
      <c r="V178" s="499"/>
      <c r="W178" s="496"/>
      <c r="X178" s="493"/>
      <c r="Y178" s="493"/>
      <c r="Z178" s="493"/>
      <c r="AA178" s="493"/>
      <c r="AB178" s="496"/>
    </row>
    <row r="179" ht="18.0" customHeight="1">
      <c r="A179" s="493"/>
      <c r="B179" s="494"/>
      <c r="C179" s="494"/>
      <c r="D179" s="494"/>
      <c r="E179" s="494"/>
      <c r="F179" s="501"/>
      <c r="G179" s="501"/>
      <c r="H179" s="494"/>
      <c r="I179" s="507"/>
      <c r="J179" s="507"/>
      <c r="K179" s="496"/>
      <c r="L179" s="496"/>
      <c r="M179" s="496"/>
      <c r="N179" s="496"/>
      <c r="O179" s="493"/>
      <c r="P179" s="493"/>
      <c r="Q179" s="493"/>
      <c r="R179" s="496"/>
      <c r="S179" s="496"/>
      <c r="T179" s="496"/>
      <c r="U179" s="496"/>
      <c r="V179" s="499"/>
      <c r="W179" s="496"/>
      <c r="X179" s="493"/>
      <c r="Y179" s="493"/>
      <c r="Z179" s="493"/>
      <c r="AA179" s="493"/>
      <c r="AB179" s="496"/>
    </row>
    <row r="180" ht="18.0" customHeight="1">
      <c r="A180" s="493"/>
      <c r="B180" s="494"/>
      <c r="C180" s="494"/>
      <c r="D180" s="494"/>
      <c r="E180" s="494"/>
      <c r="F180" s="501"/>
      <c r="G180" s="501"/>
      <c r="H180" s="494"/>
      <c r="I180" s="507"/>
      <c r="J180" s="507"/>
      <c r="K180" s="496"/>
      <c r="L180" s="496"/>
      <c r="M180" s="496"/>
      <c r="N180" s="496"/>
      <c r="O180" s="493"/>
      <c r="P180" s="493"/>
      <c r="Q180" s="493"/>
      <c r="R180" s="496"/>
      <c r="S180" s="496"/>
      <c r="T180" s="496"/>
      <c r="U180" s="496"/>
      <c r="V180" s="499"/>
      <c r="W180" s="496"/>
      <c r="X180" s="493"/>
      <c r="Y180" s="493"/>
      <c r="Z180" s="493"/>
      <c r="AA180" s="493"/>
      <c r="AB180" s="496"/>
    </row>
    <row r="181" ht="18.0" customHeight="1">
      <c r="A181" s="493"/>
      <c r="B181" s="494"/>
      <c r="C181" s="494"/>
      <c r="D181" s="494"/>
      <c r="E181" s="494"/>
      <c r="F181" s="501"/>
      <c r="G181" s="501"/>
      <c r="H181" s="494"/>
      <c r="I181" s="507"/>
      <c r="J181" s="507"/>
      <c r="K181" s="496"/>
      <c r="L181" s="496"/>
      <c r="M181" s="496"/>
      <c r="N181" s="496"/>
      <c r="O181" s="493"/>
      <c r="P181" s="493"/>
      <c r="Q181" s="493"/>
      <c r="R181" s="496"/>
      <c r="S181" s="496"/>
      <c r="T181" s="496"/>
      <c r="U181" s="496"/>
      <c r="V181" s="499"/>
      <c r="W181" s="496"/>
      <c r="X181" s="493"/>
      <c r="Y181" s="493"/>
      <c r="Z181" s="493"/>
      <c r="AA181" s="493"/>
      <c r="AB181" s="496"/>
    </row>
    <row r="182" ht="18.0" customHeight="1">
      <c r="A182" s="493"/>
      <c r="B182" s="494"/>
      <c r="C182" s="494"/>
      <c r="D182" s="494"/>
      <c r="E182" s="494"/>
      <c r="F182" s="501"/>
      <c r="G182" s="501"/>
      <c r="H182" s="494"/>
      <c r="I182" s="507"/>
      <c r="J182" s="507"/>
      <c r="K182" s="496"/>
      <c r="L182" s="496"/>
      <c r="M182" s="496"/>
      <c r="N182" s="496"/>
      <c r="O182" s="493"/>
      <c r="P182" s="493"/>
      <c r="Q182" s="493"/>
      <c r="R182" s="496"/>
      <c r="S182" s="496"/>
      <c r="T182" s="496"/>
      <c r="U182" s="496"/>
      <c r="V182" s="499"/>
      <c r="W182" s="496"/>
      <c r="X182" s="493"/>
      <c r="Y182" s="493"/>
      <c r="Z182" s="493"/>
      <c r="AA182" s="493"/>
      <c r="AB182" s="496"/>
    </row>
    <row r="183" ht="18.0" customHeight="1">
      <c r="A183" s="493"/>
      <c r="B183" s="494"/>
      <c r="C183" s="494"/>
      <c r="D183" s="494"/>
      <c r="E183" s="494"/>
      <c r="F183" s="501"/>
      <c r="G183" s="501"/>
      <c r="H183" s="494"/>
      <c r="I183" s="507"/>
      <c r="J183" s="507"/>
      <c r="K183" s="496"/>
      <c r="L183" s="496"/>
      <c r="M183" s="496"/>
      <c r="N183" s="496"/>
      <c r="O183" s="493"/>
      <c r="P183" s="493"/>
      <c r="Q183" s="493"/>
      <c r="R183" s="496"/>
      <c r="S183" s="496"/>
      <c r="T183" s="496"/>
      <c r="U183" s="496"/>
      <c r="V183" s="499"/>
      <c r="W183" s="496"/>
      <c r="X183" s="493"/>
      <c r="Y183" s="493"/>
      <c r="Z183" s="493"/>
      <c r="AA183" s="493"/>
      <c r="AB183" s="496"/>
    </row>
    <row r="184" ht="18.0" customHeight="1">
      <c r="A184" s="493"/>
      <c r="B184" s="494"/>
      <c r="C184" s="494"/>
      <c r="D184" s="494"/>
      <c r="E184" s="494"/>
      <c r="F184" s="501"/>
      <c r="G184" s="501"/>
      <c r="H184" s="494"/>
      <c r="I184" s="507"/>
      <c r="J184" s="507"/>
      <c r="K184" s="496"/>
      <c r="L184" s="496"/>
      <c r="M184" s="496"/>
      <c r="N184" s="496"/>
      <c r="O184" s="493"/>
      <c r="P184" s="493"/>
      <c r="Q184" s="493"/>
      <c r="R184" s="496"/>
      <c r="S184" s="496"/>
      <c r="T184" s="496"/>
      <c r="U184" s="496"/>
      <c r="V184" s="499"/>
      <c r="W184" s="496"/>
      <c r="X184" s="493"/>
      <c r="Y184" s="493"/>
      <c r="Z184" s="493"/>
      <c r="AA184" s="493"/>
      <c r="AB184" s="496"/>
    </row>
    <row r="185" ht="18.0" customHeight="1">
      <c r="A185" s="493"/>
      <c r="B185" s="494"/>
      <c r="C185" s="494"/>
      <c r="D185" s="494"/>
      <c r="E185" s="494"/>
      <c r="F185" s="501"/>
      <c r="G185" s="501"/>
      <c r="H185" s="494"/>
      <c r="I185" s="507"/>
      <c r="J185" s="507"/>
      <c r="K185" s="496"/>
      <c r="L185" s="496"/>
      <c r="M185" s="496"/>
      <c r="N185" s="496"/>
      <c r="O185" s="493"/>
      <c r="P185" s="493"/>
      <c r="Q185" s="493"/>
      <c r="R185" s="496"/>
      <c r="S185" s="496"/>
      <c r="T185" s="496"/>
      <c r="U185" s="496"/>
      <c r="V185" s="499"/>
      <c r="W185" s="496"/>
      <c r="X185" s="493"/>
      <c r="Y185" s="493"/>
      <c r="Z185" s="493"/>
      <c r="AA185" s="493"/>
      <c r="AB185" s="496"/>
    </row>
    <row r="186" ht="18.0" customHeight="1">
      <c r="A186" s="493"/>
      <c r="B186" s="494"/>
      <c r="C186" s="494"/>
      <c r="D186" s="494"/>
      <c r="E186" s="494"/>
      <c r="F186" s="501"/>
      <c r="G186" s="501"/>
      <c r="H186" s="494"/>
      <c r="I186" s="507"/>
      <c r="J186" s="507"/>
      <c r="K186" s="496"/>
      <c r="L186" s="496"/>
      <c r="M186" s="496"/>
      <c r="N186" s="496"/>
      <c r="O186" s="493"/>
      <c r="P186" s="493"/>
      <c r="Q186" s="493"/>
      <c r="R186" s="496"/>
      <c r="S186" s="496"/>
      <c r="T186" s="496"/>
      <c r="U186" s="496"/>
      <c r="V186" s="499"/>
      <c r="W186" s="496"/>
      <c r="X186" s="493"/>
      <c r="Y186" s="493"/>
      <c r="Z186" s="493"/>
      <c r="AA186" s="493"/>
      <c r="AB186" s="496"/>
    </row>
    <row r="187" ht="18.0" customHeight="1">
      <c r="A187" s="493"/>
      <c r="B187" s="494"/>
      <c r="C187" s="494"/>
      <c r="D187" s="494"/>
      <c r="E187" s="494"/>
      <c r="F187" s="501"/>
      <c r="G187" s="501"/>
      <c r="H187" s="494"/>
      <c r="I187" s="507"/>
      <c r="J187" s="507"/>
      <c r="K187" s="496"/>
      <c r="L187" s="496"/>
      <c r="M187" s="496"/>
      <c r="N187" s="496"/>
      <c r="O187" s="493"/>
      <c r="P187" s="493"/>
      <c r="Q187" s="493"/>
      <c r="R187" s="496"/>
      <c r="S187" s="496"/>
      <c r="T187" s="496"/>
      <c r="U187" s="496"/>
      <c r="V187" s="499"/>
      <c r="W187" s="496"/>
      <c r="X187" s="493"/>
      <c r="Y187" s="493"/>
      <c r="Z187" s="493"/>
      <c r="AA187" s="493"/>
      <c r="AB187" s="496"/>
    </row>
    <row r="188" ht="18.0" customHeight="1">
      <c r="A188" s="493"/>
      <c r="B188" s="494"/>
      <c r="C188" s="494"/>
      <c r="D188" s="494"/>
      <c r="E188" s="494"/>
      <c r="F188" s="501"/>
      <c r="G188" s="501"/>
      <c r="H188" s="494"/>
      <c r="I188" s="507"/>
      <c r="J188" s="507"/>
      <c r="K188" s="496"/>
      <c r="L188" s="496"/>
      <c r="M188" s="496"/>
      <c r="N188" s="496"/>
      <c r="O188" s="493"/>
      <c r="P188" s="493"/>
      <c r="Q188" s="493"/>
      <c r="R188" s="496"/>
      <c r="S188" s="496"/>
      <c r="T188" s="496"/>
      <c r="U188" s="496"/>
      <c r="V188" s="499"/>
      <c r="W188" s="496"/>
      <c r="X188" s="493"/>
      <c r="Y188" s="493"/>
      <c r="Z188" s="493"/>
      <c r="AA188" s="493"/>
      <c r="AB188" s="496"/>
    </row>
    <row r="189" ht="18.0" customHeight="1">
      <c r="A189" s="493"/>
      <c r="B189" s="494"/>
      <c r="C189" s="494"/>
      <c r="D189" s="494"/>
      <c r="E189" s="494"/>
      <c r="F189" s="501"/>
      <c r="G189" s="501"/>
      <c r="H189" s="494"/>
      <c r="I189" s="507"/>
      <c r="J189" s="507"/>
      <c r="K189" s="496"/>
      <c r="L189" s="496"/>
      <c r="M189" s="496"/>
      <c r="N189" s="496"/>
      <c r="O189" s="493"/>
      <c r="P189" s="493"/>
      <c r="Q189" s="493"/>
      <c r="R189" s="496"/>
      <c r="S189" s="496"/>
      <c r="T189" s="496"/>
      <c r="U189" s="496"/>
      <c r="V189" s="499"/>
      <c r="W189" s="496"/>
      <c r="X189" s="493"/>
      <c r="Y189" s="493"/>
      <c r="Z189" s="493"/>
      <c r="AA189" s="493"/>
      <c r="AB189" s="496"/>
    </row>
    <row r="190" ht="18.0" customHeight="1">
      <c r="A190" s="493"/>
      <c r="B190" s="494"/>
      <c r="C190" s="494"/>
      <c r="D190" s="494"/>
      <c r="E190" s="494"/>
      <c r="F190" s="501"/>
      <c r="G190" s="501"/>
      <c r="H190" s="494"/>
      <c r="I190" s="507"/>
      <c r="J190" s="507"/>
      <c r="K190" s="496"/>
      <c r="L190" s="496"/>
      <c r="M190" s="496"/>
      <c r="N190" s="496"/>
      <c r="O190" s="493"/>
      <c r="P190" s="493"/>
      <c r="Q190" s="493"/>
      <c r="R190" s="496"/>
      <c r="S190" s="496"/>
      <c r="T190" s="496"/>
      <c r="U190" s="496"/>
      <c r="V190" s="499"/>
      <c r="W190" s="496"/>
      <c r="X190" s="493"/>
      <c r="Y190" s="493"/>
      <c r="Z190" s="493"/>
      <c r="AA190" s="493"/>
      <c r="AB190" s="496"/>
    </row>
    <row r="191" ht="18.0" customHeight="1">
      <c r="A191" s="493"/>
      <c r="B191" s="494"/>
      <c r="C191" s="494"/>
      <c r="D191" s="494"/>
      <c r="E191" s="494"/>
      <c r="F191" s="501"/>
      <c r="G191" s="501"/>
      <c r="H191" s="494"/>
      <c r="I191" s="507"/>
      <c r="J191" s="507"/>
      <c r="K191" s="496"/>
      <c r="L191" s="496"/>
      <c r="M191" s="496"/>
      <c r="N191" s="496"/>
      <c r="O191" s="493"/>
      <c r="P191" s="493"/>
      <c r="Q191" s="493"/>
      <c r="R191" s="496"/>
      <c r="S191" s="496"/>
      <c r="T191" s="496"/>
      <c r="U191" s="496"/>
      <c r="V191" s="499"/>
      <c r="W191" s="496"/>
      <c r="X191" s="493"/>
      <c r="Y191" s="493"/>
      <c r="Z191" s="493"/>
      <c r="AA191" s="493"/>
      <c r="AB191" s="496"/>
    </row>
    <row r="192" ht="18.0" customHeight="1">
      <c r="A192" s="493"/>
      <c r="B192" s="494"/>
      <c r="C192" s="494"/>
      <c r="D192" s="494"/>
      <c r="E192" s="494"/>
      <c r="F192" s="501"/>
      <c r="G192" s="501"/>
      <c r="H192" s="494"/>
      <c r="I192" s="507"/>
      <c r="J192" s="507"/>
      <c r="K192" s="496"/>
      <c r="L192" s="496"/>
      <c r="M192" s="496"/>
      <c r="N192" s="496"/>
      <c r="O192" s="493"/>
      <c r="P192" s="493"/>
      <c r="Q192" s="493"/>
      <c r="R192" s="496"/>
      <c r="S192" s="496"/>
      <c r="T192" s="496"/>
      <c r="U192" s="496"/>
      <c r="V192" s="499"/>
      <c r="W192" s="496"/>
      <c r="X192" s="493"/>
      <c r="Y192" s="493"/>
      <c r="Z192" s="493"/>
      <c r="AA192" s="493"/>
      <c r="AB192" s="496"/>
    </row>
    <row r="193" ht="18.0" customHeight="1">
      <c r="A193" s="493"/>
      <c r="B193" s="494"/>
      <c r="C193" s="494"/>
      <c r="D193" s="494"/>
      <c r="E193" s="494"/>
      <c r="F193" s="501"/>
      <c r="G193" s="501"/>
      <c r="H193" s="494"/>
      <c r="I193" s="507"/>
      <c r="J193" s="507"/>
      <c r="K193" s="496"/>
      <c r="L193" s="496"/>
      <c r="M193" s="496"/>
      <c r="N193" s="496"/>
      <c r="O193" s="493"/>
      <c r="P193" s="493"/>
      <c r="Q193" s="493"/>
      <c r="R193" s="496"/>
      <c r="S193" s="496"/>
      <c r="T193" s="496"/>
      <c r="U193" s="496"/>
      <c r="V193" s="499"/>
      <c r="W193" s="496"/>
      <c r="X193" s="493"/>
      <c r="Y193" s="493"/>
      <c r="Z193" s="493"/>
      <c r="AA193" s="493"/>
      <c r="AB193" s="496"/>
    </row>
    <row r="194" ht="18.0" customHeight="1">
      <c r="A194" s="493"/>
      <c r="B194" s="494"/>
      <c r="C194" s="494"/>
      <c r="D194" s="494"/>
      <c r="E194" s="494"/>
      <c r="F194" s="501"/>
      <c r="G194" s="501"/>
      <c r="H194" s="494"/>
      <c r="I194" s="507"/>
      <c r="J194" s="507"/>
      <c r="K194" s="496"/>
      <c r="L194" s="496"/>
      <c r="M194" s="496"/>
      <c r="N194" s="496"/>
      <c r="O194" s="493"/>
      <c r="P194" s="493"/>
      <c r="Q194" s="493"/>
      <c r="R194" s="496"/>
      <c r="S194" s="496"/>
      <c r="T194" s="496"/>
      <c r="U194" s="496"/>
      <c r="V194" s="499"/>
      <c r="W194" s="496"/>
      <c r="X194" s="493"/>
      <c r="Y194" s="493"/>
      <c r="Z194" s="493"/>
      <c r="AA194" s="493"/>
      <c r="AB194" s="496"/>
    </row>
    <row r="195" ht="18.0" customHeight="1">
      <c r="A195" s="493"/>
      <c r="B195" s="494"/>
      <c r="C195" s="494"/>
      <c r="D195" s="494"/>
      <c r="E195" s="494"/>
      <c r="F195" s="501"/>
      <c r="G195" s="501"/>
      <c r="H195" s="494"/>
      <c r="I195" s="507"/>
      <c r="J195" s="507"/>
      <c r="K195" s="496"/>
      <c r="L195" s="496"/>
      <c r="M195" s="496"/>
      <c r="N195" s="496"/>
      <c r="O195" s="493"/>
      <c r="P195" s="493"/>
      <c r="Q195" s="493"/>
      <c r="R195" s="496"/>
      <c r="S195" s="496"/>
      <c r="T195" s="496"/>
      <c r="U195" s="496"/>
      <c r="V195" s="499"/>
      <c r="W195" s="496"/>
      <c r="X195" s="493"/>
      <c r="Y195" s="493"/>
      <c r="Z195" s="493"/>
      <c r="AA195" s="493"/>
      <c r="AB195" s="496"/>
    </row>
    <row r="196" ht="18.0" customHeight="1">
      <c r="A196" s="493"/>
      <c r="B196" s="494"/>
      <c r="C196" s="494"/>
      <c r="D196" s="494"/>
      <c r="E196" s="494"/>
      <c r="F196" s="501"/>
      <c r="G196" s="501"/>
      <c r="H196" s="494"/>
      <c r="I196" s="507"/>
      <c r="J196" s="507"/>
      <c r="K196" s="496"/>
      <c r="L196" s="496"/>
      <c r="M196" s="496"/>
      <c r="N196" s="496"/>
      <c r="O196" s="493"/>
      <c r="P196" s="493"/>
      <c r="Q196" s="493"/>
      <c r="R196" s="496"/>
      <c r="S196" s="496"/>
      <c r="T196" s="496"/>
      <c r="U196" s="496"/>
      <c r="V196" s="499"/>
      <c r="W196" s="496"/>
      <c r="X196" s="493"/>
      <c r="Y196" s="493"/>
      <c r="Z196" s="493"/>
      <c r="AA196" s="493"/>
      <c r="AB196" s="496"/>
    </row>
    <row r="197" ht="18.0" customHeight="1">
      <c r="A197" s="493"/>
      <c r="B197" s="494"/>
      <c r="C197" s="494"/>
      <c r="D197" s="494"/>
      <c r="E197" s="494"/>
      <c r="F197" s="501"/>
      <c r="G197" s="501"/>
      <c r="H197" s="494"/>
      <c r="I197" s="507"/>
      <c r="J197" s="507"/>
      <c r="K197" s="496"/>
      <c r="L197" s="496"/>
      <c r="M197" s="496"/>
      <c r="N197" s="496"/>
      <c r="O197" s="493"/>
      <c r="P197" s="493"/>
      <c r="Q197" s="493"/>
      <c r="R197" s="496"/>
      <c r="S197" s="496"/>
      <c r="T197" s="496"/>
      <c r="U197" s="496"/>
      <c r="V197" s="499"/>
      <c r="W197" s="496"/>
      <c r="X197" s="493"/>
      <c r="Y197" s="493"/>
      <c r="Z197" s="493"/>
      <c r="AA197" s="493"/>
      <c r="AB197" s="496"/>
    </row>
    <row r="198" ht="18.0" customHeight="1">
      <c r="A198" s="493"/>
      <c r="B198" s="494"/>
      <c r="C198" s="494"/>
      <c r="D198" s="494"/>
      <c r="E198" s="494"/>
      <c r="F198" s="501"/>
      <c r="G198" s="501"/>
      <c r="H198" s="494"/>
      <c r="I198" s="507"/>
      <c r="J198" s="507"/>
      <c r="K198" s="496"/>
      <c r="L198" s="496"/>
      <c r="M198" s="496"/>
      <c r="N198" s="496"/>
      <c r="O198" s="493"/>
      <c r="P198" s="493"/>
      <c r="Q198" s="493"/>
      <c r="R198" s="496"/>
      <c r="S198" s="496"/>
      <c r="T198" s="496"/>
      <c r="U198" s="496"/>
      <c r="V198" s="499"/>
      <c r="W198" s="496"/>
      <c r="X198" s="493"/>
      <c r="Y198" s="493"/>
      <c r="Z198" s="493"/>
      <c r="AA198" s="493"/>
      <c r="AB198" s="496"/>
    </row>
    <row r="199" ht="18.0" customHeight="1">
      <c r="A199" s="493"/>
      <c r="B199" s="494"/>
      <c r="C199" s="494"/>
      <c r="D199" s="494"/>
      <c r="E199" s="494"/>
      <c r="F199" s="501"/>
      <c r="G199" s="501"/>
      <c r="H199" s="494"/>
      <c r="I199" s="507"/>
      <c r="J199" s="507"/>
      <c r="K199" s="496"/>
      <c r="L199" s="496"/>
      <c r="M199" s="496"/>
      <c r="N199" s="496"/>
      <c r="O199" s="493"/>
      <c r="P199" s="493"/>
      <c r="Q199" s="493"/>
      <c r="R199" s="496"/>
      <c r="S199" s="496"/>
      <c r="T199" s="496"/>
      <c r="U199" s="496"/>
      <c r="V199" s="499"/>
      <c r="W199" s="496"/>
      <c r="X199" s="493"/>
      <c r="Y199" s="493"/>
      <c r="Z199" s="493"/>
      <c r="AA199" s="493"/>
      <c r="AB199" s="496"/>
    </row>
    <row r="200" ht="18.0" customHeight="1">
      <c r="A200" s="493"/>
      <c r="B200" s="494"/>
      <c r="C200" s="494"/>
      <c r="D200" s="494"/>
      <c r="E200" s="494"/>
      <c r="F200" s="501"/>
      <c r="G200" s="501"/>
      <c r="H200" s="494"/>
      <c r="I200" s="507"/>
      <c r="J200" s="507"/>
      <c r="K200" s="496"/>
      <c r="L200" s="496"/>
      <c r="M200" s="496"/>
      <c r="N200" s="496"/>
      <c r="O200" s="493"/>
      <c r="P200" s="493"/>
      <c r="Q200" s="493"/>
      <c r="R200" s="496"/>
      <c r="S200" s="496"/>
      <c r="T200" s="496"/>
      <c r="U200" s="496"/>
      <c r="V200" s="499"/>
      <c r="W200" s="496"/>
      <c r="X200" s="493"/>
      <c r="Y200" s="493"/>
      <c r="Z200" s="493"/>
      <c r="AA200" s="493"/>
      <c r="AB200" s="496"/>
    </row>
    <row r="201" ht="18.0" customHeight="1">
      <c r="A201" s="493"/>
      <c r="B201" s="494"/>
      <c r="C201" s="494"/>
      <c r="D201" s="494"/>
      <c r="E201" s="494"/>
      <c r="F201" s="501"/>
      <c r="G201" s="501"/>
      <c r="H201" s="494"/>
      <c r="I201" s="507"/>
      <c r="J201" s="507"/>
      <c r="K201" s="496"/>
      <c r="L201" s="496"/>
      <c r="M201" s="496"/>
      <c r="N201" s="496"/>
      <c r="O201" s="493"/>
      <c r="P201" s="493"/>
      <c r="Q201" s="493"/>
      <c r="R201" s="496"/>
      <c r="S201" s="496"/>
      <c r="T201" s="496"/>
      <c r="U201" s="496"/>
      <c r="V201" s="499"/>
      <c r="W201" s="496"/>
      <c r="X201" s="493"/>
      <c r="Y201" s="493"/>
      <c r="Z201" s="493"/>
      <c r="AA201" s="493"/>
      <c r="AB201" s="496"/>
    </row>
    <row r="202" ht="18.0" customHeight="1">
      <c r="A202" s="493"/>
      <c r="B202" s="494"/>
      <c r="C202" s="494"/>
      <c r="D202" s="494"/>
      <c r="E202" s="494"/>
      <c r="F202" s="501"/>
      <c r="G202" s="501"/>
      <c r="H202" s="494"/>
      <c r="I202" s="507"/>
      <c r="J202" s="507"/>
      <c r="K202" s="496"/>
      <c r="L202" s="496"/>
      <c r="M202" s="496"/>
      <c r="N202" s="496"/>
      <c r="O202" s="493"/>
      <c r="P202" s="493"/>
      <c r="Q202" s="493"/>
      <c r="R202" s="496"/>
      <c r="S202" s="496"/>
      <c r="T202" s="496"/>
      <c r="U202" s="496"/>
      <c r="V202" s="499"/>
      <c r="W202" s="496"/>
      <c r="X202" s="493"/>
      <c r="Y202" s="493"/>
      <c r="Z202" s="493"/>
      <c r="AA202" s="493"/>
      <c r="AB202" s="496"/>
    </row>
    <row r="203" ht="18.0" customHeight="1">
      <c r="A203" s="493"/>
      <c r="B203" s="494"/>
      <c r="C203" s="494"/>
      <c r="D203" s="494"/>
      <c r="E203" s="494"/>
      <c r="F203" s="501"/>
      <c r="G203" s="501"/>
      <c r="H203" s="494"/>
      <c r="I203" s="507"/>
      <c r="J203" s="507"/>
      <c r="K203" s="496"/>
      <c r="L203" s="496"/>
      <c r="M203" s="496"/>
      <c r="N203" s="496"/>
      <c r="O203" s="493"/>
      <c r="P203" s="493"/>
      <c r="Q203" s="493"/>
      <c r="R203" s="496"/>
      <c r="S203" s="496"/>
      <c r="T203" s="496"/>
      <c r="U203" s="496"/>
      <c r="V203" s="499"/>
      <c r="W203" s="496"/>
      <c r="X203" s="493"/>
      <c r="Y203" s="493"/>
      <c r="Z203" s="493"/>
      <c r="AA203" s="493"/>
      <c r="AB203" s="496"/>
    </row>
    <row r="204" ht="18.0" customHeight="1">
      <c r="A204" s="493"/>
      <c r="B204" s="494"/>
      <c r="C204" s="494"/>
      <c r="D204" s="494"/>
      <c r="E204" s="494"/>
      <c r="F204" s="501"/>
      <c r="G204" s="501"/>
      <c r="H204" s="494"/>
      <c r="I204" s="507"/>
      <c r="J204" s="507"/>
      <c r="K204" s="496"/>
      <c r="L204" s="496"/>
      <c r="M204" s="496"/>
      <c r="N204" s="496"/>
      <c r="O204" s="493"/>
      <c r="P204" s="493"/>
      <c r="Q204" s="493"/>
      <c r="R204" s="496"/>
      <c r="S204" s="496"/>
      <c r="T204" s="496"/>
      <c r="U204" s="496"/>
      <c r="V204" s="499"/>
      <c r="W204" s="496"/>
      <c r="X204" s="493"/>
      <c r="Y204" s="493"/>
      <c r="Z204" s="493"/>
      <c r="AA204" s="493"/>
      <c r="AB204" s="496"/>
    </row>
    <row r="205" ht="18.0" customHeight="1">
      <c r="A205" s="493"/>
      <c r="B205" s="494"/>
      <c r="C205" s="494"/>
      <c r="D205" s="494"/>
      <c r="E205" s="494"/>
      <c r="F205" s="501"/>
      <c r="G205" s="501"/>
      <c r="H205" s="494"/>
      <c r="I205" s="507"/>
      <c r="J205" s="507"/>
      <c r="K205" s="496"/>
      <c r="L205" s="496"/>
      <c r="M205" s="496"/>
      <c r="N205" s="496"/>
      <c r="O205" s="493"/>
      <c r="P205" s="493"/>
      <c r="Q205" s="493"/>
      <c r="R205" s="496"/>
      <c r="S205" s="496"/>
      <c r="T205" s="496"/>
      <c r="U205" s="496"/>
      <c r="V205" s="499"/>
      <c r="W205" s="496"/>
      <c r="X205" s="493"/>
      <c r="Y205" s="493"/>
      <c r="Z205" s="493"/>
      <c r="AA205" s="493"/>
      <c r="AB205" s="496"/>
    </row>
    <row r="206" ht="18.0" customHeight="1">
      <c r="A206" s="493"/>
      <c r="B206" s="494"/>
      <c r="C206" s="494"/>
      <c r="D206" s="494"/>
      <c r="E206" s="494"/>
      <c r="F206" s="501"/>
      <c r="G206" s="501"/>
      <c r="H206" s="494"/>
      <c r="I206" s="507"/>
      <c r="J206" s="507"/>
      <c r="K206" s="496"/>
      <c r="L206" s="496"/>
      <c r="M206" s="496"/>
      <c r="N206" s="496"/>
      <c r="O206" s="493"/>
      <c r="P206" s="493"/>
      <c r="Q206" s="493"/>
      <c r="R206" s="496"/>
      <c r="S206" s="496"/>
      <c r="T206" s="496"/>
      <c r="U206" s="496"/>
      <c r="V206" s="499"/>
      <c r="W206" s="496"/>
      <c r="X206" s="493"/>
      <c r="Y206" s="493"/>
      <c r="Z206" s="493"/>
      <c r="AA206" s="493"/>
      <c r="AB206" s="496"/>
    </row>
    <row r="207" ht="18.0" customHeight="1">
      <c r="A207" s="493"/>
      <c r="B207" s="494"/>
      <c r="C207" s="494"/>
      <c r="D207" s="494"/>
      <c r="E207" s="494"/>
      <c r="F207" s="501"/>
      <c r="G207" s="501"/>
      <c r="H207" s="494"/>
      <c r="I207" s="507"/>
      <c r="J207" s="507"/>
      <c r="K207" s="496"/>
      <c r="L207" s="496"/>
      <c r="M207" s="496"/>
      <c r="N207" s="496"/>
      <c r="O207" s="493"/>
      <c r="P207" s="493"/>
      <c r="Q207" s="493"/>
      <c r="R207" s="496"/>
      <c r="S207" s="496"/>
      <c r="T207" s="496"/>
      <c r="U207" s="496"/>
      <c r="V207" s="499"/>
      <c r="W207" s="496"/>
      <c r="X207" s="493"/>
      <c r="Y207" s="493"/>
      <c r="Z207" s="493"/>
      <c r="AA207" s="493"/>
      <c r="AB207" s="496"/>
    </row>
    <row r="208" ht="18.0" customHeight="1">
      <c r="A208" s="493"/>
      <c r="B208" s="494"/>
      <c r="C208" s="494"/>
      <c r="D208" s="494"/>
      <c r="E208" s="494"/>
      <c r="F208" s="501"/>
      <c r="G208" s="501"/>
      <c r="H208" s="494"/>
      <c r="I208" s="507"/>
      <c r="J208" s="507"/>
      <c r="K208" s="496"/>
      <c r="L208" s="496"/>
      <c r="M208" s="496"/>
      <c r="N208" s="496"/>
      <c r="O208" s="493"/>
      <c r="P208" s="493"/>
      <c r="Q208" s="493"/>
      <c r="R208" s="496"/>
      <c r="S208" s="496"/>
      <c r="T208" s="496"/>
      <c r="U208" s="496"/>
      <c r="V208" s="499"/>
      <c r="W208" s="496"/>
      <c r="X208" s="493"/>
      <c r="Y208" s="493"/>
      <c r="Z208" s="493"/>
      <c r="AA208" s="493"/>
      <c r="AB208" s="496"/>
    </row>
    <row r="209" ht="18.0" customHeight="1">
      <c r="A209" s="493"/>
      <c r="B209" s="494"/>
      <c r="C209" s="494"/>
      <c r="D209" s="494"/>
      <c r="E209" s="494"/>
      <c r="F209" s="501"/>
      <c r="G209" s="501"/>
      <c r="H209" s="494"/>
      <c r="I209" s="507"/>
      <c r="J209" s="507"/>
      <c r="K209" s="496"/>
      <c r="L209" s="496"/>
      <c r="M209" s="496"/>
      <c r="N209" s="496"/>
      <c r="O209" s="493"/>
      <c r="P209" s="493"/>
      <c r="Q209" s="493"/>
      <c r="R209" s="496"/>
      <c r="S209" s="496"/>
      <c r="T209" s="496"/>
      <c r="U209" s="496"/>
      <c r="V209" s="499"/>
      <c r="W209" s="496"/>
      <c r="X209" s="493"/>
      <c r="Y209" s="493"/>
      <c r="Z209" s="493"/>
      <c r="AA209" s="493"/>
      <c r="AB209" s="496"/>
    </row>
    <row r="210" ht="18.0" customHeight="1">
      <c r="A210" s="493"/>
      <c r="B210" s="494"/>
      <c r="C210" s="494"/>
      <c r="D210" s="494"/>
      <c r="E210" s="494"/>
      <c r="F210" s="501"/>
      <c r="G210" s="501"/>
      <c r="H210" s="494"/>
      <c r="I210" s="507"/>
      <c r="J210" s="507"/>
      <c r="K210" s="496"/>
      <c r="L210" s="496"/>
      <c r="M210" s="496"/>
      <c r="N210" s="496"/>
      <c r="O210" s="493"/>
      <c r="P210" s="493"/>
      <c r="Q210" s="493"/>
      <c r="R210" s="496"/>
      <c r="S210" s="496"/>
      <c r="T210" s="496"/>
      <c r="U210" s="496"/>
      <c r="V210" s="499"/>
      <c r="W210" s="496"/>
      <c r="X210" s="493"/>
      <c r="Y210" s="493"/>
      <c r="Z210" s="493"/>
      <c r="AA210" s="493"/>
      <c r="AB210" s="496"/>
    </row>
    <row r="211" ht="18.0" customHeight="1">
      <c r="A211" s="493"/>
      <c r="B211" s="494"/>
      <c r="C211" s="494"/>
      <c r="D211" s="494"/>
      <c r="E211" s="494"/>
      <c r="F211" s="501"/>
      <c r="G211" s="501"/>
      <c r="H211" s="494"/>
      <c r="I211" s="507"/>
      <c r="J211" s="507"/>
      <c r="K211" s="496"/>
      <c r="L211" s="496"/>
      <c r="M211" s="496"/>
      <c r="N211" s="496"/>
      <c r="O211" s="493"/>
      <c r="P211" s="493"/>
      <c r="Q211" s="493"/>
      <c r="R211" s="496"/>
      <c r="S211" s="496"/>
      <c r="T211" s="496"/>
      <c r="U211" s="496"/>
      <c r="V211" s="499"/>
      <c r="W211" s="496"/>
      <c r="X211" s="493"/>
      <c r="Y211" s="493"/>
      <c r="Z211" s="493"/>
      <c r="AA211" s="493"/>
      <c r="AB211" s="496"/>
    </row>
    <row r="212" ht="18.0" customHeight="1">
      <c r="A212" s="493"/>
      <c r="B212" s="494"/>
      <c r="C212" s="494"/>
      <c r="D212" s="494"/>
      <c r="E212" s="494"/>
      <c r="F212" s="501"/>
      <c r="G212" s="501"/>
      <c r="H212" s="494"/>
      <c r="I212" s="507"/>
      <c r="J212" s="507"/>
      <c r="K212" s="496"/>
      <c r="L212" s="496"/>
      <c r="M212" s="496"/>
      <c r="N212" s="496"/>
      <c r="O212" s="493"/>
      <c r="P212" s="493"/>
      <c r="Q212" s="493"/>
      <c r="R212" s="496"/>
      <c r="S212" s="496"/>
      <c r="T212" s="496"/>
      <c r="U212" s="496"/>
      <c r="V212" s="499"/>
      <c r="W212" s="496"/>
      <c r="X212" s="493"/>
      <c r="Y212" s="493"/>
      <c r="Z212" s="493"/>
      <c r="AA212" s="493"/>
      <c r="AB212" s="496"/>
    </row>
    <row r="213" ht="18.0" customHeight="1">
      <c r="A213" s="493"/>
      <c r="B213" s="494"/>
      <c r="C213" s="494"/>
      <c r="D213" s="494"/>
      <c r="E213" s="494"/>
      <c r="F213" s="501"/>
      <c r="G213" s="501"/>
      <c r="H213" s="494"/>
      <c r="I213" s="507"/>
      <c r="J213" s="507"/>
      <c r="K213" s="496"/>
      <c r="L213" s="496"/>
      <c r="M213" s="496"/>
      <c r="N213" s="496"/>
      <c r="O213" s="493"/>
      <c r="P213" s="493"/>
      <c r="Q213" s="493"/>
      <c r="R213" s="496"/>
      <c r="S213" s="496"/>
      <c r="T213" s="496"/>
      <c r="U213" s="496"/>
      <c r="V213" s="499"/>
      <c r="W213" s="496"/>
      <c r="X213" s="493"/>
      <c r="Y213" s="493"/>
      <c r="Z213" s="493"/>
      <c r="AA213" s="493"/>
      <c r="AB213" s="496"/>
    </row>
    <row r="214" ht="18.0" customHeight="1">
      <c r="A214" s="493"/>
      <c r="B214" s="494"/>
      <c r="C214" s="494"/>
      <c r="D214" s="494"/>
      <c r="E214" s="494"/>
      <c r="F214" s="501"/>
      <c r="G214" s="501"/>
      <c r="H214" s="494"/>
      <c r="I214" s="507"/>
      <c r="J214" s="507"/>
      <c r="K214" s="496"/>
      <c r="L214" s="496"/>
      <c r="M214" s="496"/>
      <c r="N214" s="496"/>
      <c r="O214" s="493"/>
      <c r="P214" s="493"/>
      <c r="Q214" s="493"/>
      <c r="R214" s="496"/>
      <c r="S214" s="496"/>
      <c r="T214" s="496"/>
      <c r="U214" s="496"/>
      <c r="V214" s="499"/>
      <c r="W214" s="496"/>
      <c r="X214" s="493"/>
      <c r="Y214" s="493"/>
      <c r="Z214" s="493"/>
      <c r="AA214" s="493"/>
      <c r="AB214" s="496"/>
    </row>
    <row r="215" ht="18.0" customHeight="1">
      <c r="A215" s="493"/>
      <c r="B215" s="494"/>
      <c r="C215" s="494"/>
      <c r="D215" s="494"/>
      <c r="E215" s="494"/>
      <c r="F215" s="501"/>
      <c r="G215" s="501"/>
      <c r="H215" s="494"/>
      <c r="I215" s="507"/>
      <c r="J215" s="507"/>
      <c r="K215" s="496"/>
      <c r="L215" s="496"/>
      <c r="M215" s="496"/>
      <c r="N215" s="496"/>
      <c r="O215" s="493"/>
      <c r="P215" s="493"/>
      <c r="Q215" s="493"/>
      <c r="R215" s="496"/>
      <c r="S215" s="496"/>
      <c r="T215" s="496"/>
      <c r="U215" s="496"/>
      <c r="V215" s="499"/>
      <c r="W215" s="496"/>
      <c r="X215" s="493"/>
      <c r="Y215" s="493"/>
      <c r="Z215" s="493"/>
      <c r="AA215" s="493"/>
      <c r="AB215" s="496"/>
    </row>
    <row r="216" ht="18.0" customHeight="1">
      <c r="A216" s="493"/>
      <c r="B216" s="494"/>
      <c r="C216" s="494"/>
      <c r="D216" s="494"/>
      <c r="E216" s="494"/>
      <c r="F216" s="501"/>
      <c r="G216" s="501"/>
      <c r="H216" s="494"/>
      <c r="I216" s="507"/>
      <c r="J216" s="507"/>
      <c r="K216" s="496"/>
      <c r="L216" s="496"/>
      <c r="M216" s="496"/>
      <c r="N216" s="496"/>
      <c r="O216" s="493"/>
      <c r="P216" s="493"/>
      <c r="Q216" s="493"/>
      <c r="R216" s="496"/>
      <c r="S216" s="496"/>
      <c r="T216" s="496"/>
      <c r="U216" s="496"/>
      <c r="V216" s="499"/>
      <c r="W216" s="496"/>
      <c r="X216" s="493"/>
      <c r="Y216" s="493"/>
      <c r="Z216" s="493"/>
      <c r="AA216" s="493"/>
      <c r="AB216" s="496"/>
    </row>
    <row r="217" ht="18.0" customHeight="1">
      <c r="A217" s="493"/>
      <c r="B217" s="494"/>
      <c r="C217" s="494"/>
      <c r="D217" s="494"/>
      <c r="E217" s="494"/>
      <c r="F217" s="501"/>
      <c r="G217" s="501"/>
      <c r="H217" s="494"/>
      <c r="I217" s="507"/>
      <c r="J217" s="507"/>
      <c r="K217" s="496"/>
      <c r="L217" s="496"/>
      <c r="M217" s="496"/>
      <c r="N217" s="496"/>
      <c r="O217" s="493"/>
      <c r="P217" s="493"/>
      <c r="Q217" s="493"/>
      <c r="R217" s="496"/>
      <c r="S217" s="496"/>
      <c r="T217" s="496"/>
      <c r="U217" s="496"/>
      <c r="V217" s="499"/>
      <c r="W217" s="496"/>
      <c r="X217" s="493"/>
      <c r="Y217" s="493"/>
      <c r="Z217" s="493"/>
      <c r="AA217" s="493"/>
      <c r="AB217" s="496"/>
    </row>
    <row r="218" ht="18.0" customHeight="1">
      <c r="A218" s="493"/>
      <c r="B218" s="494"/>
      <c r="C218" s="494"/>
      <c r="D218" s="494"/>
      <c r="E218" s="494"/>
      <c r="F218" s="501"/>
      <c r="G218" s="501"/>
      <c r="H218" s="494"/>
      <c r="I218" s="507"/>
      <c r="J218" s="507"/>
      <c r="K218" s="496"/>
      <c r="L218" s="496"/>
      <c r="M218" s="496"/>
      <c r="N218" s="496"/>
      <c r="O218" s="493"/>
      <c r="P218" s="493"/>
      <c r="Q218" s="493"/>
      <c r="R218" s="496"/>
      <c r="S218" s="496"/>
      <c r="T218" s="496"/>
      <c r="U218" s="496"/>
      <c r="V218" s="499"/>
      <c r="W218" s="496"/>
      <c r="X218" s="493"/>
      <c r="Y218" s="493"/>
      <c r="Z218" s="493"/>
      <c r="AA218" s="493"/>
      <c r="AB218" s="496"/>
    </row>
    <row r="219" ht="18.0" customHeight="1">
      <c r="A219" s="493"/>
      <c r="B219" s="494"/>
      <c r="C219" s="494"/>
      <c r="D219" s="494"/>
      <c r="E219" s="494"/>
      <c r="F219" s="501"/>
      <c r="G219" s="501"/>
      <c r="H219" s="494"/>
      <c r="I219" s="507"/>
      <c r="J219" s="507"/>
      <c r="K219" s="496"/>
      <c r="L219" s="496"/>
      <c r="M219" s="496"/>
      <c r="N219" s="496"/>
      <c r="O219" s="493"/>
      <c r="P219" s="493"/>
      <c r="Q219" s="493"/>
      <c r="R219" s="496"/>
      <c r="S219" s="496"/>
      <c r="T219" s="496"/>
      <c r="U219" s="496"/>
      <c r="V219" s="499"/>
      <c r="W219" s="496"/>
      <c r="X219" s="493"/>
      <c r="Y219" s="493"/>
      <c r="Z219" s="493"/>
      <c r="AA219" s="493"/>
      <c r="AB219" s="496"/>
    </row>
    <row r="220" ht="18.0" customHeight="1">
      <c r="A220" s="493"/>
      <c r="B220" s="494"/>
      <c r="C220" s="494"/>
      <c r="D220" s="494"/>
      <c r="E220" s="494"/>
      <c r="F220" s="501"/>
      <c r="G220" s="501"/>
      <c r="H220" s="494"/>
      <c r="I220" s="507"/>
      <c r="J220" s="507"/>
      <c r="K220" s="496"/>
      <c r="L220" s="496"/>
      <c r="M220" s="496"/>
      <c r="N220" s="496"/>
      <c r="O220" s="493"/>
      <c r="P220" s="493"/>
      <c r="Q220" s="493"/>
      <c r="R220" s="496"/>
      <c r="S220" s="496"/>
      <c r="T220" s="496"/>
      <c r="U220" s="496"/>
      <c r="V220" s="499"/>
      <c r="W220" s="496"/>
      <c r="X220" s="493"/>
      <c r="Y220" s="493"/>
      <c r="Z220" s="493"/>
      <c r="AA220" s="493"/>
      <c r="AB220" s="496"/>
    </row>
    <row r="221" ht="18.0" customHeight="1">
      <c r="A221" s="493"/>
      <c r="B221" s="494"/>
      <c r="C221" s="494"/>
      <c r="D221" s="494"/>
      <c r="E221" s="494"/>
      <c r="F221" s="501"/>
      <c r="G221" s="501"/>
      <c r="H221" s="494"/>
      <c r="I221" s="507"/>
      <c r="J221" s="507"/>
      <c r="K221" s="496"/>
      <c r="L221" s="496"/>
      <c r="M221" s="496"/>
      <c r="N221" s="496"/>
      <c r="O221" s="493"/>
      <c r="P221" s="493"/>
      <c r="Q221" s="493"/>
      <c r="R221" s="496"/>
      <c r="S221" s="496"/>
      <c r="T221" s="496"/>
      <c r="U221" s="496"/>
      <c r="V221" s="499"/>
      <c r="W221" s="496"/>
      <c r="X221" s="493"/>
      <c r="Y221" s="493"/>
      <c r="Z221" s="493"/>
      <c r="AA221" s="493"/>
      <c r="AB221" s="496"/>
    </row>
    <row r="222" ht="18.0" customHeight="1">
      <c r="A222" s="493"/>
      <c r="B222" s="494"/>
      <c r="C222" s="494"/>
      <c r="D222" s="494"/>
      <c r="E222" s="494"/>
      <c r="F222" s="501"/>
      <c r="G222" s="501"/>
      <c r="H222" s="494"/>
      <c r="I222" s="507"/>
      <c r="J222" s="507"/>
      <c r="K222" s="496"/>
      <c r="L222" s="496"/>
      <c r="M222" s="496"/>
      <c r="N222" s="496"/>
      <c r="O222" s="493"/>
      <c r="P222" s="493"/>
      <c r="Q222" s="493"/>
      <c r="R222" s="496"/>
      <c r="S222" s="496"/>
      <c r="T222" s="496"/>
      <c r="U222" s="496"/>
      <c r="V222" s="499"/>
      <c r="W222" s="496"/>
      <c r="X222" s="493"/>
      <c r="Y222" s="493"/>
      <c r="Z222" s="493"/>
      <c r="AA222" s="493"/>
      <c r="AB222" s="496"/>
    </row>
    <row r="223" ht="18.0" customHeight="1">
      <c r="A223" s="493"/>
      <c r="B223" s="494"/>
      <c r="C223" s="494"/>
      <c r="D223" s="494"/>
      <c r="E223" s="494"/>
      <c r="F223" s="501"/>
      <c r="G223" s="501"/>
      <c r="H223" s="494"/>
      <c r="I223" s="507"/>
      <c r="J223" s="507"/>
      <c r="K223" s="496"/>
      <c r="L223" s="496"/>
      <c r="M223" s="496"/>
      <c r="N223" s="496"/>
      <c r="O223" s="493"/>
      <c r="P223" s="493"/>
      <c r="Q223" s="493"/>
      <c r="R223" s="496"/>
      <c r="S223" s="496"/>
      <c r="T223" s="496"/>
      <c r="U223" s="496"/>
      <c r="V223" s="499"/>
      <c r="W223" s="496"/>
      <c r="X223" s="493"/>
      <c r="Y223" s="493"/>
      <c r="Z223" s="493"/>
      <c r="AA223" s="493"/>
      <c r="AB223" s="496"/>
    </row>
    <row r="224" ht="18.0" customHeight="1">
      <c r="A224" s="493"/>
      <c r="B224" s="494"/>
      <c r="C224" s="494"/>
      <c r="D224" s="494"/>
      <c r="E224" s="494"/>
      <c r="F224" s="501"/>
      <c r="G224" s="501"/>
      <c r="H224" s="494"/>
      <c r="I224" s="507"/>
      <c r="J224" s="507"/>
      <c r="K224" s="496"/>
      <c r="L224" s="496"/>
      <c r="M224" s="496"/>
      <c r="N224" s="496"/>
      <c r="O224" s="493"/>
      <c r="P224" s="493"/>
      <c r="Q224" s="493"/>
      <c r="R224" s="496"/>
      <c r="S224" s="496"/>
      <c r="T224" s="496"/>
      <c r="U224" s="496"/>
      <c r="V224" s="499"/>
      <c r="W224" s="496"/>
      <c r="X224" s="493"/>
      <c r="Y224" s="493"/>
      <c r="Z224" s="493"/>
      <c r="AA224" s="493"/>
      <c r="AB224" s="496"/>
    </row>
    <row r="225" ht="18.0" customHeight="1">
      <c r="A225" s="493"/>
      <c r="B225" s="494"/>
      <c r="C225" s="494"/>
      <c r="D225" s="494"/>
      <c r="E225" s="494"/>
      <c r="F225" s="501"/>
      <c r="G225" s="501"/>
      <c r="H225" s="494"/>
      <c r="I225" s="507"/>
      <c r="J225" s="507"/>
      <c r="K225" s="496"/>
      <c r="L225" s="496"/>
      <c r="M225" s="496"/>
      <c r="N225" s="496"/>
      <c r="O225" s="493"/>
      <c r="P225" s="493"/>
      <c r="Q225" s="493"/>
      <c r="R225" s="496"/>
      <c r="S225" s="496"/>
      <c r="T225" s="496"/>
      <c r="U225" s="496"/>
      <c r="V225" s="499"/>
      <c r="W225" s="496"/>
      <c r="X225" s="493"/>
      <c r="Y225" s="493"/>
      <c r="Z225" s="493"/>
      <c r="AA225" s="493"/>
      <c r="AB225" s="496"/>
    </row>
    <row r="226" ht="18.0" customHeight="1">
      <c r="A226" s="493"/>
      <c r="B226" s="494"/>
      <c r="C226" s="494"/>
      <c r="D226" s="494"/>
      <c r="E226" s="494"/>
      <c r="F226" s="501"/>
      <c r="G226" s="501"/>
      <c r="H226" s="494"/>
      <c r="I226" s="507"/>
      <c r="J226" s="507"/>
      <c r="K226" s="496"/>
      <c r="L226" s="496"/>
      <c r="M226" s="496"/>
      <c r="N226" s="496"/>
      <c r="O226" s="493"/>
      <c r="P226" s="493"/>
      <c r="Q226" s="493"/>
      <c r="R226" s="496"/>
      <c r="S226" s="496"/>
      <c r="T226" s="496"/>
      <c r="U226" s="496"/>
      <c r="V226" s="499"/>
      <c r="W226" s="496"/>
      <c r="X226" s="493"/>
      <c r="Y226" s="493"/>
      <c r="Z226" s="493"/>
      <c r="AA226" s="493"/>
      <c r="AB226" s="496"/>
    </row>
    <row r="227" ht="18.0" customHeight="1">
      <c r="A227" s="493"/>
      <c r="B227" s="494"/>
      <c r="C227" s="494"/>
      <c r="D227" s="494"/>
      <c r="E227" s="494"/>
      <c r="F227" s="501"/>
      <c r="G227" s="501"/>
      <c r="H227" s="494"/>
      <c r="I227" s="507"/>
      <c r="J227" s="507"/>
      <c r="K227" s="496"/>
      <c r="L227" s="496"/>
      <c r="M227" s="496"/>
      <c r="N227" s="496"/>
      <c r="O227" s="493"/>
      <c r="P227" s="493"/>
      <c r="Q227" s="493"/>
      <c r="R227" s="496"/>
      <c r="S227" s="496"/>
      <c r="T227" s="496"/>
      <c r="U227" s="496"/>
      <c r="V227" s="499"/>
      <c r="W227" s="496"/>
      <c r="X227" s="493"/>
      <c r="Y227" s="493"/>
      <c r="Z227" s="493"/>
      <c r="AA227" s="493"/>
      <c r="AB227" s="496"/>
    </row>
    <row r="228" ht="18.0" customHeight="1">
      <c r="A228" s="493"/>
      <c r="B228" s="494"/>
      <c r="C228" s="494"/>
      <c r="D228" s="494"/>
      <c r="E228" s="494"/>
      <c r="F228" s="501"/>
      <c r="G228" s="501"/>
      <c r="H228" s="494"/>
      <c r="I228" s="507"/>
      <c r="J228" s="507"/>
      <c r="K228" s="496"/>
      <c r="L228" s="496"/>
      <c r="M228" s="496"/>
      <c r="N228" s="496"/>
      <c r="O228" s="493"/>
      <c r="P228" s="493"/>
      <c r="Q228" s="493"/>
      <c r="R228" s="496"/>
      <c r="S228" s="496"/>
      <c r="T228" s="496"/>
      <c r="U228" s="496"/>
      <c r="V228" s="499"/>
      <c r="W228" s="496"/>
      <c r="X228" s="493"/>
      <c r="Y228" s="493"/>
      <c r="Z228" s="493"/>
      <c r="AA228" s="493"/>
      <c r="AB228" s="496"/>
    </row>
    <row r="229" ht="18.0" customHeight="1">
      <c r="A229" s="493"/>
      <c r="B229" s="494"/>
      <c r="C229" s="494"/>
      <c r="D229" s="494"/>
      <c r="E229" s="494"/>
      <c r="F229" s="501"/>
      <c r="G229" s="501"/>
      <c r="H229" s="494"/>
      <c r="I229" s="507"/>
      <c r="J229" s="507"/>
      <c r="K229" s="496"/>
      <c r="L229" s="496"/>
      <c r="M229" s="496"/>
      <c r="N229" s="496"/>
      <c r="O229" s="493"/>
      <c r="P229" s="493"/>
      <c r="Q229" s="493"/>
      <c r="R229" s="496"/>
      <c r="S229" s="496"/>
      <c r="T229" s="496"/>
      <c r="U229" s="496"/>
      <c r="V229" s="499"/>
      <c r="W229" s="496"/>
      <c r="X229" s="493"/>
      <c r="Y229" s="493"/>
      <c r="Z229" s="493"/>
      <c r="AA229" s="493"/>
      <c r="AB229" s="496"/>
    </row>
    <row r="230" ht="18.0" customHeight="1">
      <c r="A230" s="493"/>
      <c r="B230" s="494"/>
      <c r="C230" s="494"/>
      <c r="D230" s="494"/>
      <c r="E230" s="494"/>
      <c r="F230" s="501"/>
      <c r="G230" s="501"/>
      <c r="H230" s="494"/>
      <c r="I230" s="507"/>
      <c r="J230" s="507"/>
      <c r="K230" s="496"/>
      <c r="L230" s="496"/>
      <c r="M230" s="496"/>
      <c r="N230" s="496"/>
      <c r="O230" s="493"/>
      <c r="P230" s="493"/>
      <c r="Q230" s="493"/>
      <c r="R230" s="496"/>
      <c r="S230" s="496"/>
      <c r="T230" s="496"/>
      <c r="U230" s="496"/>
      <c r="V230" s="499"/>
      <c r="W230" s="496"/>
      <c r="X230" s="493"/>
      <c r="Y230" s="493"/>
      <c r="Z230" s="493"/>
      <c r="AA230" s="493"/>
      <c r="AB230" s="496"/>
    </row>
    <row r="231" ht="18.0" customHeight="1">
      <c r="A231" s="493"/>
      <c r="B231" s="494"/>
      <c r="C231" s="494"/>
      <c r="D231" s="494"/>
      <c r="E231" s="494"/>
      <c r="F231" s="501"/>
      <c r="G231" s="501"/>
      <c r="H231" s="494"/>
      <c r="I231" s="507"/>
      <c r="J231" s="507"/>
      <c r="K231" s="496"/>
      <c r="L231" s="496"/>
      <c r="M231" s="496"/>
      <c r="N231" s="496"/>
      <c r="O231" s="493"/>
      <c r="P231" s="493"/>
      <c r="Q231" s="493"/>
      <c r="R231" s="496"/>
      <c r="S231" s="496"/>
      <c r="T231" s="496"/>
      <c r="U231" s="496"/>
      <c r="V231" s="499"/>
      <c r="W231" s="496"/>
      <c r="X231" s="493"/>
      <c r="Y231" s="493"/>
      <c r="Z231" s="493"/>
      <c r="AA231" s="493"/>
      <c r="AB231" s="496"/>
    </row>
    <row r="232" ht="18.0" customHeight="1">
      <c r="A232" s="493"/>
      <c r="B232" s="494"/>
      <c r="C232" s="494"/>
      <c r="D232" s="494"/>
      <c r="E232" s="494"/>
      <c r="F232" s="501"/>
      <c r="G232" s="501"/>
      <c r="H232" s="494"/>
      <c r="I232" s="507"/>
      <c r="J232" s="507"/>
      <c r="K232" s="496"/>
      <c r="L232" s="496"/>
      <c r="M232" s="496"/>
      <c r="N232" s="496"/>
      <c r="O232" s="493"/>
      <c r="P232" s="493"/>
      <c r="Q232" s="493"/>
      <c r="R232" s="496"/>
      <c r="S232" s="496"/>
      <c r="T232" s="496"/>
      <c r="U232" s="496"/>
      <c r="V232" s="499"/>
      <c r="W232" s="496"/>
      <c r="X232" s="493"/>
      <c r="Y232" s="493"/>
      <c r="Z232" s="493"/>
      <c r="AA232" s="493"/>
      <c r="AB232" s="496"/>
    </row>
    <row r="233" ht="18.0" customHeight="1">
      <c r="A233" s="493"/>
      <c r="B233" s="494"/>
      <c r="C233" s="494"/>
      <c r="D233" s="494"/>
      <c r="E233" s="494"/>
      <c r="F233" s="501"/>
      <c r="G233" s="501"/>
      <c r="H233" s="494"/>
      <c r="I233" s="507"/>
      <c r="J233" s="507"/>
      <c r="K233" s="496"/>
      <c r="L233" s="496"/>
      <c r="M233" s="496"/>
      <c r="N233" s="496"/>
      <c r="O233" s="493"/>
      <c r="P233" s="493"/>
      <c r="Q233" s="493"/>
      <c r="R233" s="496"/>
      <c r="S233" s="496"/>
      <c r="T233" s="496"/>
      <c r="U233" s="496"/>
      <c r="V233" s="499"/>
      <c r="W233" s="496"/>
      <c r="X233" s="493"/>
      <c r="Y233" s="493"/>
      <c r="Z233" s="493"/>
      <c r="AA233" s="493"/>
      <c r="AB233" s="496"/>
    </row>
    <row r="234" ht="18.0" customHeight="1">
      <c r="A234" s="493"/>
      <c r="B234" s="494"/>
      <c r="C234" s="494"/>
      <c r="D234" s="494"/>
      <c r="E234" s="494"/>
      <c r="F234" s="501"/>
      <c r="G234" s="501"/>
      <c r="H234" s="494"/>
      <c r="I234" s="507"/>
      <c r="J234" s="507"/>
      <c r="K234" s="496"/>
      <c r="L234" s="496"/>
      <c r="M234" s="496"/>
      <c r="N234" s="496"/>
      <c r="O234" s="493"/>
      <c r="P234" s="493"/>
      <c r="Q234" s="493"/>
      <c r="R234" s="496"/>
      <c r="S234" s="496"/>
      <c r="T234" s="496"/>
      <c r="U234" s="496"/>
      <c r="V234" s="499"/>
      <c r="W234" s="496"/>
      <c r="X234" s="493"/>
      <c r="Y234" s="493"/>
      <c r="Z234" s="493"/>
      <c r="AA234" s="493"/>
      <c r="AB234" s="496"/>
    </row>
    <row r="235" ht="18.0" customHeight="1">
      <c r="A235" s="493"/>
      <c r="B235" s="494"/>
      <c r="C235" s="494"/>
      <c r="D235" s="494"/>
      <c r="E235" s="494"/>
      <c r="F235" s="501"/>
      <c r="G235" s="501"/>
      <c r="H235" s="494"/>
      <c r="I235" s="507"/>
      <c r="J235" s="507"/>
      <c r="K235" s="496"/>
      <c r="L235" s="496"/>
      <c r="M235" s="496"/>
      <c r="N235" s="496"/>
      <c r="O235" s="493"/>
      <c r="P235" s="493"/>
      <c r="Q235" s="493"/>
      <c r="R235" s="496"/>
      <c r="S235" s="496"/>
      <c r="T235" s="496"/>
      <c r="U235" s="496"/>
      <c r="V235" s="499"/>
      <c r="W235" s="496"/>
      <c r="X235" s="493"/>
      <c r="Y235" s="493"/>
      <c r="Z235" s="493"/>
      <c r="AA235" s="493"/>
      <c r="AB235" s="496"/>
    </row>
    <row r="236" ht="18.0" customHeight="1">
      <c r="A236" s="493"/>
      <c r="B236" s="494"/>
      <c r="C236" s="494"/>
      <c r="D236" s="494"/>
      <c r="E236" s="494"/>
      <c r="F236" s="501"/>
      <c r="G236" s="501"/>
      <c r="H236" s="494"/>
      <c r="I236" s="507"/>
      <c r="J236" s="507"/>
      <c r="K236" s="496"/>
      <c r="L236" s="496"/>
      <c r="M236" s="496"/>
      <c r="N236" s="496"/>
      <c r="O236" s="493"/>
      <c r="P236" s="493"/>
      <c r="Q236" s="493"/>
      <c r="R236" s="496"/>
      <c r="S236" s="496"/>
      <c r="T236" s="496"/>
      <c r="U236" s="496"/>
      <c r="V236" s="499"/>
      <c r="W236" s="496"/>
      <c r="X236" s="493"/>
      <c r="Y236" s="493"/>
      <c r="Z236" s="493"/>
      <c r="AA236" s="493"/>
      <c r="AB236" s="496"/>
    </row>
    <row r="237" ht="18.0" customHeight="1">
      <c r="A237" s="493"/>
      <c r="B237" s="494"/>
      <c r="C237" s="494"/>
      <c r="D237" s="494"/>
      <c r="E237" s="494"/>
      <c r="F237" s="501"/>
      <c r="G237" s="501"/>
      <c r="H237" s="494"/>
      <c r="I237" s="507"/>
      <c r="J237" s="507"/>
      <c r="K237" s="496"/>
      <c r="L237" s="496"/>
      <c r="M237" s="496"/>
      <c r="N237" s="496"/>
      <c r="O237" s="493"/>
      <c r="P237" s="493"/>
      <c r="Q237" s="493"/>
      <c r="R237" s="496"/>
      <c r="S237" s="496"/>
      <c r="T237" s="496"/>
      <c r="U237" s="496"/>
      <c r="V237" s="499"/>
      <c r="W237" s="496"/>
      <c r="X237" s="493"/>
      <c r="Y237" s="493"/>
      <c r="Z237" s="493"/>
      <c r="AA237" s="493"/>
      <c r="AB237" s="496"/>
    </row>
    <row r="238" ht="18.0" customHeight="1">
      <c r="A238" s="493"/>
      <c r="B238" s="494"/>
      <c r="C238" s="494"/>
      <c r="D238" s="494"/>
      <c r="E238" s="494"/>
      <c r="F238" s="501"/>
      <c r="G238" s="501"/>
      <c r="H238" s="494"/>
      <c r="I238" s="507"/>
      <c r="J238" s="507"/>
      <c r="K238" s="496"/>
      <c r="L238" s="496"/>
      <c r="M238" s="496"/>
      <c r="N238" s="496"/>
      <c r="O238" s="493"/>
      <c r="P238" s="493"/>
      <c r="Q238" s="493"/>
      <c r="R238" s="496"/>
      <c r="S238" s="496"/>
      <c r="T238" s="496"/>
      <c r="U238" s="496"/>
      <c r="V238" s="499"/>
      <c r="W238" s="496"/>
      <c r="X238" s="493"/>
      <c r="Y238" s="493"/>
      <c r="Z238" s="493"/>
      <c r="AA238" s="493"/>
      <c r="AB238" s="496"/>
    </row>
    <row r="239" ht="18.0" customHeight="1">
      <c r="A239" s="493"/>
      <c r="B239" s="494"/>
      <c r="C239" s="494"/>
      <c r="D239" s="494"/>
      <c r="E239" s="494"/>
      <c r="F239" s="501"/>
      <c r="G239" s="501"/>
      <c r="H239" s="494"/>
      <c r="I239" s="507"/>
      <c r="J239" s="507"/>
      <c r="K239" s="496"/>
      <c r="L239" s="496"/>
      <c r="M239" s="496"/>
      <c r="N239" s="496"/>
      <c r="O239" s="493"/>
      <c r="P239" s="493"/>
      <c r="Q239" s="493"/>
      <c r="R239" s="496"/>
      <c r="S239" s="496"/>
      <c r="T239" s="496"/>
      <c r="U239" s="496"/>
      <c r="V239" s="499"/>
      <c r="W239" s="496"/>
      <c r="X239" s="493"/>
      <c r="Y239" s="493"/>
      <c r="Z239" s="493"/>
      <c r="AA239" s="493"/>
      <c r="AB239" s="496"/>
    </row>
    <row r="240" ht="18.0" customHeight="1">
      <c r="A240" s="493"/>
      <c r="B240" s="494"/>
      <c r="C240" s="494"/>
      <c r="D240" s="494"/>
      <c r="E240" s="494"/>
      <c r="F240" s="501"/>
      <c r="G240" s="501"/>
      <c r="H240" s="494"/>
      <c r="I240" s="507"/>
      <c r="J240" s="507"/>
      <c r="K240" s="496"/>
      <c r="L240" s="496"/>
      <c r="M240" s="496"/>
      <c r="N240" s="496"/>
      <c r="O240" s="493"/>
      <c r="P240" s="493"/>
      <c r="Q240" s="493"/>
      <c r="R240" s="496"/>
      <c r="S240" s="496"/>
      <c r="T240" s="496"/>
      <c r="U240" s="496"/>
      <c r="V240" s="499"/>
      <c r="W240" s="496"/>
      <c r="X240" s="493"/>
      <c r="Y240" s="493"/>
      <c r="Z240" s="493"/>
      <c r="AA240" s="493"/>
      <c r="AB240" s="496"/>
    </row>
    <row r="241" ht="18.0" customHeight="1">
      <c r="A241" s="493"/>
      <c r="B241" s="494"/>
      <c r="C241" s="494"/>
      <c r="D241" s="494"/>
      <c r="E241" s="494"/>
      <c r="F241" s="501"/>
      <c r="G241" s="501"/>
      <c r="H241" s="494"/>
      <c r="I241" s="507"/>
      <c r="J241" s="507"/>
      <c r="K241" s="496"/>
      <c r="L241" s="496"/>
      <c r="M241" s="496"/>
      <c r="N241" s="496"/>
      <c r="O241" s="493"/>
      <c r="P241" s="493"/>
      <c r="Q241" s="493"/>
      <c r="R241" s="496"/>
      <c r="S241" s="496"/>
      <c r="T241" s="496"/>
      <c r="U241" s="496"/>
      <c r="V241" s="499"/>
      <c r="W241" s="496"/>
      <c r="X241" s="493"/>
      <c r="Y241" s="493"/>
      <c r="Z241" s="493"/>
      <c r="AA241" s="493"/>
      <c r="AB241" s="496"/>
    </row>
    <row r="242" ht="18.0" customHeight="1">
      <c r="A242" s="493"/>
      <c r="B242" s="494"/>
      <c r="C242" s="494"/>
      <c r="D242" s="494"/>
      <c r="E242" s="494"/>
      <c r="F242" s="501"/>
      <c r="G242" s="501"/>
      <c r="H242" s="494"/>
      <c r="I242" s="507"/>
      <c r="J242" s="507"/>
      <c r="K242" s="496"/>
      <c r="L242" s="496"/>
      <c r="M242" s="496"/>
      <c r="N242" s="496"/>
      <c r="O242" s="493"/>
      <c r="P242" s="493"/>
      <c r="Q242" s="493"/>
      <c r="R242" s="496"/>
      <c r="S242" s="496"/>
      <c r="T242" s="496"/>
      <c r="U242" s="496"/>
      <c r="V242" s="499"/>
      <c r="W242" s="496"/>
      <c r="X242" s="493"/>
      <c r="Y242" s="493"/>
      <c r="Z242" s="493"/>
      <c r="AA242" s="493"/>
      <c r="AB242" s="496"/>
    </row>
    <row r="243" ht="18.0" customHeight="1">
      <c r="A243" s="493"/>
      <c r="B243" s="494"/>
      <c r="C243" s="494"/>
      <c r="D243" s="494"/>
      <c r="E243" s="494"/>
      <c r="F243" s="501"/>
      <c r="G243" s="501"/>
      <c r="H243" s="494"/>
      <c r="I243" s="507"/>
      <c r="J243" s="507"/>
      <c r="K243" s="496"/>
      <c r="L243" s="496"/>
      <c r="M243" s="496"/>
      <c r="N243" s="496"/>
      <c r="O243" s="493"/>
      <c r="P243" s="493"/>
      <c r="Q243" s="493"/>
      <c r="R243" s="496"/>
      <c r="S243" s="496"/>
      <c r="T243" s="496"/>
      <c r="U243" s="496"/>
      <c r="V243" s="499"/>
      <c r="W243" s="496"/>
      <c r="X243" s="493"/>
      <c r="Y243" s="493"/>
      <c r="Z243" s="493"/>
      <c r="AA243" s="493"/>
      <c r="AB243" s="496"/>
    </row>
    <row r="244" ht="18.0" customHeight="1">
      <c r="A244" s="493"/>
      <c r="B244" s="494"/>
      <c r="C244" s="494"/>
      <c r="D244" s="494"/>
      <c r="E244" s="494"/>
      <c r="F244" s="501"/>
      <c r="G244" s="501"/>
      <c r="H244" s="494"/>
      <c r="I244" s="507"/>
      <c r="J244" s="507"/>
      <c r="K244" s="496"/>
      <c r="L244" s="496"/>
      <c r="M244" s="496"/>
      <c r="N244" s="496"/>
      <c r="O244" s="493"/>
      <c r="P244" s="493"/>
      <c r="Q244" s="493"/>
      <c r="R244" s="496"/>
      <c r="S244" s="496"/>
      <c r="T244" s="496"/>
      <c r="U244" s="496"/>
      <c r="V244" s="499"/>
      <c r="W244" s="496"/>
      <c r="X244" s="493"/>
      <c r="Y244" s="493"/>
      <c r="Z244" s="493"/>
      <c r="AA244" s="493"/>
      <c r="AB244" s="496"/>
    </row>
    <row r="245" ht="18.0" customHeight="1">
      <c r="A245" s="493"/>
      <c r="B245" s="494"/>
      <c r="C245" s="494"/>
      <c r="D245" s="494"/>
      <c r="E245" s="494"/>
      <c r="F245" s="501"/>
      <c r="G245" s="501"/>
      <c r="H245" s="494"/>
      <c r="I245" s="507"/>
      <c r="J245" s="507"/>
      <c r="K245" s="496"/>
      <c r="L245" s="496"/>
      <c r="M245" s="496"/>
      <c r="N245" s="496"/>
      <c r="O245" s="493"/>
      <c r="P245" s="493"/>
      <c r="Q245" s="493"/>
      <c r="R245" s="496"/>
      <c r="S245" s="496"/>
      <c r="T245" s="496"/>
      <c r="U245" s="496"/>
      <c r="V245" s="499"/>
      <c r="W245" s="496"/>
      <c r="X245" s="493"/>
      <c r="Y245" s="493"/>
      <c r="Z245" s="493"/>
      <c r="AA245" s="493"/>
      <c r="AB245" s="496"/>
    </row>
    <row r="246" ht="18.0" customHeight="1">
      <c r="A246" s="493"/>
      <c r="B246" s="494"/>
      <c r="C246" s="494"/>
      <c r="D246" s="494"/>
      <c r="E246" s="494"/>
      <c r="F246" s="501"/>
      <c r="G246" s="501"/>
      <c r="H246" s="494"/>
      <c r="I246" s="507"/>
      <c r="J246" s="507"/>
      <c r="K246" s="496"/>
      <c r="L246" s="496"/>
      <c r="M246" s="496"/>
      <c r="N246" s="496"/>
      <c r="O246" s="493"/>
      <c r="P246" s="493"/>
      <c r="Q246" s="493"/>
      <c r="R246" s="496"/>
      <c r="S246" s="496"/>
      <c r="T246" s="496"/>
      <c r="U246" s="496"/>
      <c r="V246" s="499"/>
      <c r="W246" s="496"/>
      <c r="X246" s="493"/>
      <c r="Y246" s="493"/>
      <c r="Z246" s="493"/>
      <c r="AA246" s="493"/>
      <c r="AB246" s="496"/>
    </row>
    <row r="247" ht="18.0" customHeight="1">
      <c r="A247" s="493"/>
      <c r="B247" s="494"/>
      <c r="C247" s="494"/>
      <c r="D247" s="494"/>
      <c r="E247" s="494"/>
      <c r="F247" s="501"/>
      <c r="G247" s="501"/>
      <c r="H247" s="494"/>
      <c r="I247" s="507"/>
      <c r="J247" s="507"/>
      <c r="K247" s="496"/>
      <c r="L247" s="496"/>
      <c r="M247" s="496"/>
      <c r="N247" s="496"/>
      <c r="O247" s="493"/>
      <c r="P247" s="493"/>
      <c r="Q247" s="493"/>
      <c r="R247" s="496"/>
      <c r="S247" s="496"/>
      <c r="T247" s="496"/>
      <c r="U247" s="496"/>
      <c r="V247" s="499"/>
      <c r="W247" s="496"/>
      <c r="X247" s="493"/>
      <c r="Y247" s="493"/>
      <c r="Z247" s="493"/>
      <c r="AA247" s="493"/>
      <c r="AB247" s="496"/>
    </row>
    <row r="248" ht="18.0" customHeight="1">
      <c r="A248" s="493"/>
      <c r="B248" s="494"/>
      <c r="C248" s="526"/>
      <c r="D248" s="494"/>
      <c r="E248" s="526"/>
      <c r="F248" s="527"/>
      <c r="G248" s="527"/>
      <c r="H248" s="526"/>
      <c r="I248" s="507"/>
      <c r="J248" s="507"/>
      <c r="K248" s="496"/>
      <c r="L248" s="496"/>
      <c r="M248" s="496"/>
      <c r="N248" s="496"/>
      <c r="O248" s="493"/>
      <c r="P248" s="493"/>
      <c r="Q248" s="493"/>
      <c r="R248" s="496"/>
      <c r="S248" s="496"/>
      <c r="T248" s="496"/>
      <c r="U248" s="496"/>
      <c r="V248" s="499"/>
      <c r="W248" s="496"/>
      <c r="X248" s="493"/>
      <c r="Y248" s="493"/>
      <c r="Z248" s="493"/>
      <c r="AA248" s="493"/>
      <c r="AB248" s="496"/>
    </row>
    <row r="249" ht="18.0" customHeight="1">
      <c r="A249" s="493"/>
      <c r="B249" s="526"/>
      <c r="C249" s="526"/>
      <c r="D249" s="526"/>
      <c r="E249" s="526"/>
      <c r="F249" s="527"/>
      <c r="G249" s="527"/>
      <c r="H249" s="526"/>
      <c r="I249" s="507"/>
      <c r="J249" s="507"/>
      <c r="K249" s="496"/>
      <c r="L249" s="496"/>
      <c r="M249" s="496"/>
      <c r="N249" s="496"/>
      <c r="O249" s="493"/>
      <c r="P249" s="493"/>
      <c r="Q249" s="493"/>
      <c r="R249" s="496"/>
      <c r="S249" s="496"/>
      <c r="T249" s="496"/>
      <c r="U249" s="496"/>
      <c r="V249" s="499"/>
      <c r="W249" s="496"/>
      <c r="X249" s="493"/>
      <c r="Y249" s="493"/>
      <c r="Z249" s="493"/>
      <c r="AA249" s="493"/>
      <c r="AB249" s="496"/>
    </row>
    <row r="250" ht="18.0" customHeight="1">
      <c r="A250" s="493"/>
      <c r="B250" s="526"/>
      <c r="C250" s="526"/>
      <c r="D250" s="526"/>
      <c r="E250" s="526"/>
      <c r="F250" s="527"/>
      <c r="G250" s="527"/>
      <c r="H250" s="526"/>
      <c r="I250" s="507"/>
      <c r="J250" s="507"/>
      <c r="K250" s="496"/>
      <c r="L250" s="496"/>
      <c r="M250" s="496"/>
      <c r="N250" s="496"/>
      <c r="O250" s="493"/>
      <c r="P250" s="493"/>
      <c r="Q250" s="493"/>
      <c r="R250" s="496"/>
      <c r="S250" s="496"/>
      <c r="T250" s="496"/>
      <c r="U250" s="496"/>
      <c r="V250" s="499"/>
      <c r="W250" s="496"/>
      <c r="X250" s="493"/>
      <c r="Y250" s="493"/>
      <c r="Z250" s="493"/>
      <c r="AA250" s="493"/>
      <c r="AB250" s="496"/>
    </row>
    <row r="251" ht="18.0" customHeight="1">
      <c r="A251" s="493"/>
      <c r="B251" s="526"/>
      <c r="C251" s="526"/>
      <c r="D251" s="526"/>
      <c r="E251" s="526"/>
      <c r="F251" s="527"/>
      <c r="G251" s="527"/>
      <c r="H251" s="526"/>
      <c r="I251" s="507"/>
      <c r="J251" s="507"/>
      <c r="K251" s="496"/>
      <c r="L251" s="496"/>
      <c r="M251" s="496"/>
      <c r="N251" s="496"/>
      <c r="O251" s="493"/>
      <c r="P251" s="493"/>
      <c r="Q251" s="493"/>
      <c r="R251" s="496"/>
      <c r="S251" s="496"/>
      <c r="T251" s="496"/>
      <c r="U251" s="496"/>
      <c r="V251" s="499"/>
      <c r="W251" s="496"/>
      <c r="X251" s="493"/>
      <c r="Y251" s="493"/>
      <c r="Z251" s="493"/>
      <c r="AA251" s="493"/>
      <c r="AB251" s="496"/>
    </row>
    <row r="252" ht="18.0" customHeight="1">
      <c r="A252" s="493"/>
      <c r="B252" s="526"/>
      <c r="C252" s="526"/>
      <c r="D252" s="526"/>
      <c r="E252" s="526"/>
      <c r="F252" s="527"/>
      <c r="G252" s="527"/>
      <c r="H252" s="526"/>
      <c r="I252" s="507"/>
      <c r="J252" s="507"/>
      <c r="K252" s="496"/>
      <c r="L252" s="496"/>
      <c r="M252" s="496"/>
      <c r="N252" s="496"/>
      <c r="O252" s="493"/>
      <c r="P252" s="493"/>
      <c r="Q252" s="493"/>
      <c r="R252" s="496"/>
      <c r="S252" s="496"/>
      <c r="T252" s="496"/>
      <c r="U252" s="496"/>
      <c r="V252" s="499"/>
      <c r="W252" s="496"/>
      <c r="X252" s="493"/>
      <c r="Y252" s="493"/>
      <c r="Z252" s="493"/>
      <c r="AA252" s="493"/>
      <c r="AB252" s="496"/>
    </row>
    <row r="253" ht="18.0" customHeight="1">
      <c r="A253" s="493"/>
      <c r="B253" s="526"/>
      <c r="C253" s="526"/>
      <c r="D253" s="526"/>
      <c r="E253" s="526"/>
      <c r="F253" s="527"/>
      <c r="G253" s="527"/>
      <c r="H253" s="526"/>
      <c r="I253" s="507"/>
      <c r="J253" s="507"/>
      <c r="K253" s="496"/>
      <c r="L253" s="496"/>
      <c r="M253" s="496"/>
      <c r="N253" s="496"/>
      <c r="O253" s="493"/>
      <c r="P253" s="493"/>
      <c r="Q253" s="493"/>
      <c r="R253" s="496"/>
      <c r="S253" s="496"/>
      <c r="T253" s="496"/>
      <c r="U253" s="496"/>
      <c r="V253" s="499"/>
      <c r="W253" s="496"/>
      <c r="X253" s="493"/>
      <c r="Y253" s="493"/>
      <c r="Z253" s="493"/>
      <c r="AA253" s="493"/>
      <c r="AB253" s="496"/>
    </row>
    <row r="254" ht="18.0" customHeight="1">
      <c r="A254" s="493"/>
      <c r="B254" s="526"/>
      <c r="C254" s="526"/>
      <c r="D254" s="526"/>
      <c r="E254" s="526"/>
      <c r="F254" s="527"/>
      <c r="G254" s="527"/>
      <c r="H254" s="526"/>
      <c r="I254" s="507"/>
      <c r="J254" s="507"/>
      <c r="K254" s="496"/>
      <c r="L254" s="496"/>
      <c r="M254" s="496"/>
      <c r="N254" s="496"/>
      <c r="O254" s="493"/>
      <c r="P254" s="493"/>
      <c r="Q254" s="493"/>
      <c r="R254" s="496"/>
      <c r="S254" s="496"/>
      <c r="T254" s="496"/>
      <c r="U254" s="496"/>
      <c r="V254" s="499"/>
      <c r="W254" s="496"/>
      <c r="X254" s="493"/>
      <c r="Y254" s="493"/>
      <c r="Z254" s="493"/>
      <c r="AA254" s="493"/>
      <c r="AB254" s="496"/>
    </row>
    <row r="255" ht="18.0" customHeight="1">
      <c r="A255" s="493"/>
      <c r="B255" s="526"/>
      <c r="C255" s="526"/>
      <c r="D255" s="526"/>
      <c r="E255" s="526"/>
      <c r="F255" s="527"/>
      <c r="G255" s="527"/>
      <c r="H255" s="526"/>
      <c r="I255" s="507"/>
      <c r="J255" s="507"/>
      <c r="K255" s="496"/>
      <c r="L255" s="496"/>
      <c r="M255" s="496"/>
      <c r="N255" s="496"/>
      <c r="O255" s="493"/>
      <c r="P255" s="493"/>
      <c r="Q255" s="493"/>
      <c r="R255" s="496"/>
      <c r="S255" s="496"/>
      <c r="T255" s="496"/>
      <c r="U255" s="496"/>
      <c r="V255" s="499"/>
      <c r="W255" s="496"/>
      <c r="X255" s="493"/>
      <c r="Y255" s="493"/>
      <c r="Z255" s="493"/>
      <c r="AA255" s="493"/>
      <c r="AB255" s="496"/>
    </row>
    <row r="256" ht="18.0" customHeight="1">
      <c r="A256" s="493"/>
      <c r="B256" s="526"/>
      <c r="C256" s="526"/>
      <c r="D256" s="526"/>
      <c r="E256" s="526"/>
      <c r="F256" s="527"/>
      <c r="G256" s="527"/>
      <c r="H256" s="526"/>
      <c r="I256" s="507"/>
      <c r="J256" s="507"/>
      <c r="K256" s="496"/>
      <c r="L256" s="496"/>
      <c r="M256" s="496"/>
      <c r="N256" s="496"/>
      <c r="O256" s="493"/>
      <c r="P256" s="493"/>
      <c r="Q256" s="493"/>
      <c r="R256" s="496"/>
      <c r="S256" s="496"/>
      <c r="T256" s="496"/>
      <c r="U256" s="496"/>
      <c r="V256" s="499"/>
      <c r="W256" s="496"/>
      <c r="X256" s="493"/>
      <c r="Y256" s="493"/>
      <c r="Z256" s="493"/>
      <c r="AA256" s="493"/>
      <c r="AB256" s="496"/>
    </row>
    <row r="257" ht="18.0" customHeight="1">
      <c r="A257" s="493"/>
      <c r="B257" s="526"/>
      <c r="C257" s="526"/>
      <c r="D257" s="526"/>
      <c r="E257" s="526"/>
      <c r="F257" s="527"/>
      <c r="G257" s="527"/>
      <c r="H257" s="526"/>
      <c r="I257" s="507"/>
      <c r="J257" s="507"/>
      <c r="K257" s="496"/>
      <c r="L257" s="496"/>
      <c r="M257" s="496"/>
      <c r="N257" s="496"/>
      <c r="O257" s="493"/>
      <c r="P257" s="493"/>
      <c r="Q257" s="493"/>
      <c r="R257" s="496"/>
      <c r="S257" s="496"/>
      <c r="T257" s="496"/>
      <c r="U257" s="496"/>
      <c r="V257" s="499"/>
      <c r="W257" s="496"/>
      <c r="X257" s="493"/>
      <c r="Y257" s="493"/>
      <c r="Z257" s="493"/>
      <c r="AA257" s="493"/>
      <c r="AB257" s="496"/>
    </row>
    <row r="258" ht="18.0" customHeight="1">
      <c r="A258" s="493"/>
      <c r="B258" s="526"/>
      <c r="C258" s="526"/>
      <c r="D258" s="526"/>
      <c r="E258" s="526"/>
      <c r="F258" s="527"/>
      <c r="G258" s="527"/>
      <c r="H258" s="526"/>
      <c r="I258" s="507"/>
      <c r="J258" s="507"/>
      <c r="K258" s="496"/>
      <c r="L258" s="496"/>
      <c r="M258" s="496"/>
      <c r="N258" s="496"/>
      <c r="O258" s="493"/>
      <c r="P258" s="493"/>
      <c r="Q258" s="493"/>
      <c r="R258" s="496"/>
      <c r="S258" s="496"/>
      <c r="T258" s="496"/>
      <c r="U258" s="496"/>
      <c r="V258" s="499"/>
      <c r="W258" s="496"/>
      <c r="X258" s="493"/>
      <c r="Y258" s="493"/>
      <c r="Z258" s="493"/>
      <c r="AA258" s="493"/>
      <c r="AB258" s="496"/>
    </row>
    <row r="259" ht="18.0" customHeight="1">
      <c r="A259" s="493"/>
      <c r="B259" s="526"/>
      <c r="C259" s="526"/>
      <c r="D259" s="526"/>
      <c r="E259" s="526"/>
      <c r="F259" s="527"/>
      <c r="G259" s="527"/>
      <c r="H259" s="526"/>
      <c r="I259" s="507"/>
      <c r="J259" s="507"/>
      <c r="K259" s="496"/>
      <c r="L259" s="496"/>
      <c r="M259" s="496"/>
      <c r="N259" s="496"/>
      <c r="O259" s="493"/>
      <c r="P259" s="493"/>
      <c r="Q259" s="493"/>
      <c r="R259" s="496"/>
      <c r="S259" s="496"/>
      <c r="T259" s="496"/>
      <c r="U259" s="496"/>
      <c r="V259" s="499"/>
      <c r="W259" s="496"/>
      <c r="X259" s="493"/>
      <c r="Y259" s="493"/>
      <c r="Z259" s="493"/>
      <c r="AA259" s="493"/>
      <c r="AB259" s="496"/>
    </row>
    <row r="260" ht="18.0" customHeight="1">
      <c r="A260" s="493"/>
      <c r="B260" s="526"/>
      <c r="C260" s="526"/>
      <c r="D260" s="526"/>
      <c r="E260" s="526"/>
      <c r="F260" s="527"/>
      <c r="G260" s="527"/>
      <c r="H260" s="526"/>
      <c r="I260" s="507"/>
      <c r="J260" s="507"/>
      <c r="K260" s="496"/>
      <c r="L260" s="496"/>
      <c r="M260" s="496"/>
      <c r="N260" s="496"/>
      <c r="O260" s="493"/>
      <c r="P260" s="493"/>
      <c r="Q260" s="493"/>
      <c r="R260" s="496"/>
      <c r="S260" s="496"/>
      <c r="T260" s="496"/>
      <c r="U260" s="496"/>
      <c r="V260" s="499"/>
      <c r="W260" s="496"/>
      <c r="X260" s="493"/>
      <c r="Y260" s="493"/>
      <c r="Z260" s="493"/>
      <c r="AA260" s="493"/>
      <c r="AB260" s="496"/>
    </row>
    <row r="261" ht="18.0" customHeight="1">
      <c r="A261" s="493"/>
      <c r="B261" s="526"/>
      <c r="C261" s="526"/>
      <c r="D261" s="526"/>
      <c r="E261" s="526"/>
      <c r="F261" s="527"/>
      <c r="G261" s="527"/>
      <c r="H261" s="526"/>
      <c r="I261" s="507"/>
      <c r="J261" s="507"/>
      <c r="K261" s="496"/>
      <c r="L261" s="496"/>
      <c r="M261" s="496"/>
      <c r="N261" s="496"/>
      <c r="O261" s="493"/>
      <c r="P261" s="493"/>
      <c r="Q261" s="493"/>
      <c r="R261" s="496"/>
      <c r="S261" s="496"/>
      <c r="T261" s="496"/>
      <c r="U261" s="496"/>
      <c r="V261" s="499"/>
      <c r="W261" s="496"/>
      <c r="X261" s="493"/>
      <c r="Y261" s="493"/>
      <c r="Z261" s="493"/>
      <c r="AA261" s="493"/>
      <c r="AB261" s="496"/>
    </row>
    <row r="262" ht="18.0" customHeight="1">
      <c r="A262" s="493"/>
      <c r="B262" s="526"/>
      <c r="C262" s="526"/>
      <c r="D262" s="526"/>
      <c r="E262" s="526"/>
      <c r="F262" s="527"/>
      <c r="G262" s="527"/>
      <c r="H262" s="526"/>
      <c r="I262" s="507"/>
      <c r="J262" s="507"/>
      <c r="K262" s="496"/>
      <c r="L262" s="496"/>
      <c r="M262" s="496"/>
      <c r="N262" s="496"/>
      <c r="O262" s="493"/>
      <c r="P262" s="493"/>
      <c r="Q262" s="493"/>
      <c r="R262" s="496"/>
      <c r="S262" s="496"/>
      <c r="T262" s="496"/>
      <c r="U262" s="496"/>
      <c r="V262" s="499"/>
      <c r="W262" s="496"/>
      <c r="X262" s="493"/>
      <c r="Y262" s="493"/>
      <c r="Z262" s="493"/>
      <c r="AA262" s="493"/>
      <c r="AB262" s="496"/>
    </row>
    <row r="263" ht="18.0" customHeight="1">
      <c r="A263" s="493"/>
      <c r="B263" s="526"/>
      <c r="C263" s="526"/>
      <c r="D263" s="526"/>
      <c r="E263" s="526"/>
      <c r="F263" s="527"/>
      <c r="G263" s="527"/>
      <c r="H263" s="526"/>
      <c r="I263" s="507"/>
      <c r="J263" s="507"/>
      <c r="K263" s="496"/>
      <c r="L263" s="496"/>
      <c r="M263" s="496"/>
      <c r="N263" s="496"/>
      <c r="O263" s="493"/>
      <c r="P263" s="493"/>
      <c r="Q263" s="493"/>
      <c r="R263" s="496"/>
      <c r="S263" s="496"/>
      <c r="T263" s="496"/>
      <c r="U263" s="496"/>
      <c r="V263" s="499"/>
      <c r="W263" s="496"/>
      <c r="X263" s="493"/>
      <c r="Y263" s="493"/>
      <c r="Z263" s="493"/>
      <c r="AA263" s="493"/>
      <c r="AB263" s="496"/>
    </row>
    <row r="264" ht="18.0" customHeight="1">
      <c r="A264" s="493"/>
      <c r="B264" s="526"/>
      <c r="C264" s="526"/>
      <c r="D264" s="526"/>
      <c r="E264" s="526"/>
      <c r="F264" s="527"/>
      <c r="G264" s="527"/>
      <c r="H264" s="526"/>
      <c r="I264" s="507"/>
      <c r="J264" s="507"/>
      <c r="K264" s="496"/>
      <c r="L264" s="496"/>
      <c r="M264" s="496"/>
      <c r="N264" s="496"/>
      <c r="O264" s="493"/>
      <c r="P264" s="493"/>
      <c r="Q264" s="493"/>
      <c r="R264" s="496"/>
      <c r="S264" s="496"/>
      <c r="T264" s="496"/>
      <c r="U264" s="496"/>
      <c r="V264" s="499"/>
      <c r="W264" s="496"/>
      <c r="X264" s="493"/>
      <c r="Y264" s="493"/>
      <c r="Z264" s="493"/>
      <c r="AA264" s="493"/>
      <c r="AB264" s="496"/>
    </row>
    <row r="265" ht="18.0" customHeight="1">
      <c r="A265" s="493"/>
      <c r="B265" s="526"/>
      <c r="C265" s="526"/>
      <c r="D265" s="526"/>
      <c r="E265" s="526"/>
      <c r="F265" s="527"/>
      <c r="G265" s="527"/>
      <c r="H265" s="526"/>
      <c r="I265" s="507"/>
      <c r="J265" s="507"/>
      <c r="K265" s="496"/>
      <c r="L265" s="496"/>
      <c r="M265" s="496"/>
      <c r="N265" s="496"/>
      <c r="O265" s="493"/>
      <c r="P265" s="493"/>
      <c r="Q265" s="493"/>
      <c r="R265" s="496"/>
      <c r="S265" s="496"/>
      <c r="T265" s="496"/>
      <c r="U265" s="496"/>
      <c r="V265" s="499"/>
      <c r="W265" s="496"/>
      <c r="X265" s="493"/>
      <c r="Y265" s="493"/>
      <c r="Z265" s="493"/>
      <c r="AA265" s="493"/>
      <c r="AB265" s="496"/>
    </row>
    <row r="266" ht="18.0" customHeight="1">
      <c r="A266" s="493"/>
      <c r="B266" s="526"/>
      <c r="C266" s="526"/>
      <c r="D266" s="526"/>
      <c r="E266" s="526"/>
      <c r="F266" s="527"/>
      <c r="G266" s="527"/>
      <c r="H266" s="526"/>
      <c r="I266" s="507"/>
      <c r="J266" s="507"/>
      <c r="K266" s="496"/>
      <c r="L266" s="496"/>
      <c r="M266" s="496"/>
      <c r="N266" s="496"/>
      <c r="O266" s="493"/>
      <c r="P266" s="493"/>
      <c r="Q266" s="493"/>
      <c r="R266" s="496"/>
      <c r="S266" s="496"/>
      <c r="T266" s="496"/>
      <c r="U266" s="496"/>
      <c r="V266" s="499"/>
      <c r="W266" s="496"/>
      <c r="X266" s="493"/>
      <c r="Y266" s="493"/>
      <c r="Z266" s="493"/>
      <c r="AA266" s="493"/>
      <c r="AB266" s="496"/>
    </row>
    <row r="267" ht="18.0" customHeight="1">
      <c r="A267" s="493"/>
      <c r="B267" s="528"/>
      <c r="C267" s="528"/>
      <c r="D267" s="528"/>
      <c r="E267" s="528"/>
      <c r="F267" s="529"/>
      <c r="G267" s="529"/>
      <c r="H267" s="528"/>
      <c r="I267" s="530"/>
      <c r="J267" s="530"/>
      <c r="K267" s="496"/>
      <c r="L267" s="496"/>
      <c r="M267" s="496"/>
      <c r="N267" s="496"/>
      <c r="O267" s="493"/>
      <c r="P267" s="493"/>
      <c r="Q267" s="493"/>
      <c r="R267" s="496"/>
      <c r="S267" s="496"/>
      <c r="T267" s="496"/>
      <c r="U267" s="496"/>
      <c r="V267" s="499"/>
      <c r="W267" s="496"/>
      <c r="X267" s="493"/>
      <c r="Y267" s="493"/>
      <c r="Z267" s="493"/>
      <c r="AA267" s="493"/>
      <c r="AB267" s="496"/>
    </row>
    <row r="268" ht="18.0" customHeight="1">
      <c r="A268" s="493"/>
      <c r="B268" s="528"/>
      <c r="C268" s="528"/>
      <c r="D268" s="528"/>
      <c r="E268" s="528"/>
      <c r="F268" s="529"/>
      <c r="G268" s="529"/>
      <c r="H268" s="528"/>
      <c r="I268" s="530"/>
      <c r="J268" s="530"/>
      <c r="K268" s="496"/>
      <c r="L268" s="496"/>
      <c r="M268" s="496"/>
      <c r="N268" s="496"/>
      <c r="O268" s="493"/>
      <c r="P268" s="493"/>
      <c r="Q268" s="493"/>
      <c r="R268" s="496"/>
      <c r="S268" s="496"/>
      <c r="T268" s="496"/>
      <c r="U268" s="496"/>
      <c r="V268" s="496"/>
      <c r="W268" s="496"/>
      <c r="X268" s="493"/>
      <c r="Y268" s="493"/>
      <c r="Z268" s="493"/>
      <c r="AA268" s="493"/>
      <c r="AB268" s="496"/>
    </row>
    <row r="269" ht="18.0" customHeight="1">
      <c r="A269" s="493"/>
      <c r="B269" s="528"/>
      <c r="C269" s="528"/>
      <c r="D269" s="528"/>
      <c r="E269" s="528"/>
      <c r="F269" s="529"/>
      <c r="G269" s="529"/>
      <c r="H269" s="528"/>
      <c r="I269" s="530"/>
      <c r="J269" s="530"/>
      <c r="K269" s="496"/>
      <c r="L269" s="496"/>
      <c r="M269" s="496"/>
      <c r="N269" s="496"/>
      <c r="O269" s="493"/>
      <c r="P269" s="493"/>
      <c r="Q269" s="493"/>
      <c r="R269" s="496"/>
      <c r="S269" s="496"/>
      <c r="T269" s="496"/>
      <c r="U269" s="496"/>
      <c r="V269" s="496"/>
      <c r="W269" s="496"/>
      <c r="X269" s="493"/>
      <c r="Y269" s="493"/>
      <c r="Z269" s="493"/>
      <c r="AA269" s="493"/>
      <c r="AB269" s="496"/>
    </row>
    <row r="270" ht="18.0" customHeight="1">
      <c r="A270" s="493"/>
      <c r="B270" s="528"/>
      <c r="C270" s="528"/>
      <c r="D270" s="528"/>
      <c r="E270" s="528"/>
      <c r="F270" s="529"/>
      <c r="G270" s="529"/>
      <c r="H270" s="528"/>
      <c r="I270" s="530"/>
      <c r="J270" s="530"/>
      <c r="K270" s="496"/>
      <c r="L270" s="496"/>
      <c r="M270" s="496"/>
      <c r="N270" s="496"/>
      <c r="O270" s="493"/>
      <c r="P270" s="493"/>
      <c r="Q270" s="493"/>
      <c r="R270" s="496"/>
      <c r="S270" s="496"/>
      <c r="T270" s="496"/>
      <c r="U270" s="496"/>
      <c r="V270" s="496"/>
      <c r="W270" s="496"/>
      <c r="X270" s="493"/>
      <c r="Y270" s="493"/>
      <c r="Z270" s="493"/>
      <c r="AA270" s="493"/>
      <c r="AB270" s="496"/>
    </row>
    <row r="271" ht="18.0" customHeight="1">
      <c r="A271" s="493"/>
      <c r="B271" s="528"/>
      <c r="C271" s="528"/>
      <c r="D271" s="528"/>
      <c r="E271" s="528"/>
      <c r="F271" s="529"/>
      <c r="G271" s="529"/>
      <c r="H271" s="528"/>
      <c r="I271" s="530"/>
      <c r="J271" s="530"/>
      <c r="K271" s="496"/>
      <c r="L271" s="496"/>
      <c r="M271" s="496"/>
      <c r="N271" s="496"/>
      <c r="O271" s="493"/>
      <c r="P271" s="493"/>
      <c r="Q271" s="493"/>
      <c r="R271" s="496"/>
      <c r="S271" s="496"/>
      <c r="T271" s="496"/>
      <c r="U271" s="496"/>
      <c r="V271" s="496"/>
      <c r="W271" s="496"/>
      <c r="X271" s="493"/>
      <c r="Y271" s="493"/>
      <c r="Z271" s="493"/>
      <c r="AA271" s="493"/>
      <c r="AB271" s="496"/>
    </row>
    <row r="272" ht="18.0" customHeight="1">
      <c r="A272" s="493"/>
      <c r="B272" s="531"/>
      <c r="C272" s="531"/>
      <c r="D272" s="531"/>
      <c r="E272" s="531"/>
      <c r="F272" s="532"/>
      <c r="G272" s="532"/>
      <c r="H272" s="531"/>
      <c r="I272" s="533"/>
      <c r="J272" s="533"/>
      <c r="K272" s="496"/>
      <c r="L272" s="496"/>
      <c r="M272" s="496"/>
      <c r="N272" s="496"/>
      <c r="O272" s="493"/>
      <c r="P272" s="493"/>
      <c r="Q272" s="493"/>
      <c r="R272" s="496"/>
      <c r="S272" s="496"/>
      <c r="T272" s="496"/>
      <c r="U272" s="496"/>
      <c r="V272" s="496"/>
      <c r="W272" s="496"/>
      <c r="X272" s="493"/>
      <c r="Y272" s="493"/>
      <c r="Z272" s="493"/>
      <c r="AA272" s="493"/>
      <c r="AB272" s="496"/>
    </row>
    <row r="273" ht="18.0" customHeight="1">
      <c r="A273" s="493"/>
      <c r="B273" s="531"/>
      <c r="C273" s="531"/>
      <c r="D273" s="531"/>
      <c r="E273" s="531"/>
      <c r="F273" s="532"/>
      <c r="G273" s="532"/>
      <c r="H273" s="531"/>
      <c r="I273" s="533"/>
      <c r="J273" s="533"/>
      <c r="K273" s="496"/>
      <c r="L273" s="496"/>
      <c r="M273" s="496"/>
      <c r="N273" s="496"/>
      <c r="O273" s="493"/>
      <c r="P273" s="493"/>
      <c r="Q273" s="493"/>
      <c r="R273" s="496"/>
      <c r="S273" s="496"/>
      <c r="T273" s="496"/>
      <c r="U273" s="496"/>
      <c r="V273" s="496"/>
      <c r="W273" s="496"/>
      <c r="X273" s="493"/>
      <c r="Y273" s="493"/>
      <c r="Z273" s="493"/>
      <c r="AA273" s="493"/>
      <c r="AB273" s="496"/>
    </row>
    <row r="274" ht="18.0" customHeight="1">
      <c r="A274" s="493"/>
      <c r="B274" s="531"/>
      <c r="C274" s="531"/>
      <c r="D274" s="531"/>
      <c r="E274" s="531"/>
      <c r="F274" s="532"/>
      <c r="G274" s="532"/>
      <c r="H274" s="531"/>
      <c r="I274" s="533"/>
      <c r="J274" s="533"/>
      <c r="K274" s="496"/>
      <c r="L274" s="496"/>
      <c r="M274" s="496"/>
      <c r="N274" s="496"/>
      <c r="O274" s="493"/>
      <c r="P274" s="493"/>
      <c r="Q274" s="493"/>
      <c r="R274" s="496"/>
      <c r="S274" s="496"/>
      <c r="T274" s="496"/>
      <c r="U274" s="496"/>
      <c r="V274" s="496"/>
      <c r="W274" s="496"/>
      <c r="X274" s="493"/>
      <c r="Y274" s="493"/>
      <c r="Z274" s="493"/>
      <c r="AA274" s="493"/>
      <c r="AB274" s="496"/>
    </row>
    <row r="275" ht="18.0" customHeight="1">
      <c r="A275" s="493"/>
      <c r="B275" s="531"/>
      <c r="C275" s="531"/>
      <c r="D275" s="531"/>
      <c r="E275" s="531"/>
      <c r="F275" s="532"/>
      <c r="G275" s="532"/>
      <c r="H275" s="531"/>
      <c r="I275" s="533"/>
      <c r="J275" s="533"/>
      <c r="K275" s="496"/>
      <c r="L275" s="496"/>
      <c r="M275" s="496"/>
      <c r="N275" s="496"/>
      <c r="O275" s="493"/>
      <c r="P275" s="493"/>
      <c r="Q275" s="493"/>
      <c r="R275" s="496"/>
      <c r="S275" s="496"/>
      <c r="T275" s="496"/>
      <c r="U275" s="496"/>
      <c r="V275" s="496"/>
      <c r="W275" s="496"/>
      <c r="X275" s="493"/>
      <c r="Y275" s="493"/>
      <c r="Z275" s="493"/>
      <c r="AA275" s="493"/>
      <c r="AB275" s="496"/>
    </row>
    <row r="276" ht="18.0" customHeight="1">
      <c r="A276" s="493"/>
      <c r="B276" s="531"/>
      <c r="C276" s="531"/>
      <c r="D276" s="531"/>
      <c r="E276" s="531"/>
      <c r="F276" s="532"/>
      <c r="G276" s="532"/>
      <c r="H276" s="531"/>
      <c r="I276" s="533"/>
      <c r="J276" s="533"/>
      <c r="K276" s="496"/>
      <c r="L276" s="496"/>
      <c r="M276" s="496"/>
      <c r="N276" s="496"/>
      <c r="O276" s="493"/>
      <c r="P276" s="493"/>
      <c r="Q276" s="493"/>
      <c r="R276" s="496"/>
      <c r="S276" s="496"/>
      <c r="T276" s="496"/>
      <c r="U276" s="496"/>
      <c r="V276" s="496"/>
      <c r="W276" s="496"/>
      <c r="X276" s="493"/>
      <c r="Y276" s="493"/>
      <c r="Z276" s="493"/>
      <c r="AA276" s="493"/>
      <c r="AB276" s="496"/>
    </row>
    <row r="277" ht="18.0" customHeight="1">
      <c r="A277" s="493"/>
      <c r="B277" s="531"/>
      <c r="C277" s="531"/>
      <c r="D277" s="531"/>
      <c r="E277" s="531"/>
      <c r="F277" s="532"/>
      <c r="G277" s="532"/>
      <c r="H277" s="531"/>
      <c r="I277" s="533"/>
      <c r="J277" s="533"/>
      <c r="K277" s="496"/>
      <c r="L277" s="496"/>
      <c r="M277" s="496"/>
      <c r="N277" s="496"/>
      <c r="O277" s="493"/>
      <c r="P277" s="493"/>
      <c r="Q277" s="493"/>
      <c r="R277" s="496"/>
      <c r="S277" s="496"/>
      <c r="T277" s="496"/>
      <c r="U277" s="496"/>
      <c r="V277" s="496"/>
      <c r="W277" s="496"/>
      <c r="X277" s="493"/>
      <c r="Y277" s="493"/>
      <c r="Z277" s="493"/>
      <c r="AA277" s="493"/>
      <c r="AB277" s="496"/>
    </row>
    <row r="278" ht="18.0" customHeight="1">
      <c r="A278" s="493"/>
      <c r="B278" s="531"/>
      <c r="C278" s="531"/>
      <c r="D278" s="531"/>
      <c r="E278" s="531"/>
      <c r="F278" s="532"/>
      <c r="G278" s="532"/>
      <c r="H278" s="531"/>
      <c r="I278" s="533"/>
      <c r="J278" s="533"/>
      <c r="K278" s="496"/>
      <c r="L278" s="496"/>
      <c r="M278" s="496"/>
      <c r="N278" s="496"/>
      <c r="O278" s="493"/>
      <c r="P278" s="493"/>
      <c r="Q278" s="493"/>
      <c r="R278" s="496"/>
      <c r="S278" s="496"/>
      <c r="T278" s="496"/>
      <c r="U278" s="496"/>
      <c r="V278" s="496"/>
      <c r="W278" s="496"/>
      <c r="X278" s="493"/>
      <c r="Y278" s="493"/>
      <c r="Z278" s="493"/>
      <c r="AA278" s="493"/>
      <c r="AB278" s="496"/>
    </row>
    <row r="279" ht="18.0" customHeight="1">
      <c r="A279" s="493"/>
      <c r="B279" s="531"/>
      <c r="C279" s="531"/>
      <c r="D279" s="531"/>
      <c r="E279" s="531"/>
      <c r="F279" s="532"/>
      <c r="G279" s="532"/>
      <c r="H279" s="531"/>
      <c r="I279" s="533"/>
      <c r="J279" s="533"/>
      <c r="K279" s="496"/>
      <c r="L279" s="496"/>
      <c r="M279" s="496"/>
      <c r="N279" s="496"/>
      <c r="O279" s="493"/>
      <c r="P279" s="493"/>
      <c r="Q279" s="493"/>
      <c r="R279" s="496"/>
      <c r="S279" s="496"/>
      <c r="T279" s="496"/>
      <c r="U279" s="496"/>
      <c r="V279" s="496"/>
      <c r="W279" s="496"/>
      <c r="X279" s="493"/>
      <c r="Y279" s="493"/>
      <c r="Z279" s="493"/>
      <c r="AA279" s="493"/>
      <c r="AB279" s="496"/>
    </row>
    <row r="280" ht="18.0" customHeight="1">
      <c r="A280" s="493"/>
      <c r="B280" s="531"/>
      <c r="C280" s="531"/>
      <c r="D280" s="531"/>
      <c r="E280" s="531"/>
      <c r="F280" s="532"/>
      <c r="G280" s="532"/>
      <c r="H280" s="531"/>
      <c r="I280" s="533"/>
      <c r="J280" s="533"/>
      <c r="K280" s="496"/>
      <c r="L280" s="496"/>
      <c r="M280" s="496"/>
      <c r="N280" s="496"/>
      <c r="O280" s="493"/>
      <c r="P280" s="493"/>
      <c r="Q280" s="493"/>
      <c r="R280" s="496"/>
      <c r="S280" s="496"/>
      <c r="T280" s="496"/>
      <c r="U280" s="496"/>
      <c r="V280" s="496"/>
      <c r="W280" s="496"/>
      <c r="X280" s="493"/>
      <c r="Y280" s="493"/>
      <c r="Z280" s="493"/>
      <c r="AA280" s="493"/>
      <c r="AB280" s="496"/>
    </row>
    <row r="281" ht="18.0" customHeight="1">
      <c r="A281" s="493"/>
      <c r="B281" s="531"/>
      <c r="C281" s="531"/>
      <c r="D281" s="531"/>
      <c r="E281" s="531"/>
      <c r="F281" s="532"/>
      <c r="G281" s="532"/>
      <c r="H281" s="531"/>
      <c r="I281" s="533"/>
      <c r="J281" s="533"/>
      <c r="K281" s="496"/>
      <c r="L281" s="496"/>
      <c r="M281" s="496"/>
      <c r="N281" s="496"/>
      <c r="O281" s="493"/>
      <c r="P281" s="493"/>
      <c r="Q281" s="493"/>
      <c r="R281" s="496"/>
      <c r="S281" s="496"/>
      <c r="T281" s="496"/>
      <c r="U281" s="496"/>
      <c r="V281" s="496"/>
      <c r="W281" s="496"/>
      <c r="X281" s="493"/>
      <c r="Y281" s="493"/>
      <c r="Z281" s="493"/>
      <c r="AA281" s="493"/>
      <c r="AB281" s="496"/>
    </row>
    <row r="282" ht="18.0" customHeight="1">
      <c r="A282" s="493"/>
      <c r="B282" s="531"/>
      <c r="C282" s="531"/>
      <c r="D282" s="531"/>
      <c r="E282" s="531"/>
      <c r="F282" s="532"/>
      <c r="G282" s="532"/>
      <c r="H282" s="531"/>
      <c r="I282" s="533"/>
      <c r="J282" s="533"/>
      <c r="K282" s="496"/>
      <c r="L282" s="496"/>
      <c r="M282" s="496"/>
      <c r="N282" s="496"/>
      <c r="O282" s="493"/>
      <c r="P282" s="493"/>
      <c r="Q282" s="493"/>
      <c r="R282" s="496"/>
      <c r="S282" s="496"/>
      <c r="T282" s="496"/>
      <c r="U282" s="496"/>
      <c r="V282" s="496"/>
      <c r="W282" s="496"/>
      <c r="X282" s="493"/>
      <c r="Y282" s="493"/>
      <c r="Z282" s="493"/>
      <c r="AA282" s="493"/>
      <c r="AB282" s="496"/>
    </row>
    <row r="283" ht="18.0" customHeight="1">
      <c r="A283" s="493"/>
      <c r="B283" s="531"/>
      <c r="C283" s="531"/>
      <c r="D283" s="531"/>
      <c r="E283" s="531"/>
      <c r="F283" s="532"/>
      <c r="G283" s="532"/>
      <c r="H283" s="531"/>
      <c r="I283" s="533"/>
      <c r="J283" s="533"/>
      <c r="K283" s="496"/>
      <c r="L283" s="496"/>
      <c r="M283" s="496"/>
      <c r="N283" s="496"/>
      <c r="O283" s="493"/>
      <c r="P283" s="493"/>
      <c r="Q283" s="493"/>
      <c r="R283" s="496"/>
      <c r="S283" s="496"/>
      <c r="T283" s="496"/>
      <c r="U283" s="496"/>
      <c r="V283" s="496"/>
      <c r="W283" s="496"/>
      <c r="X283" s="493"/>
      <c r="Y283" s="493"/>
      <c r="Z283" s="493"/>
      <c r="AA283" s="493"/>
      <c r="AB283" s="496"/>
    </row>
    <row r="284" ht="18.0" customHeight="1">
      <c r="A284" s="493"/>
      <c r="B284" s="531"/>
      <c r="C284" s="531"/>
      <c r="D284" s="531"/>
      <c r="E284" s="531"/>
      <c r="F284" s="532"/>
      <c r="G284" s="532"/>
      <c r="H284" s="531"/>
      <c r="I284" s="533"/>
      <c r="J284" s="533"/>
      <c r="K284" s="496"/>
      <c r="L284" s="496"/>
      <c r="M284" s="496"/>
      <c r="N284" s="496"/>
      <c r="O284" s="493"/>
      <c r="P284" s="493"/>
      <c r="Q284" s="493"/>
      <c r="R284" s="496"/>
      <c r="S284" s="496"/>
      <c r="T284" s="496"/>
      <c r="U284" s="496"/>
      <c r="V284" s="496"/>
      <c r="W284" s="496"/>
      <c r="X284" s="493"/>
      <c r="Y284" s="493"/>
      <c r="Z284" s="493"/>
      <c r="AA284" s="493"/>
      <c r="AB284" s="496"/>
    </row>
    <row r="285" ht="18.0" customHeight="1">
      <c r="A285" s="493"/>
      <c r="B285" s="531"/>
      <c r="C285" s="531"/>
      <c r="D285" s="531"/>
      <c r="E285" s="531"/>
      <c r="F285" s="532"/>
      <c r="G285" s="532"/>
      <c r="H285" s="531"/>
      <c r="I285" s="533"/>
      <c r="J285" s="533"/>
      <c r="K285" s="496"/>
      <c r="L285" s="496"/>
      <c r="M285" s="496"/>
      <c r="N285" s="496"/>
      <c r="O285" s="493"/>
      <c r="P285" s="493"/>
      <c r="Q285" s="493"/>
      <c r="R285" s="496"/>
      <c r="S285" s="496"/>
      <c r="T285" s="496"/>
      <c r="U285" s="496"/>
      <c r="V285" s="496"/>
      <c r="W285" s="496"/>
      <c r="X285" s="493"/>
      <c r="Y285" s="493"/>
      <c r="Z285" s="493"/>
      <c r="AA285" s="493"/>
      <c r="AB285" s="496"/>
    </row>
    <row r="286" ht="18.0" customHeight="1">
      <c r="A286" s="493"/>
      <c r="B286" s="531"/>
      <c r="C286" s="531"/>
      <c r="D286" s="531"/>
      <c r="E286" s="531"/>
      <c r="F286" s="532"/>
      <c r="G286" s="532"/>
      <c r="H286" s="531"/>
      <c r="I286" s="533"/>
      <c r="J286" s="533"/>
      <c r="K286" s="496"/>
      <c r="L286" s="496"/>
      <c r="M286" s="496"/>
      <c r="N286" s="496"/>
      <c r="O286" s="493"/>
      <c r="P286" s="493"/>
      <c r="Q286" s="493"/>
      <c r="R286" s="496"/>
      <c r="S286" s="496"/>
      <c r="T286" s="496"/>
      <c r="U286" s="496"/>
      <c r="V286" s="496"/>
      <c r="W286" s="496"/>
      <c r="X286" s="493"/>
      <c r="Y286" s="493"/>
      <c r="Z286" s="493"/>
      <c r="AA286" s="493"/>
      <c r="AB286" s="496"/>
    </row>
    <row r="287" ht="18.0" customHeight="1">
      <c r="A287" s="493"/>
      <c r="B287" s="531"/>
      <c r="C287" s="531"/>
      <c r="D287" s="531"/>
      <c r="E287" s="531"/>
      <c r="F287" s="532"/>
      <c r="G287" s="532"/>
      <c r="H287" s="531"/>
      <c r="I287" s="533"/>
      <c r="J287" s="533"/>
      <c r="K287" s="496"/>
      <c r="L287" s="496"/>
      <c r="M287" s="496"/>
      <c r="N287" s="496"/>
      <c r="O287" s="493"/>
      <c r="P287" s="493"/>
      <c r="Q287" s="493"/>
      <c r="R287" s="496"/>
      <c r="S287" s="496"/>
      <c r="T287" s="496"/>
      <c r="U287" s="496"/>
      <c r="V287" s="496"/>
      <c r="W287" s="496"/>
      <c r="X287" s="493"/>
      <c r="Y287" s="493"/>
      <c r="Z287" s="493"/>
      <c r="AA287" s="493"/>
      <c r="AB287" s="496"/>
    </row>
    <row r="288" ht="18.0" customHeight="1">
      <c r="A288" s="493"/>
      <c r="B288" s="531"/>
      <c r="C288" s="531"/>
      <c r="D288" s="531"/>
      <c r="E288" s="531"/>
      <c r="F288" s="532"/>
      <c r="G288" s="532"/>
      <c r="H288" s="531"/>
      <c r="I288" s="533"/>
      <c r="J288" s="533"/>
      <c r="K288" s="496"/>
      <c r="L288" s="496"/>
      <c r="M288" s="496"/>
      <c r="N288" s="496"/>
      <c r="O288" s="493"/>
      <c r="P288" s="493"/>
      <c r="Q288" s="493"/>
      <c r="R288" s="496"/>
      <c r="S288" s="496"/>
      <c r="T288" s="496"/>
      <c r="U288" s="496"/>
      <c r="V288" s="496"/>
      <c r="W288" s="496"/>
      <c r="X288" s="493"/>
      <c r="Y288" s="493"/>
      <c r="Z288" s="493"/>
      <c r="AA288" s="493"/>
      <c r="AB288" s="496"/>
    </row>
    <row r="289" ht="18.0" customHeight="1">
      <c r="A289" s="493"/>
      <c r="B289" s="531"/>
      <c r="C289" s="531"/>
      <c r="D289" s="531"/>
      <c r="E289" s="531"/>
      <c r="F289" s="532"/>
      <c r="G289" s="532"/>
      <c r="H289" s="531"/>
      <c r="I289" s="533"/>
      <c r="J289" s="533"/>
      <c r="K289" s="496"/>
      <c r="L289" s="496"/>
      <c r="M289" s="496"/>
      <c r="N289" s="496"/>
      <c r="O289" s="493"/>
      <c r="P289" s="493"/>
      <c r="Q289" s="493"/>
      <c r="R289" s="496"/>
      <c r="S289" s="496"/>
      <c r="T289" s="496"/>
      <c r="U289" s="496"/>
      <c r="V289" s="496"/>
      <c r="W289" s="496"/>
      <c r="X289" s="493"/>
      <c r="Y289" s="493"/>
      <c r="Z289" s="493"/>
      <c r="AA289" s="493"/>
      <c r="AB289" s="496"/>
    </row>
    <row r="290" ht="18.0" customHeight="1">
      <c r="A290" s="493"/>
      <c r="B290" s="531"/>
      <c r="C290" s="531"/>
      <c r="D290" s="531"/>
      <c r="E290" s="531"/>
      <c r="F290" s="532"/>
      <c r="G290" s="532"/>
      <c r="H290" s="531"/>
      <c r="I290" s="533"/>
      <c r="J290" s="533"/>
      <c r="K290" s="496"/>
      <c r="L290" s="496"/>
      <c r="M290" s="496"/>
      <c r="N290" s="496"/>
      <c r="O290" s="493"/>
      <c r="P290" s="493"/>
      <c r="Q290" s="493"/>
      <c r="R290" s="496"/>
      <c r="S290" s="496"/>
      <c r="T290" s="496"/>
      <c r="U290" s="496"/>
      <c r="V290" s="496"/>
      <c r="W290" s="496"/>
      <c r="X290" s="493"/>
      <c r="Y290" s="493"/>
      <c r="Z290" s="493"/>
      <c r="AA290" s="493"/>
      <c r="AB290" s="496"/>
    </row>
    <row r="291" ht="18.0" customHeight="1">
      <c r="A291" s="493"/>
      <c r="B291" s="531"/>
      <c r="C291" s="531"/>
      <c r="D291" s="531"/>
      <c r="E291" s="531"/>
      <c r="F291" s="532"/>
      <c r="G291" s="532"/>
      <c r="H291" s="531"/>
      <c r="I291" s="533"/>
      <c r="J291" s="533"/>
      <c r="K291" s="496"/>
      <c r="L291" s="496"/>
      <c r="M291" s="496"/>
      <c r="N291" s="496"/>
      <c r="O291" s="493"/>
      <c r="P291" s="493"/>
      <c r="Q291" s="493"/>
      <c r="R291" s="496"/>
      <c r="S291" s="496"/>
      <c r="T291" s="496"/>
      <c r="U291" s="496"/>
      <c r="V291" s="496"/>
      <c r="W291" s="496"/>
      <c r="X291" s="493"/>
      <c r="Y291" s="493"/>
      <c r="Z291" s="493"/>
      <c r="AA291" s="493"/>
      <c r="AB291" s="496"/>
    </row>
    <row r="292" ht="18.0" customHeight="1">
      <c r="A292" s="493"/>
      <c r="B292" s="531"/>
      <c r="C292" s="531"/>
      <c r="D292" s="531"/>
      <c r="E292" s="531"/>
      <c r="F292" s="532"/>
      <c r="G292" s="532"/>
      <c r="H292" s="531"/>
      <c r="I292" s="533"/>
      <c r="J292" s="533"/>
      <c r="K292" s="496"/>
      <c r="L292" s="496"/>
      <c r="M292" s="496"/>
      <c r="N292" s="496"/>
      <c r="O292" s="493"/>
      <c r="P292" s="493"/>
      <c r="Q292" s="493"/>
      <c r="R292" s="496"/>
      <c r="S292" s="496"/>
      <c r="T292" s="496"/>
      <c r="U292" s="496"/>
      <c r="V292" s="496"/>
      <c r="W292" s="496"/>
      <c r="X292" s="493"/>
      <c r="Y292" s="493"/>
      <c r="Z292" s="493"/>
      <c r="AA292" s="493"/>
      <c r="AB292" s="496"/>
    </row>
    <row r="293" ht="18.0" customHeight="1">
      <c r="A293" s="493"/>
      <c r="B293" s="531"/>
      <c r="C293" s="531"/>
      <c r="D293" s="531"/>
      <c r="E293" s="531"/>
      <c r="F293" s="532"/>
      <c r="G293" s="532"/>
      <c r="H293" s="531"/>
      <c r="I293" s="533"/>
      <c r="J293" s="533"/>
      <c r="K293" s="496"/>
      <c r="L293" s="496"/>
      <c r="M293" s="496"/>
      <c r="N293" s="496"/>
      <c r="O293" s="493"/>
      <c r="P293" s="493"/>
      <c r="Q293" s="493"/>
      <c r="R293" s="496"/>
      <c r="S293" s="496"/>
      <c r="T293" s="496"/>
      <c r="U293" s="496"/>
      <c r="V293" s="496"/>
      <c r="W293" s="496"/>
      <c r="X293" s="493"/>
      <c r="Y293" s="493"/>
      <c r="Z293" s="493"/>
      <c r="AA293" s="493"/>
      <c r="AB293" s="496"/>
    </row>
    <row r="294" ht="18.0" customHeight="1">
      <c r="A294" s="493"/>
      <c r="B294" s="531"/>
      <c r="C294" s="531"/>
      <c r="D294" s="531"/>
      <c r="E294" s="531"/>
      <c r="F294" s="532"/>
      <c r="G294" s="532"/>
      <c r="H294" s="531"/>
      <c r="I294" s="533"/>
      <c r="J294" s="533"/>
      <c r="K294" s="496"/>
      <c r="L294" s="496"/>
      <c r="M294" s="496"/>
      <c r="N294" s="496"/>
      <c r="O294" s="493"/>
      <c r="P294" s="493"/>
      <c r="Q294" s="493"/>
      <c r="R294" s="496"/>
      <c r="S294" s="496"/>
      <c r="T294" s="496"/>
      <c r="U294" s="496"/>
      <c r="V294" s="496"/>
      <c r="W294" s="496"/>
      <c r="X294" s="493"/>
      <c r="Y294" s="493"/>
      <c r="Z294" s="493"/>
      <c r="AA294" s="493"/>
      <c r="AB294" s="496"/>
    </row>
    <row r="295" ht="18.0" customHeight="1">
      <c r="A295" s="493"/>
      <c r="B295" s="531"/>
      <c r="C295" s="531"/>
      <c r="D295" s="531"/>
      <c r="E295" s="531"/>
      <c r="F295" s="532"/>
      <c r="G295" s="532"/>
      <c r="H295" s="531"/>
      <c r="I295" s="533"/>
      <c r="J295" s="533"/>
      <c r="K295" s="496"/>
      <c r="L295" s="496"/>
      <c r="M295" s="496"/>
      <c r="N295" s="496"/>
      <c r="O295" s="493"/>
      <c r="P295" s="493"/>
      <c r="Q295" s="493"/>
      <c r="R295" s="496"/>
      <c r="S295" s="496"/>
      <c r="T295" s="496"/>
      <c r="U295" s="496"/>
      <c r="V295" s="496"/>
      <c r="W295" s="496"/>
      <c r="X295" s="493"/>
      <c r="Y295" s="493"/>
      <c r="Z295" s="493"/>
      <c r="AA295" s="493"/>
      <c r="AB295" s="496"/>
    </row>
    <row r="296" ht="18.0" customHeight="1">
      <c r="A296" s="493"/>
      <c r="B296" s="531"/>
      <c r="C296" s="531"/>
      <c r="D296" s="531"/>
      <c r="E296" s="531"/>
      <c r="F296" s="532"/>
      <c r="G296" s="532"/>
      <c r="H296" s="531"/>
      <c r="I296" s="533"/>
      <c r="J296" s="533"/>
      <c r="K296" s="496"/>
      <c r="L296" s="496"/>
      <c r="M296" s="496"/>
      <c r="N296" s="496"/>
      <c r="O296" s="493"/>
      <c r="P296" s="493"/>
      <c r="Q296" s="493"/>
      <c r="R296" s="496"/>
      <c r="S296" s="496"/>
      <c r="T296" s="496"/>
      <c r="U296" s="496"/>
      <c r="V296" s="496"/>
      <c r="W296" s="496"/>
      <c r="X296" s="493"/>
      <c r="Y296" s="493"/>
      <c r="Z296" s="493"/>
      <c r="AA296" s="493"/>
      <c r="AB296" s="496"/>
    </row>
    <row r="297" ht="18.0" customHeight="1">
      <c r="A297" s="493"/>
      <c r="B297" s="531"/>
      <c r="C297" s="531"/>
      <c r="D297" s="531"/>
      <c r="E297" s="531"/>
      <c r="F297" s="532"/>
      <c r="G297" s="532"/>
      <c r="H297" s="531"/>
      <c r="I297" s="533"/>
      <c r="J297" s="533"/>
      <c r="K297" s="496"/>
      <c r="L297" s="496"/>
      <c r="M297" s="496"/>
      <c r="N297" s="496"/>
      <c r="O297" s="493"/>
      <c r="P297" s="493"/>
      <c r="Q297" s="493"/>
      <c r="R297" s="496"/>
      <c r="S297" s="496"/>
      <c r="T297" s="496"/>
      <c r="U297" s="496"/>
      <c r="V297" s="496"/>
      <c r="W297" s="496"/>
      <c r="X297" s="493"/>
      <c r="Y297" s="493"/>
      <c r="Z297" s="493"/>
      <c r="AA297" s="493"/>
      <c r="AB297" s="496"/>
    </row>
    <row r="298" ht="18.0" customHeight="1">
      <c r="A298" s="493"/>
      <c r="B298" s="531"/>
      <c r="C298" s="531"/>
      <c r="D298" s="531"/>
      <c r="E298" s="531"/>
      <c r="F298" s="532"/>
      <c r="G298" s="532"/>
      <c r="H298" s="531"/>
      <c r="I298" s="533"/>
      <c r="J298" s="533"/>
      <c r="K298" s="496"/>
      <c r="L298" s="496"/>
      <c r="M298" s="496"/>
      <c r="N298" s="496"/>
      <c r="O298" s="493"/>
      <c r="P298" s="493"/>
      <c r="Q298" s="493"/>
      <c r="R298" s="496"/>
      <c r="S298" s="496"/>
      <c r="T298" s="496"/>
      <c r="U298" s="496"/>
      <c r="V298" s="496"/>
      <c r="W298" s="496"/>
      <c r="X298" s="493"/>
      <c r="Y298" s="493"/>
      <c r="Z298" s="493"/>
      <c r="AA298" s="493"/>
      <c r="AB298" s="496"/>
    </row>
    <row r="299" ht="18.0" customHeight="1">
      <c r="A299" s="493"/>
      <c r="B299" s="531"/>
      <c r="C299" s="531"/>
      <c r="D299" s="531"/>
      <c r="E299" s="531"/>
      <c r="F299" s="532"/>
      <c r="G299" s="532"/>
      <c r="H299" s="531"/>
      <c r="I299" s="533"/>
      <c r="J299" s="533"/>
      <c r="K299" s="496"/>
      <c r="L299" s="496"/>
      <c r="M299" s="496"/>
      <c r="N299" s="496"/>
      <c r="O299" s="493"/>
      <c r="P299" s="493"/>
      <c r="Q299" s="493"/>
      <c r="R299" s="496"/>
      <c r="S299" s="496"/>
      <c r="T299" s="496"/>
      <c r="U299" s="496"/>
      <c r="V299" s="496"/>
      <c r="W299" s="496"/>
      <c r="X299" s="493"/>
      <c r="Y299" s="493"/>
      <c r="Z299" s="493"/>
      <c r="AA299" s="493"/>
      <c r="AB299" s="496"/>
    </row>
    <row r="300" ht="18.0" customHeight="1">
      <c r="A300" s="493"/>
      <c r="B300" s="531"/>
      <c r="C300" s="531"/>
      <c r="D300" s="531"/>
      <c r="E300" s="531"/>
      <c r="F300" s="532"/>
      <c r="G300" s="532"/>
      <c r="H300" s="531"/>
      <c r="I300" s="533"/>
      <c r="J300" s="533"/>
      <c r="K300" s="496"/>
      <c r="L300" s="496"/>
      <c r="M300" s="496"/>
      <c r="N300" s="496"/>
      <c r="O300" s="493"/>
      <c r="P300" s="493"/>
      <c r="Q300" s="493"/>
      <c r="R300" s="496"/>
      <c r="S300" s="496"/>
      <c r="T300" s="496"/>
      <c r="U300" s="496"/>
      <c r="V300" s="496"/>
      <c r="W300" s="496"/>
      <c r="X300" s="493"/>
      <c r="Y300" s="493"/>
      <c r="Z300" s="493"/>
      <c r="AA300" s="493"/>
      <c r="AB300" s="496"/>
    </row>
    <row r="301" ht="18.0" customHeight="1">
      <c r="A301" s="493"/>
      <c r="B301" s="531"/>
      <c r="C301" s="531"/>
      <c r="D301" s="531"/>
      <c r="E301" s="531"/>
      <c r="F301" s="532"/>
      <c r="G301" s="532"/>
      <c r="H301" s="531"/>
      <c r="I301" s="533"/>
      <c r="J301" s="533"/>
      <c r="K301" s="496"/>
      <c r="L301" s="496"/>
      <c r="M301" s="496"/>
      <c r="N301" s="496"/>
      <c r="O301" s="493"/>
      <c r="P301" s="493"/>
      <c r="Q301" s="493"/>
      <c r="R301" s="496"/>
      <c r="S301" s="496"/>
      <c r="T301" s="496"/>
      <c r="U301" s="496"/>
      <c r="V301" s="496"/>
      <c r="W301" s="496"/>
      <c r="X301" s="493"/>
      <c r="Y301" s="493"/>
      <c r="Z301" s="493"/>
      <c r="AA301" s="493"/>
      <c r="AB301" s="496"/>
    </row>
    <row r="302" ht="18.0" customHeight="1">
      <c r="A302" s="493"/>
      <c r="B302" s="531"/>
      <c r="C302" s="531"/>
      <c r="D302" s="531"/>
      <c r="E302" s="531"/>
      <c r="F302" s="532"/>
      <c r="G302" s="532"/>
      <c r="H302" s="531"/>
      <c r="I302" s="533"/>
      <c r="J302" s="533"/>
      <c r="K302" s="496"/>
      <c r="L302" s="496"/>
      <c r="M302" s="496"/>
      <c r="N302" s="496"/>
      <c r="O302" s="493"/>
      <c r="P302" s="493"/>
      <c r="Q302" s="493"/>
      <c r="R302" s="496"/>
      <c r="S302" s="496"/>
      <c r="T302" s="496"/>
      <c r="U302" s="496"/>
      <c r="V302" s="496"/>
      <c r="W302" s="496"/>
      <c r="X302" s="493"/>
      <c r="Y302" s="493"/>
      <c r="Z302" s="493"/>
      <c r="AA302" s="493"/>
      <c r="AB302" s="496"/>
    </row>
    <row r="303" ht="18.0" customHeight="1">
      <c r="A303" s="383"/>
      <c r="B303" s="496"/>
      <c r="C303" s="496"/>
      <c r="D303" s="496"/>
      <c r="E303" s="496"/>
      <c r="F303" s="534"/>
      <c r="G303" s="534"/>
      <c r="H303" s="513"/>
      <c r="I303" s="513"/>
      <c r="J303" s="513"/>
      <c r="K303" s="495"/>
      <c r="L303" s="495"/>
      <c r="M303" s="495"/>
      <c r="N303" s="495"/>
      <c r="O303" s="495"/>
      <c r="P303" s="495"/>
      <c r="Q303" s="495"/>
      <c r="R303" s="383"/>
      <c r="S303" s="383"/>
      <c r="T303" s="383"/>
      <c r="U303" s="383"/>
      <c r="V303" s="383"/>
      <c r="W303" s="383"/>
      <c r="X303" s="383"/>
      <c r="Y303" s="383"/>
      <c r="Z303" s="383"/>
      <c r="AA303" s="383"/>
      <c r="AB303" s="383"/>
    </row>
    <row r="304" ht="18.0" customHeight="1">
      <c r="A304" s="383"/>
      <c r="B304" s="496"/>
      <c r="C304" s="496"/>
      <c r="D304" s="496"/>
      <c r="E304" s="496"/>
      <c r="F304" s="535"/>
      <c r="G304" s="535"/>
      <c r="H304" s="496"/>
      <c r="I304" s="383"/>
      <c r="J304" s="383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 s="383"/>
      <c r="V304" s="383"/>
      <c r="W304" s="383"/>
      <c r="X304" s="383"/>
      <c r="Y304" s="383"/>
      <c r="Z304" s="383"/>
      <c r="AA304" s="383"/>
      <c r="AB304" s="383"/>
    </row>
    <row r="305" ht="18.0" customHeight="1">
      <c r="A305" s="383"/>
      <c r="B305" s="383"/>
      <c r="C305" s="383"/>
      <c r="D305" s="383"/>
      <c r="E305" s="383"/>
      <c r="F305" s="536"/>
      <c r="G305" s="536"/>
      <c r="H305" s="383"/>
      <c r="I305" s="383"/>
      <c r="J305" s="383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 s="383"/>
      <c r="V305" s="383"/>
      <c r="W305" s="383"/>
      <c r="X305" s="383"/>
      <c r="Y305" s="383"/>
      <c r="Z305" s="383"/>
      <c r="AA305" s="383"/>
      <c r="AB305" s="383"/>
    </row>
    <row r="306" ht="18.0" customHeight="1">
      <c r="A306" s="383"/>
      <c r="B306" s="383"/>
      <c r="C306" s="383"/>
      <c r="D306" s="383"/>
      <c r="E306" s="383"/>
      <c r="F306" s="536"/>
      <c r="G306" s="536"/>
      <c r="H306" s="383"/>
      <c r="I306" s="383"/>
      <c r="J306" s="383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383"/>
      <c r="W306" s="383"/>
      <c r="X306" s="383"/>
      <c r="Y306" s="383"/>
      <c r="Z306" s="383"/>
      <c r="AA306" s="383"/>
      <c r="AB306" s="383"/>
    </row>
    <row r="307" ht="18.0" customHeight="1">
      <c r="A307" s="383"/>
      <c r="B307" s="383"/>
      <c r="C307" s="383"/>
      <c r="D307" s="383"/>
      <c r="E307" s="383"/>
      <c r="F307" s="536"/>
      <c r="G307" s="536"/>
      <c r="H307" s="383"/>
      <c r="I307" s="383"/>
      <c r="J307" s="383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383"/>
      <c r="W307" s="383"/>
      <c r="X307" s="383"/>
      <c r="Y307" s="383"/>
      <c r="Z307" s="383"/>
      <c r="AA307" s="383"/>
      <c r="AB307" s="383"/>
    </row>
    <row r="308" ht="18.0" customHeight="1">
      <c r="A308" s="139"/>
      <c r="B308" s="383"/>
      <c r="C308" s="383"/>
      <c r="D308" s="383"/>
      <c r="E308" s="383"/>
      <c r="F308" s="536"/>
      <c r="G308" s="536"/>
      <c r="H308" s="383"/>
      <c r="I308" s="383"/>
      <c r="J308" s="383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383"/>
      <c r="W308" s="383"/>
      <c r="X308" s="383"/>
      <c r="Y308" s="383"/>
      <c r="Z308" s="383"/>
      <c r="AA308" s="383"/>
      <c r="AB308" s="383"/>
    </row>
    <row r="309" ht="18.0" customHeight="1">
      <c r="A309" s="383"/>
      <c r="B309" s="383"/>
      <c r="C309" s="383"/>
      <c r="D309" s="383"/>
      <c r="E309" s="383"/>
      <c r="F309" s="536"/>
      <c r="G309" s="536"/>
      <c r="H309" s="383"/>
      <c r="I309" s="383"/>
      <c r="J309" s="383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 s="383"/>
      <c r="V309" s="383"/>
      <c r="W309" s="383"/>
      <c r="X309" s="383"/>
      <c r="Y309" s="383"/>
      <c r="Z309" s="383"/>
      <c r="AA309" s="383"/>
      <c r="AB309" s="383"/>
    </row>
    <row r="310" ht="18.0" customHeight="1">
      <c r="A310" s="383"/>
      <c r="B310" s="513"/>
      <c r="C310" s="537"/>
      <c r="D310" s="537"/>
      <c r="E310" s="537"/>
      <c r="F310" s="538"/>
      <c r="G310" s="538"/>
      <c r="H310" s="513"/>
      <c r="I310" s="513"/>
      <c r="J310" s="51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 s="383"/>
      <c r="V310" s="383"/>
      <c r="W310" s="383"/>
      <c r="X310" s="383"/>
      <c r="Y310" s="383"/>
      <c r="Z310" s="383"/>
      <c r="AA310" s="383"/>
      <c r="AB310" s="383"/>
    </row>
    <row r="311" ht="18.0" customHeight="1">
      <c r="A311" s="539"/>
      <c r="B311" s="494"/>
      <c r="C311" s="494"/>
      <c r="D311" s="494"/>
      <c r="E311" s="494"/>
      <c r="F311" s="501"/>
      <c r="G311" s="501"/>
      <c r="H311" s="494"/>
      <c r="I311" s="507"/>
      <c r="J311" s="507"/>
      <c r="K311" s="383"/>
      <c r="L311" s="383"/>
      <c r="M311" s="383"/>
      <c r="N311" s="383"/>
      <c r="O311" s="540"/>
      <c r="P311" s="540"/>
      <c r="Q311" s="540"/>
      <c r="R311" s="383"/>
      <c r="S311" s="383"/>
      <c r="T311" s="383"/>
      <c r="U311" s="383"/>
      <c r="V311" s="383"/>
      <c r="W311" s="383"/>
      <c r="X311" s="383"/>
      <c r="Y311" s="383"/>
      <c r="Z311" s="383"/>
      <c r="AA311" s="383"/>
      <c r="AB311" s="383"/>
    </row>
    <row r="312" ht="18.0" customHeight="1">
      <c r="A312" s="539"/>
      <c r="B312" s="494"/>
      <c r="C312" s="494"/>
      <c r="D312" s="494"/>
      <c r="E312" s="494"/>
      <c r="F312" s="501"/>
      <c r="G312" s="501"/>
      <c r="H312" s="494"/>
      <c r="I312" s="507"/>
      <c r="J312" s="507"/>
      <c r="K312" s="383"/>
      <c r="L312" s="383"/>
      <c r="M312" s="383"/>
      <c r="N312" s="383"/>
      <c r="O312" s="540"/>
      <c r="P312" s="540"/>
      <c r="Q312" s="540"/>
      <c r="R312" s="383"/>
      <c r="S312" s="383"/>
      <c r="T312" s="383"/>
      <c r="U312" s="383"/>
      <c r="V312" s="383"/>
      <c r="W312" s="383"/>
      <c r="X312" s="531"/>
      <c r="Y312" s="531"/>
      <c r="Z312" s="383"/>
      <c r="AA312" s="383"/>
      <c r="AB312" s="383"/>
    </row>
    <row r="313" ht="18.0" customHeight="1">
      <c r="A313" s="539"/>
      <c r="B313" s="494"/>
      <c r="C313" s="494"/>
      <c r="D313" s="494"/>
      <c r="E313" s="494"/>
      <c r="F313" s="501"/>
      <c r="G313" s="501"/>
      <c r="H313" s="494"/>
      <c r="I313" s="507"/>
      <c r="J313" s="507"/>
      <c r="K313" s="383"/>
      <c r="L313" s="383"/>
      <c r="M313" s="383"/>
      <c r="N313" s="383"/>
      <c r="O313" s="540"/>
      <c r="P313" s="540"/>
      <c r="Q313" s="540"/>
      <c r="R313" s="383"/>
      <c r="S313" s="383"/>
      <c r="T313" s="383"/>
      <c r="U313" s="383"/>
      <c r="V313" s="383"/>
      <c r="W313" s="383"/>
      <c r="X313" s="531"/>
      <c r="Y313" s="531"/>
      <c r="Z313" s="383"/>
      <c r="AA313" s="383"/>
      <c r="AB313" s="383"/>
    </row>
    <row r="314" ht="18.0" customHeight="1">
      <c r="A314" s="539"/>
      <c r="B314" s="494"/>
      <c r="C314" s="494"/>
      <c r="D314" s="494"/>
      <c r="E314" s="494"/>
      <c r="F314" s="501"/>
      <c r="G314" s="501"/>
      <c r="H314" s="494"/>
      <c r="I314" s="507"/>
      <c r="J314" s="507"/>
      <c r="K314" s="383"/>
      <c r="L314" s="383"/>
      <c r="M314" s="383"/>
      <c r="N314" s="383"/>
      <c r="O314" s="540"/>
      <c r="P314" s="540"/>
      <c r="Q314" s="540"/>
      <c r="R314" s="383"/>
      <c r="S314" s="383"/>
      <c r="T314" s="383"/>
      <c r="U314" s="383"/>
      <c r="V314" s="383"/>
      <c r="W314" s="383"/>
      <c r="X314" s="531"/>
      <c r="Y314" s="531"/>
      <c r="Z314" s="383"/>
      <c r="AA314" s="383"/>
      <c r="AB314" s="383"/>
    </row>
    <row r="315" ht="18.0" customHeight="1">
      <c r="A315" s="539"/>
      <c r="B315" s="494"/>
      <c r="C315" s="494"/>
      <c r="D315" s="494"/>
      <c r="E315" s="494"/>
      <c r="F315" s="501"/>
      <c r="G315" s="501"/>
      <c r="H315" s="494"/>
      <c r="I315" s="507"/>
      <c r="J315" s="507"/>
      <c r="K315" s="383"/>
      <c r="L315" s="383"/>
      <c r="M315" s="383"/>
      <c r="N315" s="383"/>
      <c r="O315" s="540"/>
      <c r="P315" s="540"/>
      <c r="Q315" s="540"/>
      <c r="R315" s="383"/>
      <c r="S315" s="383"/>
      <c r="T315" s="383"/>
      <c r="U315" s="383"/>
      <c r="V315" s="383"/>
      <c r="W315" s="383"/>
      <c r="X315" s="383"/>
      <c r="Y315" s="383"/>
      <c r="Z315" s="383"/>
      <c r="AA315" s="383"/>
      <c r="AB315" s="383"/>
    </row>
    <row r="316" ht="18.0" customHeight="1">
      <c r="A316" s="539"/>
      <c r="B316" s="494"/>
      <c r="C316" s="494"/>
      <c r="D316" s="494"/>
      <c r="E316" s="494"/>
      <c r="F316" s="501"/>
      <c r="G316" s="501"/>
      <c r="H316" s="494"/>
      <c r="I316" s="507"/>
      <c r="J316" s="507"/>
      <c r="K316" s="383"/>
      <c r="L316" s="383"/>
      <c r="M316" s="383"/>
      <c r="N316" s="383"/>
      <c r="O316" s="540"/>
      <c r="P316" s="540"/>
      <c r="Q316" s="540"/>
      <c r="R316" s="383"/>
      <c r="S316" s="383"/>
      <c r="T316" s="383"/>
      <c r="U316" s="383"/>
      <c r="V316" s="383"/>
      <c r="W316" s="383"/>
      <c r="X316" s="383"/>
      <c r="Y316" s="383"/>
      <c r="Z316" s="383"/>
      <c r="AA316" s="383"/>
      <c r="AB316" s="383"/>
    </row>
    <row r="317" ht="18.0" customHeight="1">
      <c r="A317" s="539"/>
      <c r="B317" s="494"/>
      <c r="C317" s="494"/>
      <c r="D317" s="494"/>
      <c r="E317" s="494"/>
      <c r="F317" s="501"/>
      <c r="G317" s="501"/>
      <c r="H317" s="494"/>
      <c r="I317" s="507"/>
      <c r="J317" s="507"/>
      <c r="K317" s="383"/>
      <c r="L317" s="383"/>
      <c r="M317" s="383"/>
      <c r="N317" s="383"/>
      <c r="O317" s="540"/>
      <c r="P317" s="540"/>
      <c r="Q317" s="540"/>
      <c r="R317" s="383"/>
      <c r="S317" s="383"/>
      <c r="T317" s="383"/>
      <c r="U317" s="383"/>
      <c r="V317" s="383"/>
      <c r="W317" s="383"/>
      <c r="X317" s="383"/>
      <c r="Y317" s="383"/>
      <c r="Z317" s="383"/>
      <c r="AA317" s="383"/>
      <c r="AB317" s="383"/>
    </row>
    <row r="318" ht="18.0" customHeight="1">
      <c r="A318" s="539"/>
      <c r="B318" s="494"/>
      <c r="C318" s="494"/>
      <c r="D318" s="494"/>
      <c r="E318" s="494"/>
      <c r="F318" s="501"/>
      <c r="G318" s="501"/>
      <c r="H318" s="494"/>
      <c r="I318" s="507"/>
      <c r="J318" s="507"/>
      <c r="K318" s="383"/>
      <c r="L318" s="383"/>
      <c r="M318" s="383"/>
      <c r="N318" s="383"/>
      <c r="O318" s="540"/>
      <c r="P318" s="540"/>
      <c r="Q318" s="540"/>
      <c r="R318" s="383"/>
      <c r="S318" s="383"/>
      <c r="T318" s="383"/>
      <c r="U318" s="383"/>
      <c r="V318" s="383"/>
      <c r="W318" s="383"/>
      <c r="X318" s="383"/>
      <c r="Y318" s="383"/>
      <c r="Z318" s="383"/>
      <c r="AA318" s="383"/>
      <c r="AB318" s="383"/>
    </row>
    <row r="319" ht="18.0" customHeight="1">
      <c r="A319" s="539"/>
      <c r="B319" s="494"/>
      <c r="C319" s="494"/>
      <c r="D319" s="494"/>
      <c r="E319" s="494"/>
      <c r="F319" s="501"/>
      <c r="G319" s="501"/>
      <c r="H319" s="494"/>
      <c r="I319" s="507"/>
      <c r="J319" s="507"/>
      <c r="K319" s="383"/>
      <c r="L319" s="383"/>
      <c r="M319" s="383"/>
      <c r="N319" s="383"/>
      <c r="O319" s="540"/>
      <c r="P319" s="540"/>
      <c r="Q319" s="540"/>
      <c r="R319" s="383"/>
      <c r="S319" s="383"/>
      <c r="T319" s="383"/>
      <c r="U319" s="383"/>
      <c r="V319" s="383"/>
      <c r="W319" s="383"/>
      <c r="X319" s="383"/>
      <c r="Y319" s="383"/>
      <c r="Z319" s="383"/>
      <c r="AA319" s="383"/>
      <c r="AB319" s="383"/>
    </row>
    <row r="320" ht="18.0" customHeight="1">
      <c r="A320" s="539"/>
      <c r="B320" s="494"/>
      <c r="C320" s="494"/>
      <c r="D320" s="494"/>
      <c r="E320" s="494"/>
      <c r="F320" s="501"/>
      <c r="G320" s="501"/>
      <c r="H320" s="494"/>
      <c r="I320" s="507"/>
      <c r="J320" s="507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383"/>
      <c r="W320" s="541"/>
      <c r="X320" s="383"/>
      <c r="Y320" s="383"/>
      <c r="Z320" s="383"/>
      <c r="AA320" s="383"/>
      <c r="AB320" s="383"/>
    </row>
    <row r="321" ht="18.0" customHeight="1">
      <c r="A321" s="539"/>
      <c r="B321" s="383"/>
      <c r="C321" s="383"/>
      <c r="D321" s="383"/>
      <c r="E321" s="383"/>
      <c r="F321" s="538"/>
      <c r="G321" s="538"/>
      <c r="H321" s="383"/>
      <c r="I321" s="542"/>
      <c r="J321" s="542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383"/>
      <c r="W321" s="541"/>
      <c r="X321" s="383"/>
      <c r="Y321" s="383"/>
      <c r="Z321" s="383"/>
      <c r="AA321" s="383"/>
      <c r="AB321" s="383"/>
    </row>
    <row r="322" ht="18.0" customHeight="1">
      <c r="A322" s="383"/>
      <c r="B322" s="383"/>
      <c r="C322" s="383"/>
      <c r="D322" s="383"/>
      <c r="E322" s="383"/>
      <c r="F322" s="536"/>
      <c r="G322" s="536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383"/>
      <c r="W322" s="541"/>
      <c r="X322" s="383"/>
      <c r="Y322" s="383"/>
      <c r="Z322" s="383"/>
      <c r="AA322" s="383"/>
      <c r="AB322" s="383"/>
    </row>
    <row r="323" ht="18.0" customHeight="1">
      <c r="A323" s="383"/>
      <c r="B323" s="383"/>
      <c r="C323" s="383"/>
      <c r="D323" s="383"/>
      <c r="E323" s="383"/>
      <c r="F323" s="536"/>
      <c r="G323" s="536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541"/>
      <c r="X323" s="383"/>
      <c r="Y323" s="383"/>
      <c r="Z323" s="383"/>
      <c r="AA323" s="383"/>
      <c r="AB323" s="383"/>
    </row>
    <row r="324" ht="18.0" customHeight="1">
      <c r="A324" s="383"/>
      <c r="B324" s="383"/>
      <c r="C324" s="383"/>
      <c r="D324" s="383"/>
      <c r="E324" s="383"/>
      <c r="F324" s="536"/>
      <c r="G324" s="536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383"/>
      <c r="W324" s="541"/>
      <c r="X324" s="383"/>
      <c r="Y324" s="383"/>
      <c r="Z324" s="383"/>
      <c r="AA324" s="383"/>
      <c r="AB324" s="383"/>
    </row>
    <row r="325" ht="18.0" customHeight="1">
      <c r="A325" s="139"/>
      <c r="B325" s="383"/>
      <c r="C325" s="383"/>
      <c r="D325" s="383"/>
      <c r="E325" s="383"/>
      <c r="F325" s="536"/>
      <c r="G325" s="536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383"/>
      <c r="W325" s="541"/>
      <c r="X325" s="383"/>
      <c r="Y325" s="383"/>
      <c r="Z325" s="383"/>
      <c r="AA325" s="383"/>
      <c r="AB325" s="383"/>
    </row>
    <row r="326" ht="18.0" customHeight="1">
      <c r="A326" s="383"/>
      <c r="B326" s="383"/>
      <c r="C326" s="383"/>
      <c r="D326" s="383"/>
      <c r="E326" s="383"/>
      <c r="F326" s="536"/>
      <c r="G326" s="536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383"/>
      <c r="W326" s="541"/>
      <c r="X326" s="383"/>
      <c r="Y326" s="383"/>
      <c r="Z326" s="383"/>
      <c r="AA326" s="383"/>
      <c r="AB326" s="383"/>
    </row>
    <row r="327" ht="18.0" customHeight="1">
      <c r="A327" s="383"/>
      <c r="B327" s="513"/>
      <c r="C327" s="537"/>
      <c r="D327" s="537"/>
      <c r="E327" s="537"/>
      <c r="F327" s="538"/>
      <c r="G327" s="538"/>
      <c r="H327" s="513"/>
      <c r="I327" s="513"/>
      <c r="J327" s="51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383"/>
      <c r="W327" s="541"/>
      <c r="X327" s="383"/>
      <c r="Y327" s="383"/>
      <c r="Z327" s="383"/>
      <c r="AA327" s="383"/>
      <c r="AB327" s="383"/>
    </row>
    <row r="328" ht="18.0" customHeight="1">
      <c r="A328" s="539"/>
      <c r="B328" s="543"/>
      <c r="C328" s="542"/>
      <c r="D328" s="542"/>
      <c r="E328" s="542"/>
      <c r="F328" s="544"/>
      <c r="G328" s="544"/>
      <c r="H328" s="542"/>
      <c r="I328" s="542"/>
      <c r="J328" s="542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 s="383"/>
      <c r="V328" s="383"/>
      <c r="W328" s="541"/>
      <c r="X328" s="383"/>
      <c r="Y328" s="383"/>
      <c r="Z328" s="383"/>
      <c r="AA328" s="383"/>
      <c r="AB328" s="383"/>
    </row>
    <row r="329" ht="18.0" customHeight="1">
      <c r="A329" s="539"/>
      <c r="B329" s="543"/>
      <c r="C329" s="542"/>
      <c r="D329" s="542"/>
      <c r="E329" s="542"/>
      <c r="F329" s="544"/>
      <c r="G329" s="544"/>
      <c r="H329" s="542"/>
      <c r="I329" s="542"/>
      <c r="J329" s="542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 s="383"/>
      <c r="V329" s="383"/>
      <c r="W329" s="541"/>
      <c r="X329" s="383"/>
      <c r="Y329" s="383"/>
      <c r="Z329" s="383"/>
      <c r="AA329" s="383"/>
      <c r="AB329" s="383"/>
    </row>
    <row r="330" ht="18.0" customHeight="1">
      <c r="A330" s="539"/>
      <c r="B330" s="543"/>
      <c r="C330" s="542"/>
      <c r="D330" s="542"/>
      <c r="E330" s="542"/>
      <c r="F330" s="544"/>
      <c r="G330" s="544"/>
      <c r="H330" s="542"/>
      <c r="I330" s="542"/>
      <c r="J330" s="542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 s="383"/>
      <c r="V330" s="383"/>
      <c r="W330" s="541"/>
      <c r="X330" s="383"/>
      <c r="Y330" s="383"/>
      <c r="Z330" s="383"/>
      <c r="AA330" s="383"/>
      <c r="AB330" s="383"/>
    </row>
    <row r="331" ht="18.0" customHeight="1">
      <c r="A331" s="539"/>
      <c r="B331" s="543"/>
      <c r="C331" s="542"/>
      <c r="D331" s="542"/>
      <c r="E331" s="542"/>
      <c r="F331" s="545"/>
      <c r="G331" s="545"/>
      <c r="H331" s="542"/>
      <c r="I331" s="542"/>
      <c r="J331" s="542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 s="383"/>
      <c r="V331" s="383"/>
      <c r="W331" s="536"/>
      <c r="X331" s="383"/>
      <c r="Y331" s="383"/>
      <c r="Z331" s="383"/>
      <c r="AA331" s="383"/>
      <c r="AB331" s="383"/>
    </row>
    <row r="332" ht="18.0" customHeight="1">
      <c r="A332" s="539"/>
      <c r="B332" s="543"/>
      <c r="C332" s="542"/>
      <c r="D332" s="542"/>
      <c r="E332" s="542"/>
      <c r="F332" s="545"/>
      <c r="G332" s="545"/>
      <c r="H332" s="542"/>
      <c r="I332" s="542"/>
      <c r="J332" s="542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 s="383"/>
      <c r="V332" s="383"/>
      <c r="W332" s="541"/>
      <c r="X332" s="383"/>
      <c r="Y332" s="383"/>
      <c r="Z332" s="383"/>
      <c r="AA332" s="383"/>
      <c r="AB332" s="383"/>
    </row>
    <row r="333" ht="18.0" customHeight="1">
      <c r="A333" s="539"/>
      <c r="B333" s="543"/>
      <c r="C333" s="546"/>
      <c r="D333" s="542"/>
      <c r="E333" s="542"/>
      <c r="F333" s="545"/>
      <c r="G333" s="545"/>
      <c r="H333" s="542"/>
      <c r="I333" s="542"/>
      <c r="J333" s="542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 s="383"/>
      <c r="V333" s="383"/>
      <c r="W333" s="541"/>
      <c r="X333" s="383"/>
      <c r="Y333" s="383"/>
      <c r="Z333" s="383"/>
      <c r="AA333" s="383"/>
      <c r="AB333" s="383"/>
    </row>
    <row r="334" ht="18.0" customHeight="1">
      <c r="A334" s="383"/>
      <c r="B334" s="383"/>
      <c r="C334" s="383"/>
      <c r="D334" s="383"/>
      <c r="E334" s="383"/>
      <c r="F334" s="538"/>
      <c r="G334" s="538"/>
      <c r="H334" s="383"/>
      <c r="I334" s="542"/>
      <c r="J334" s="542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 s="383"/>
      <c r="V334" s="383"/>
      <c r="W334" s="541"/>
      <c r="X334" s="383"/>
      <c r="Y334" s="383"/>
      <c r="Z334" s="383"/>
      <c r="AA334" s="383"/>
      <c r="AB334" s="383"/>
    </row>
    <row r="335" ht="18.0" customHeight="1">
      <c r="A335" s="383"/>
      <c r="B335" s="383"/>
      <c r="C335" s="383"/>
      <c r="D335" s="383"/>
      <c r="E335" s="383"/>
      <c r="F335" s="536"/>
      <c r="G335" s="536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 s="383"/>
      <c r="V335" s="383"/>
      <c r="W335" s="541"/>
      <c r="X335" s="383"/>
      <c r="Y335" s="383"/>
      <c r="Z335" s="383"/>
      <c r="AA335" s="383"/>
      <c r="AB335" s="383"/>
    </row>
    <row r="336" ht="18.0" customHeight="1">
      <c r="A336" s="383"/>
      <c r="B336" s="383"/>
      <c r="C336" s="383"/>
      <c r="D336" s="383"/>
      <c r="E336" s="383"/>
      <c r="F336" s="536"/>
      <c r="G336" s="536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 s="383"/>
      <c r="V336" s="383"/>
      <c r="W336" s="541"/>
      <c r="X336" s="383"/>
      <c r="Y336" s="383"/>
      <c r="Z336" s="383"/>
      <c r="AA336" s="383"/>
      <c r="AB336" s="383"/>
    </row>
    <row r="337" ht="18.0" customHeight="1">
      <c r="A337" s="383"/>
      <c r="B337" s="383"/>
      <c r="C337" s="383"/>
      <c r="D337" s="383"/>
      <c r="E337" s="383"/>
      <c r="F337" s="536"/>
      <c r="G337" s="536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 s="383"/>
      <c r="V337" s="383"/>
      <c r="W337" s="541"/>
      <c r="X337" s="383"/>
      <c r="Y337" s="383"/>
      <c r="Z337" s="383"/>
      <c r="AA337" s="383"/>
      <c r="AB337" s="383"/>
    </row>
    <row r="338" ht="18.0" customHeight="1">
      <c r="A338" s="547"/>
      <c r="B338" s="383"/>
      <c r="C338" s="383"/>
      <c r="D338" s="383"/>
      <c r="E338" s="383"/>
      <c r="F338" s="536"/>
      <c r="G338" s="536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 s="383"/>
      <c r="V338" s="383"/>
      <c r="W338" s="541"/>
      <c r="X338" s="383"/>
      <c r="Y338" s="383"/>
      <c r="Z338" s="383"/>
      <c r="AA338" s="383"/>
      <c r="AB338" s="383"/>
    </row>
    <row r="339" ht="18.0" customHeight="1">
      <c r="A339" s="548"/>
      <c r="B339" s="494"/>
      <c r="C339" s="494"/>
      <c r="D339" s="494"/>
      <c r="E339" s="494"/>
      <c r="F339" s="549"/>
      <c r="G339" s="549"/>
      <c r="H339" s="494"/>
      <c r="I339" s="548"/>
      <c r="J339" s="548"/>
      <c r="K339" s="548"/>
      <c r="L339" s="548"/>
      <c r="M339" s="548"/>
      <c r="N339" s="548"/>
      <c r="O339" s="548"/>
      <c r="P339" s="548"/>
      <c r="Q339" s="548"/>
      <c r="R339" s="548"/>
      <c r="S339" s="548"/>
      <c r="T339" s="548"/>
      <c r="U339" s="548"/>
      <c r="V339" s="548"/>
      <c r="W339" s="541"/>
      <c r="X339" s="548"/>
      <c r="Y339" s="548"/>
      <c r="Z339" s="548"/>
      <c r="AA339" s="548"/>
      <c r="AB339" s="548"/>
    </row>
    <row r="340" ht="18.0" customHeight="1">
      <c r="A340" s="513"/>
      <c r="B340" s="513"/>
      <c r="C340" s="513"/>
      <c r="D340" s="513"/>
      <c r="E340" s="513"/>
      <c r="F340" s="550"/>
      <c r="G340" s="550"/>
      <c r="H340" s="51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 s="383"/>
      <c r="V340" s="383"/>
      <c r="W340" s="541"/>
      <c r="X340" s="383"/>
      <c r="Y340" s="383"/>
      <c r="Z340" s="383"/>
      <c r="AA340" s="383"/>
      <c r="AB340" s="383"/>
    </row>
    <row r="341" ht="18.0" customHeight="1">
      <c r="A341" s="513"/>
      <c r="B341" s="513"/>
      <c r="C341" s="551"/>
      <c r="D341" s="552"/>
      <c r="E341" s="552"/>
      <c r="F341" s="553"/>
      <c r="G341" s="553"/>
      <c r="H341" s="552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 s="383"/>
      <c r="V341" s="383"/>
      <c r="W341" s="541"/>
      <c r="X341" s="383"/>
      <c r="Y341" s="383"/>
      <c r="Z341" s="383"/>
      <c r="AA341" s="383"/>
      <c r="AB341" s="383"/>
    </row>
    <row r="342" ht="18.0" customHeight="1">
      <c r="A342" s="513"/>
      <c r="B342" s="539"/>
      <c r="C342" s="554"/>
      <c r="D342" s="554"/>
      <c r="E342" s="554"/>
      <c r="F342" s="555"/>
      <c r="G342" s="555"/>
      <c r="H342" s="554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 s="383"/>
      <c r="V342" s="383"/>
      <c r="W342" s="541"/>
      <c r="X342" s="383"/>
      <c r="Y342" s="383"/>
      <c r="Z342" s="383"/>
      <c r="AA342" s="383"/>
      <c r="AB342" s="383"/>
    </row>
    <row r="343" ht="18.0" customHeight="1">
      <c r="A343" s="383"/>
      <c r="B343" s="383"/>
      <c r="C343" s="383"/>
      <c r="D343" s="495" t="s">
        <v>50</v>
      </c>
      <c r="E343" s="495" t="s">
        <v>48</v>
      </c>
      <c r="F343" s="550">
        <f>+D340+E340+F340+H340</f>
        <v>0</v>
      </c>
      <c r="G343" s="538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 s="383"/>
      <c r="V343" s="383"/>
      <c r="W343" s="545"/>
      <c r="X343" s="383"/>
      <c r="Y343" s="383"/>
      <c r="Z343" s="383"/>
      <c r="AA343" s="383"/>
      <c r="AB343" s="383"/>
    </row>
    <row r="344" ht="18.0" customHeight="1">
      <c r="A344" s="383"/>
      <c r="B344" s="383"/>
      <c r="C344" s="383"/>
      <c r="D344" s="546"/>
      <c r="E344" s="495" t="s">
        <v>49</v>
      </c>
      <c r="F344" s="553" t="str">
        <f>+F343/B340</f>
        <v>#DIV/0!</v>
      </c>
      <c r="G344" s="553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 s="383"/>
      <c r="V344" s="383"/>
      <c r="W344" s="545"/>
      <c r="X344" s="383"/>
      <c r="Y344" s="383"/>
      <c r="Z344" s="383"/>
      <c r="AA344" s="383"/>
      <c r="AB344" s="383"/>
    </row>
    <row r="345" ht="18.0" customHeight="1">
      <c r="A345" s="548"/>
      <c r="B345" s="548"/>
      <c r="C345" s="495" t="s">
        <v>51</v>
      </c>
      <c r="D345" s="548"/>
      <c r="E345" s="548"/>
      <c r="F345" s="556"/>
      <c r="G345" s="556"/>
      <c r="H345" s="548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 s="383"/>
      <c r="V345" s="383"/>
      <c r="W345" s="536"/>
      <c r="X345" s="383"/>
      <c r="Y345" s="383"/>
      <c r="Z345" s="383"/>
      <c r="AA345" s="383"/>
      <c r="AB345" s="383"/>
    </row>
    <row r="346" ht="18.0" customHeight="1">
      <c r="A346" s="548"/>
      <c r="B346" s="548"/>
      <c r="C346" s="548"/>
      <c r="D346" s="495" t="s">
        <v>52</v>
      </c>
      <c r="E346" s="548"/>
      <c r="F346" s="556">
        <f>+F345*(F343-F340)</f>
        <v>0</v>
      </c>
      <c r="G346" s="556"/>
      <c r="H346" s="548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 s="383"/>
      <c r="V346" s="383"/>
      <c r="W346" s="383"/>
      <c r="X346" s="383"/>
      <c r="Y346" s="383"/>
      <c r="Z346" s="383"/>
      <c r="AA346" s="383"/>
      <c r="AB346" s="383"/>
    </row>
    <row r="347" ht="18.0" customHeight="1">
      <c r="A347" s="383"/>
      <c r="B347" s="383"/>
      <c r="C347" s="383"/>
      <c r="D347" s="383"/>
      <c r="E347" s="383"/>
      <c r="F347" s="536"/>
      <c r="G347" s="536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 s="383"/>
      <c r="V347" s="383"/>
      <c r="W347" s="383"/>
      <c r="X347" s="383"/>
      <c r="Y347" s="383"/>
      <c r="Z347" s="383"/>
      <c r="AA347" s="383"/>
      <c r="AB347" s="383"/>
    </row>
    <row r="348" ht="18.0" customHeight="1">
      <c r="A348" s="383"/>
      <c r="B348" s="383"/>
      <c r="C348" s="383"/>
      <c r="D348" s="383"/>
      <c r="E348" s="383"/>
      <c r="F348" s="536"/>
      <c r="G348" s="536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 s="383"/>
      <c r="V348" s="383"/>
      <c r="W348" s="383"/>
      <c r="X348" s="383"/>
      <c r="Y348" s="383"/>
      <c r="Z348" s="383"/>
      <c r="AA348" s="383"/>
      <c r="AB348" s="383"/>
    </row>
    <row r="349" ht="18.0" customHeight="1">
      <c r="A349" s="383"/>
      <c r="B349" s="383"/>
      <c r="C349" s="383"/>
      <c r="D349" s="383"/>
      <c r="E349" s="383"/>
      <c r="F349" s="536"/>
      <c r="G349" s="536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 s="383"/>
      <c r="V349" s="383"/>
      <c r="W349" s="383"/>
      <c r="X349" s="383"/>
      <c r="Y349" s="383"/>
      <c r="Z349" s="383"/>
      <c r="AA349" s="383"/>
      <c r="AB349" s="383"/>
    </row>
    <row r="350" ht="18.0" customHeight="1">
      <c r="A350" s="383"/>
      <c r="B350" s="383"/>
      <c r="C350" s="383"/>
      <c r="D350" s="383"/>
      <c r="E350" s="383"/>
      <c r="F350" s="536"/>
      <c r="G350" s="536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 s="383"/>
      <c r="V350" s="383"/>
      <c r="W350" s="383"/>
      <c r="X350" s="383"/>
      <c r="Y350" s="383"/>
      <c r="Z350" s="383"/>
      <c r="AA350" s="383"/>
      <c r="AB350" s="383"/>
    </row>
    <row r="351" ht="18.0" customHeight="1">
      <c r="A351" s="383"/>
      <c r="B351" s="383"/>
      <c r="C351" s="383"/>
      <c r="D351" s="383"/>
      <c r="E351" s="383"/>
      <c r="F351" s="536"/>
      <c r="G351" s="536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 s="383"/>
      <c r="V351" s="383"/>
      <c r="W351" s="383"/>
      <c r="X351" s="383"/>
      <c r="Y351" s="383"/>
      <c r="Z351" s="383"/>
      <c r="AA351" s="383"/>
      <c r="AB351" s="383"/>
    </row>
    <row r="352" ht="18.0" customHeight="1">
      <c r="A352" s="383"/>
      <c r="B352" s="383"/>
      <c r="C352" s="383"/>
      <c r="D352" s="383"/>
      <c r="E352" s="383"/>
      <c r="F352" s="536"/>
      <c r="G352" s="536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 s="383"/>
      <c r="V352" s="383"/>
      <c r="W352" s="383"/>
      <c r="X352" s="383"/>
      <c r="Y352" s="383"/>
      <c r="Z352" s="383"/>
      <c r="AA352" s="383"/>
      <c r="AB352" s="383"/>
    </row>
    <row r="353" ht="18.0" customHeight="1">
      <c r="A353" s="383"/>
      <c r="B353" s="383"/>
      <c r="C353" s="383"/>
      <c r="D353" s="383"/>
      <c r="E353" s="383"/>
      <c r="F353" s="536"/>
      <c r="G353" s="536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 s="383"/>
      <c r="V353" s="383"/>
      <c r="W353" s="383"/>
      <c r="X353" s="383"/>
      <c r="Y353" s="383"/>
      <c r="Z353" s="383"/>
      <c r="AA353" s="383"/>
      <c r="AB353" s="383"/>
    </row>
    <row r="354" ht="18.0" customHeight="1">
      <c r="A354" s="383"/>
      <c r="B354" s="383"/>
      <c r="C354" s="383"/>
      <c r="D354" s="383"/>
      <c r="E354" s="383"/>
      <c r="F354" s="536"/>
      <c r="G354" s="536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 s="383"/>
      <c r="V354" s="383"/>
      <c r="W354" s="383"/>
      <c r="X354" s="383"/>
      <c r="Y354" s="383"/>
      <c r="Z354" s="383"/>
      <c r="AA354" s="383"/>
      <c r="AB354" s="383"/>
    </row>
    <row r="355" ht="18.0" customHeight="1">
      <c r="A355" s="383"/>
      <c r="B355" s="383"/>
      <c r="C355" s="383"/>
      <c r="D355" s="383"/>
      <c r="E355" s="383"/>
      <c r="F355" s="536"/>
      <c r="G355" s="536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 s="383"/>
      <c r="V355" s="383"/>
      <c r="W355" s="383"/>
      <c r="X355" s="383"/>
      <c r="Y355" s="383"/>
      <c r="Z355" s="383"/>
      <c r="AA355" s="383"/>
      <c r="AB355" s="383"/>
    </row>
    <row r="356" ht="18.0" customHeight="1">
      <c r="A356" s="383"/>
      <c r="B356" s="383"/>
      <c r="C356" s="383"/>
      <c r="D356" s="383"/>
      <c r="E356" s="383"/>
      <c r="F356" s="536"/>
      <c r="G356" s="536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383"/>
      <c r="X356" s="383"/>
      <c r="Y356" s="383"/>
      <c r="Z356" s="383"/>
      <c r="AA356" s="383"/>
      <c r="AB356" s="383"/>
    </row>
    <row r="357" ht="18.0" customHeight="1">
      <c r="A357" s="383"/>
      <c r="B357" s="383"/>
      <c r="C357" s="383"/>
      <c r="D357" s="383"/>
      <c r="E357" s="383"/>
      <c r="F357" s="536"/>
      <c r="G357" s="536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 s="383"/>
      <c r="V357" s="383"/>
      <c r="W357" s="383"/>
      <c r="X357" s="383"/>
      <c r="Y357" s="383"/>
      <c r="Z357" s="383"/>
      <c r="AA357" s="383"/>
      <c r="AB357" s="383"/>
    </row>
    <row r="358" ht="18.0" customHeight="1">
      <c r="A358" s="383"/>
      <c r="B358" s="383"/>
      <c r="C358" s="383"/>
      <c r="D358" s="383"/>
      <c r="E358" s="383"/>
      <c r="F358" s="536"/>
      <c r="G358" s="536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 s="383"/>
      <c r="V358" s="383"/>
      <c r="W358" s="383"/>
      <c r="X358" s="383"/>
      <c r="Y358" s="383"/>
      <c r="Z358" s="383"/>
      <c r="AA358" s="383"/>
      <c r="AB358" s="383"/>
    </row>
    <row r="359" ht="18.0" customHeight="1">
      <c r="A359" s="383"/>
      <c r="B359" s="383"/>
      <c r="C359" s="383"/>
      <c r="D359" s="383"/>
      <c r="E359" s="383"/>
      <c r="F359" s="536"/>
      <c r="G359" s="536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 s="383"/>
      <c r="V359" s="383"/>
      <c r="W359" s="383"/>
      <c r="X359" s="383"/>
      <c r="Y359" s="383"/>
      <c r="Z359" s="383"/>
      <c r="AA359" s="383"/>
      <c r="AB359" s="383"/>
    </row>
    <row r="360" ht="18.0" customHeight="1">
      <c r="A360" s="383"/>
      <c r="B360" s="383"/>
      <c r="C360" s="383"/>
      <c r="D360" s="383"/>
      <c r="E360" s="383"/>
      <c r="F360" s="536"/>
      <c r="G360" s="536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 s="383"/>
      <c r="V360" s="383"/>
      <c r="W360" s="383"/>
      <c r="X360" s="383"/>
      <c r="Y360" s="383"/>
      <c r="Z360" s="383"/>
      <c r="AA360" s="383"/>
      <c r="AB360" s="383"/>
    </row>
    <row r="361" ht="18.0" customHeight="1">
      <c r="A361" s="383"/>
      <c r="B361" s="383"/>
      <c r="C361" s="383"/>
      <c r="D361" s="383"/>
      <c r="E361" s="383"/>
      <c r="F361" s="536"/>
      <c r="G361" s="536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 s="383"/>
      <c r="V361" s="383"/>
      <c r="W361" s="383"/>
      <c r="X361" s="383"/>
      <c r="Y361" s="383"/>
      <c r="Z361" s="383"/>
      <c r="AA361" s="383"/>
      <c r="AB361" s="383"/>
    </row>
    <row r="362" ht="18.0" customHeight="1">
      <c r="A362" s="383"/>
      <c r="B362" s="383"/>
      <c r="C362" s="383"/>
      <c r="D362" s="383"/>
      <c r="E362" s="383"/>
      <c r="F362" s="536"/>
      <c r="G362" s="536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 s="383"/>
      <c r="V362" s="383"/>
      <c r="W362" s="383"/>
      <c r="X362" s="383"/>
      <c r="Y362" s="383"/>
      <c r="Z362" s="383"/>
      <c r="AA362" s="383"/>
      <c r="AB362" s="383"/>
    </row>
    <row r="363" ht="18.0" customHeight="1">
      <c r="A363" s="383"/>
      <c r="B363" s="383"/>
      <c r="C363" s="383"/>
      <c r="D363" s="383"/>
      <c r="E363" s="383"/>
      <c r="F363" s="536"/>
      <c r="G363" s="536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 s="383"/>
      <c r="V363" s="383"/>
      <c r="W363" s="383"/>
      <c r="X363" s="383"/>
      <c r="Y363" s="383"/>
      <c r="Z363" s="383"/>
      <c r="AA363" s="383"/>
      <c r="AB363" s="383"/>
    </row>
    <row r="364" ht="18.0" customHeight="1">
      <c r="A364" s="383"/>
      <c r="B364" s="383"/>
      <c r="C364" s="383"/>
      <c r="D364" s="383"/>
      <c r="E364" s="383"/>
      <c r="F364" s="536"/>
      <c r="G364" s="536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 s="383"/>
      <c r="V364" s="383"/>
      <c r="W364" s="383"/>
      <c r="X364" s="383"/>
      <c r="Y364" s="383"/>
      <c r="Z364" s="383"/>
      <c r="AA364" s="383"/>
      <c r="AB364" s="383"/>
    </row>
    <row r="365" ht="18.0" customHeight="1">
      <c r="A365" s="383"/>
      <c r="B365" s="383"/>
      <c r="C365" s="383"/>
      <c r="D365" s="383"/>
      <c r="E365" s="383"/>
      <c r="F365" s="536"/>
      <c r="G365" s="536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 s="383"/>
      <c r="V365" s="383"/>
      <c r="W365" s="383"/>
      <c r="X365" s="383"/>
      <c r="Y365" s="383"/>
      <c r="Z365" s="383"/>
      <c r="AA365" s="383"/>
      <c r="AB365" s="383"/>
    </row>
    <row r="366" ht="18.0" customHeight="1">
      <c r="A366" s="383"/>
      <c r="B366" s="383"/>
      <c r="C366" s="383"/>
      <c r="D366" s="383"/>
      <c r="E366" s="383"/>
      <c r="F366" s="536"/>
      <c r="G366" s="536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 s="383"/>
      <c r="V366" s="383"/>
      <c r="W366" s="383"/>
      <c r="X366" s="383"/>
      <c r="Y366" s="383"/>
      <c r="Z366" s="383"/>
      <c r="AA366" s="383"/>
      <c r="AB366" s="383"/>
    </row>
    <row r="367" ht="18.0" customHeight="1">
      <c r="A367" s="383"/>
      <c r="B367" s="383"/>
      <c r="C367" s="383"/>
      <c r="D367" s="383"/>
      <c r="E367" s="383"/>
      <c r="F367" s="536"/>
      <c r="G367" s="536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 s="383"/>
      <c r="V367" s="383"/>
      <c r="W367" s="383"/>
      <c r="X367" s="383"/>
      <c r="Y367" s="383"/>
      <c r="Z367" s="383"/>
      <c r="AA367" s="383"/>
      <c r="AB367" s="383"/>
    </row>
    <row r="368" ht="18.0" customHeight="1">
      <c r="A368" s="383"/>
      <c r="B368" s="383"/>
      <c r="C368" s="383"/>
      <c r="D368" s="383"/>
      <c r="E368" s="383"/>
      <c r="F368" s="536"/>
      <c r="G368" s="536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 s="383"/>
      <c r="V368" s="383"/>
      <c r="W368" s="383"/>
      <c r="X368" s="383"/>
      <c r="Y368" s="383"/>
      <c r="Z368" s="383"/>
      <c r="AA368" s="383"/>
      <c r="AB368" s="383"/>
    </row>
    <row r="369" ht="18.0" customHeight="1">
      <c r="A369" s="383"/>
      <c r="B369" s="383"/>
      <c r="C369" s="383"/>
      <c r="D369" s="383"/>
      <c r="E369" s="383"/>
      <c r="F369" s="536"/>
      <c r="G369" s="536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 s="383"/>
      <c r="V369" s="383"/>
      <c r="W369" s="383"/>
      <c r="X369" s="383"/>
      <c r="Y369" s="383"/>
      <c r="Z369" s="383"/>
      <c r="AA369" s="383"/>
      <c r="AB369" s="383"/>
    </row>
    <row r="370" ht="18.0" customHeight="1">
      <c r="A370" s="383"/>
      <c r="B370" s="383"/>
      <c r="C370" s="383"/>
      <c r="D370" s="383"/>
      <c r="E370" s="383"/>
      <c r="F370" s="536"/>
      <c r="G370" s="536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 s="383"/>
      <c r="V370" s="383"/>
      <c r="W370" s="383"/>
      <c r="X370" s="383"/>
      <c r="Y370" s="383"/>
      <c r="Z370" s="383"/>
      <c r="AA370" s="383"/>
      <c r="AB370" s="383"/>
    </row>
    <row r="371" ht="18.0" customHeight="1">
      <c r="A371" s="383"/>
      <c r="B371" s="383"/>
      <c r="C371" s="383"/>
      <c r="D371" s="383"/>
      <c r="E371" s="383"/>
      <c r="F371" s="536"/>
      <c r="G371" s="536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 s="383"/>
      <c r="V371" s="383"/>
      <c r="W371" s="383"/>
      <c r="X371" s="383"/>
      <c r="Y371" s="383"/>
      <c r="Z371" s="383"/>
      <c r="AA371" s="383"/>
      <c r="AB371" s="383"/>
    </row>
    <row r="372" ht="18.0" customHeight="1">
      <c r="A372" s="383"/>
      <c r="B372" s="383"/>
      <c r="C372" s="383"/>
      <c r="D372" s="383"/>
      <c r="E372" s="383"/>
      <c r="F372" s="536"/>
      <c r="G372" s="536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 s="383"/>
      <c r="V372" s="383"/>
      <c r="W372" s="383"/>
      <c r="X372" s="383"/>
      <c r="Y372" s="383"/>
      <c r="Z372" s="383"/>
      <c r="AA372" s="383"/>
      <c r="AB372" s="383"/>
    </row>
    <row r="373" ht="18.0" customHeight="1">
      <c r="A373" s="383"/>
      <c r="B373" s="383"/>
      <c r="C373" s="383"/>
      <c r="D373" s="383"/>
      <c r="E373" s="383"/>
      <c r="F373" s="536"/>
      <c r="G373" s="536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 s="383"/>
      <c r="V373" s="383"/>
      <c r="W373" s="383"/>
      <c r="X373" s="383"/>
      <c r="Y373" s="383"/>
      <c r="Z373" s="383"/>
      <c r="AA373" s="383"/>
      <c r="AB373" s="383"/>
    </row>
    <row r="374" ht="18.0" customHeight="1">
      <c r="A374" s="383"/>
      <c r="B374" s="383"/>
      <c r="C374" s="383"/>
      <c r="D374" s="383"/>
      <c r="E374" s="383"/>
      <c r="F374" s="536"/>
      <c r="G374" s="536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383"/>
      <c r="X374" s="383"/>
      <c r="Y374" s="383"/>
      <c r="Z374" s="383"/>
      <c r="AA374" s="383"/>
      <c r="AB374" s="383"/>
    </row>
    <row r="375" ht="18.0" customHeight="1">
      <c r="A375" s="383"/>
      <c r="B375" s="383"/>
      <c r="C375" s="383"/>
      <c r="D375" s="383"/>
      <c r="E375" s="383"/>
      <c r="F375" s="536"/>
      <c r="G375" s="536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 s="383"/>
      <c r="V375" s="383"/>
      <c r="W375" s="383"/>
      <c r="X375" s="383"/>
      <c r="Y375" s="383"/>
      <c r="Z375" s="383"/>
      <c r="AA375" s="383"/>
      <c r="AB375" s="383"/>
    </row>
    <row r="376" ht="18.0" customHeight="1">
      <c r="A376" s="383"/>
      <c r="B376" s="383"/>
      <c r="C376" s="383"/>
      <c r="D376" s="383"/>
      <c r="E376" s="383"/>
      <c r="F376" s="536"/>
      <c r="G376" s="536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 s="383"/>
      <c r="V376" s="383"/>
      <c r="W376" s="383"/>
      <c r="X376" s="383"/>
      <c r="Y376" s="383"/>
      <c r="Z376" s="383"/>
      <c r="AA376" s="383"/>
      <c r="AB376" s="383"/>
    </row>
    <row r="377" ht="18.0" customHeight="1">
      <c r="A377" s="383"/>
      <c r="B377" s="383"/>
      <c r="C377" s="383"/>
      <c r="D377" s="383"/>
      <c r="E377" s="383"/>
      <c r="F377" s="536"/>
      <c r="G377" s="536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 s="383"/>
      <c r="V377" s="383"/>
      <c r="W377" s="383"/>
      <c r="X377" s="383"/>
      <c r="Y377" s="383"/>
      <c r="Z377" s="383"/>
      <c r="AA377" s="383"/>
      <c r="AB377" s="383"/>
    </row>
    <row r="378" ht="18.0" customHeight="1">
      <c r="A378" s="383"/>
      <c r="B378" s="383"/>
      <c r="C378" s="383"/>
      <c r="D378" s="383"/>
      <c r="E378" s="383"/>
      <c r="F378" s="536"/>
      <c r="G378" s="536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 s="383"/>
      <c r="V378" s="383"/>
      <c r="W378" s="383"/>
      <c r="X378" s="383"/>
      <c r="Y378" s="383"/>
      <c r="Z378" s="383"/>
      <c r="AA378" s="383"/>
      <c r="AB378" s="383"/>
    </row>
    <row r="379" ht="18.0" customHeight="1">
      <c r="A379" s="383"/>
      <c r="B379" s="383"/>
      <c r="C379" s="383"/>
      <c r="D379" s="383"/>
      <c r="E379" s="383"/>
      <c r="F379" s="536"/>
      <c r="G379" s="536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 s="383"/>
      <c r="V379" s="383"/>
      <c r="W379" s="383"/>
      <c r="X379" s="383"/>
      <c r="Y379" s="383"/>
      <c r="Z379" s="383"/>
      <c r="AA379" s="383"/>
      <c r="AB379" s="383"/>
    </row>
    <row r="380" ht="18.0" customHeight="1">
      <c r="A380" s="383"/>
      <c r="B380" s="383"/>
      <c r="C380" s="383"/>
      <c r="D380" s="383"/>
      <c r="E380" s="383"/>
      <c r="F380" s="536"/>
      <c r="G380" s="536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 s="383"/>
      <c r="V380" s="383"/>
      <c r="W380" s="383"/>
      <c r="X380" s="383"/>
      <c r="Y380" s="383"/>
      <c r="Z380" s="383"/>
      <c r="AA380" s="383"/>
      <c r="AB380" s="383"/>
    </row>
    <row r="381" ht="18.0" customHeight="1">
      <c r="A381" s="383"/>
      <c r="B381" s="383"/>
      <c r="C381" s="383"/>
      <c r="D381" s="383"/>
      <c r="E381" s="383"/>
      <c r="F381" s="536"/>
      <c r="G381" s="536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383"/>
      <c r="X381" s="383"/>
      <c r="Y381" s="383"/>
      <c r="Z381" s="383"/>
      <c r="AA381" s="383"/>
      <c r="AB381" s="383"/>
    </row>
    <row r="382" ht="18.0" customHeight="1">
      <c r="A382" s="383"/>
      <c r="B382" s="383"/>
      <c r="C382" s="383"/>
      <c r="D382" s="383"/>
      <c r="E382" s="383"/>
      <c r="F382" s="536"/>
      <c r="G382" s="536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383"/>
      <c r="X382" s="383"/>
      <c r="Y382" s="383"/>
      <c r="Z382" s="383"/>
      <c r="AA382" s="383"/>
      <c r="AB382" s="383"/>
    </row>
    <row r="383" ht="18.0" customHeight="1">
      <c r="A383" s="383"/>
      <c r="B383" s="383"/>
      <c r="C383" s="383"/>
      <c r="D383" s="383"/>
      <c r="E383" s="383"/>
      <c r="F383" s="536"/>
      <c r="G383" s="536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383"/>
      <c r="X383" s="383"/>
      <c r="Y383" s="383"/>
      <c r="Z383" s="383"/>
      <c r="AA383" s="383"/>
      <c r="AB383" s="383"/>
    </row>
    <row r="384" ht="18.0" customHeight="1">
      <c r="A384" s="383"/>
      <c r="B384" s="383"/>
      <c r="C384" s="383"/>
      <c r="D384" s="383"/>
      <c r="E384" s="383"/>
      <c r="F384" s="536"/>
      <c r="G384" s="536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383"/>
      <c r="X384" s="383"/>
      <c r="Y384" s="383"/>
      <c r="Z384" s="383"/>
      <c r="AA384" s="383"/>
      <c r="AB384" s="383"/>
    </row>
    <row r="385" ht="18.0" customHeight="1">
      <c r="A385" s="383"/>
      <c r="B385" s="383"/>
      <c r="C385" s="383"/>
      <c r="D385" s="383"/>
      <c r="E385" s="383"/>
      <c r="F385" s="536"/>
      <c r="G385" s="536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 s="383"/>
      <c r="V385" s="383"/>
      <c r="W385" s="383"/>
      <c r="X385" s="383"/>
      <c r="Y385" s="383"/>
      <c r="Z385" s="383"/>
      <c r="AA385" s="383"/>
      <c r="AB385" s="383"/>
    </row>
    <row r="386" ht="18.0" customHeight="1">
      <c r="A386" s="383"/>
      <c r="B386" s="383"/>
      <c r="C386" s="383"/>
      <c r="D386" s="383"/>
      <c r="E386" s="383"/>
      <c r="F386" s="536"/>
      <c r="G386" s="536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 s="383"/>
      <c r="V386" s="383"/>
      <c r="W386" s="383"/>
      <c r="X386" s="383"/>
      <c r="Y386" s="383"/>
      <c r="Z386" s="383"/>
      <c r="AA386" s="383"/>
      <c r="AB386" s="383"/>
    </row>
    <row r="387" ht="18.0" customHeight="1">
      <c r="A387" s="383"/>
      <c r="B387" s="383"/>
      <c r="C387" s="383"/>
      <c r="D387" s="383"/>
      <c r="E387" s="383"/>
      <c r="F387" s="536"/>
      <c r="G387" s="536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 s="383"/>
      <c r="V387" s="383"/>
      <c r="W387" s="383"/>
      <c r="X387" s="383"/>
      <c r="Y387" s="383"/>
      <c r="Z387" s="383"/>
      <c r="AA387" s="383"/>
      <c r="AB387" s="383"/>
    </row>
    <row r="388" ht="18.0" customHeight="1">
      <c r="A388" s="383"/>
      <c r="B388" s="383"/>
      <c r="C388" s="383"/>
      <c r="D388" s="383"/>
      <c r="E388" s="383"/>
      <c r="F388" s="536"/>
      <c r="G388" s="536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 s="383"/>
      <c r="V388" s="383"/>
      <c r="W388" s="383"/>
      <c r="X388" s="383"/>
      <c r="Y388" s="383"/>
      <c r="Z388" s="383"/>
      <c r="AA388" s="383"/>
      <c r="AB388" s="383"/>
    </row>
    <row r="389" ht="18.0" customHeight="1">
      <c r="A389" s="383"/>
      <c r="B389" s="383"/>
      <c r="C389" s="383"/>
      <c r="D389" s="383"/>
      <c r="E389" s="383"/>
      <c r="F389" s="536"/>
      <c r="G389" s="536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 s="383"/>
      <c r="V389" s="383"/>
      <c r="W389" s="383"/>
      <c r="X389" s="383"/>
      <c r="Y389" s="383"/>
      <c r="Z389" s="383"/>
      <c r="AA389" s="383"/>
      <c r="AB389" s="383"/>
    </row>
    <row r="390" ht="18.0" customHeight="1">
      <c r="A390" s="383"/>
      <c r="B390" s="383"/>
      <c r="C390" s="383"/>
      <c r="D390" s="383"/>
      <c r="E390" s="383"/>
      <c r="F390" s="536"/>
      <c r="G390" s="536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 s="383"/>
      <c r="V390" s="383"/>
      <c r="W390" s="383"/>
      <c r="X390" s="383"/>
      <c r="Y390" s="383"/>
      <c r="Z390" s="383"/>
      <c r="AA390" s="383"/>
      <c r="AB390" s="383"/>
    </row>
    <row r="391" ht="18.0" customHeight="1">
      <c r="A391" s="383"/>
      <c r="B391" s="383"/>
      <c r="C391" s="383"/>
      <c r="D391" s="383"/>
      <c r="E391" s="383"/>
      <c r="F391" s="536"/>
      <c r="G391" s="536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 s="383"/>
      <c r="V391" s="383"/>
      <c r="W391" s="383"/>
      <c r="X391" s="383"/>
      <c r="Y391" s="383"/>
      <c r="Z391" s="383"/>
      <c r="AA391" s="383"/>
      <c r="AB391" s="383"/>
    </row>
    <row r="392" ht="18.0" customHeight="1">
      <c r="A392" s="383"/>
      <c r="B392" s="383"/>
      <c r="C392" s="383"/>
      <c r="D392" s="383"/>
      <c r="E392" s="383"/>
      <c r="F392" s="536"/>
      <c r="G392" s="536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 s="383"/>
      <c r="V392" s="383"/>
      <c r="W392" s="383"/>
      <c r="X392" s="383"/>
      <c r="Y392" s="383"/>
      <c r="Z392" s="383"/>
      <c r="AA392" s="383"/>
      <c r="AB392" s="383"/>
    </row>
    <row r="393" ht="18.0" customHeight="1">
      <c r="A393" s="383"/>
      <c r="B393" s="383"/>
      <c r="C393" s="383"/>
      <c r="D393" s="383"/>
      <c r="E393" s="383"/>
      <c r="F393" s="536"/>
      <c r="G393" s="536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 s="383"/>
      <c r="V393" s="383"/>
      <c r="W393" s="383"/>
      <c r="X393" s="383"/>
      <c r="Y393" s="383"/>
      <c r="Z393" s="383"/>
      <c r="AA393" s="383"/>
      <c r="AB393" s="383"/>
    </row>
    <row r="394" ht="18.0" customHeight="1">
      <c r="A394" s="383"/>
      <c r="B394" s="383"/>
      <c r="C394" s="383"/>
      <c r="D394" s="383"/>
      <c r="E394" s="383"/>
      <c r="F394" s="536"/>
      <c r="G394" s="536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 s="383"/>
      <c r="V394" s="383"/>
      <c r="W394" s="383"/>
      <c r="X394" s="383"/>
      <c r="Y394" s="383"/>
      <c r="Z394" s="383"/>
      <c r="AA394" s="383"/>
      <c r="AB394" s="383"/>
    </row>
    <row r="395" ht="18.0" customHeight="1">
      <c r="A395" s="383"/>
      <c r="B395" s="383"/>
      <c r="C395" s="383"/>
      <c r="D395" s="383"/>
      <c r="E395" s="383"/>
      <c r="F395" s="536"/>
      <c r="G395" s="536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 s="383"/>
      <c r="V395" s="383"/>
      <c r="W395" s="383"/>
      <c r="X395" s="383"/>
      <c r="Y395" s="383"/>
      <c r="Z395" s="383"/>
      <c r="AA395" s="383"/>
      <c r="AB395" s="383"/>
    </row>
    <row r="396" ht="18.0" customHeight="1">
      <c r="A396" s="383"/>
      <c r="B396" s="383"/>
      <c r="C396" s="383"/>
      <c r="D396" s="383"/>
      <c r="E396" s="383"/>
      <c r="F396" s="536"/>
      <c r="G396" s="536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 s="383"/>
      <c r="V396" s="383"/>
      <c r="W396" s="383"/>
      <c r="X396" s="383"/>
      <c r="Y396" s="383"/>
      <c r="Z396" s="383"/>
      <c r="AA396" s="383"/>
      <c r="AB396" s="383"/>
    </row>
    <row r="397" ht="18.0" customHeight="1">
      <c r="A397" s="383"/>
      <c r="B397" s="383"/>
      <c r="C397" s="383"/>
      <c r="D397" s="383"/>
      <c r="E397" s="383"/>
      <c r="F397" s="536"/>
      <c r="G397" s="536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 s="383"/>
      <c r="V397" s="383"/>
      <c r="W397" s="383"/>
      <c r="X397" s="383"/>
      <c r="Y397" s="383"/>
      <c r="Z397" s="383"/>
      <c r="AA397" s="383"/>
      <c r="AB397" s="383"/>
    </row>
    <row r="398" ht="18.0" customHeight="1">
      <c r="A398" s="383"/>
      <c r="B398" s="383"/>
      <c r="C398" s="383"/>
      <c r="D398" s="383"/>
      <c r="E398" s="383"/>
      <c r="F398" s="536"/>
      <c r="G398" s="536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 s="383"/>
      <c r="V398" s="383"/>
      <c r="W398" s="383"/>
      <c r="X398" s="383"/>
      <c r="Y398" s="383"/>
      <c r="Z398" s="383"/>
      <c r="AA398" s="383"/>
      <c r="AB398" s="383"/>
    </row>
    <row r="399" ht="18.0" customHeight="1">
      <c r="A399" s="383"/>
      <c r="B399" s="383"/>
      <c r="C399" s="383"/>
      <c r="D399" s="383"/>
      <c r="E399" s="383"/>
      <c r="F399" s="536"/>
      <c r="G399" s="536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 s="383"/>
      <c r="V399" s="383"/>
      <c r="W399" s="383"/>
      <c r="X399" s="383"/>
      <c r="Y399" s="383"/>
      <c r="Z399" s="383"/>
      <c r="AA399" s="383"/>
      <c r="AB399" s="383"/>
    </row>
    <row r="400" ht="18.0" customHeight="1">
      <c r="A400" s="383"/>
      <c r="B400" s="383"/>
      <c r="C400" s="383"/>
      <c r="D400" s="383"/>
      <c r="E400" s="383"/>
      <c r="F400" s="536"/>
      <c r="G400" s="536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 s="383"/>
      <c r="V400" s="383"/>
      <c r="W400" s="383"/>
      <c r="X400" s="383"/>
      <c r="Y400" s="383"/>
      <c r="Z400" s="383"/>
      <c r="AA400" s="383"/>
      <c r="AB400" s="383"/>
    </row>
    <row r="401" ht="18.0" customHeight="1">
      <c r="A401" s="383"/>
      <c r="B401" s="383"/>
      <c r="C401" s="383"/>
      <c r="D401" s="383"/>
      <c r="E401" s="383"/>
      <c r="F401" s="536"/>
      <c r="G401" s="536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 s="383"/>
      <c r="V401" s="383"/>
      <c r="W401" s="383"/>
      <c r="X401" s="383"/>
      <c r="Y401" s="383"/>
      <c r="Z401" s="383"/>
      <c r="AA401" s="383"/>
      <c r="AB401" s="383"/>
    </row>
    <row r="402" ht="18.0" customHeight="1">
      <c r="A402" s="383"/>
      <c r="B402" s="383"/>
      <c r="C402" s="383"/>
      <c r="D402" s="383"/>
      <c r="E402" s="383"/>
      <c r="F402" s="536"/>
      <c r="G402" s="536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 s="383"/>
      <c r="V402" s="383"/>
      <c r="W402" s="383"/>
      <c r="X402" s="383"/>
      <c r="Y402" s="383"/>
      <c r="Z402" s="383"/>
      <c r="AA402" s="383"/>
      <c r="AB402" s="383"/>
    </row>
    <row r="403" ht="18.0" customHeight="1">
      <c r="A403" s="383"/>
      <c r="B403" s="383"/>
      <c r="C403" s="383"/>
      <c r="D403" s="383"/>
      <c r="E403" s="383"/>
      <c r="F403" s="536"/>
      <c r="G403" s="536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 s="383"/>
      <c r="V403" s="383"/>
      <c r="W403" s="383"/>
      <c r="X403" s="383"/>
      <c r="Y403" s="383"/>
      <c r="Z403" s="383"/>
      <c r="AA403" s="383"/>
      <c r="AB403" s="383"/>
    </row>
    <row r="404" ht="18.0" customHeight="1">
      <c r="A404" s="383"/>
      <c r="B404" s="383"/>
      <c r="C404" s="383"/>
      <c r="D404" s="383"/>
      <c r="E404" s="383"/>
      <c r="F404" s="536"/>
      <c r="G404" s="536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 s="383"/>
      <c r="V404" s="383"/>
      <c r="W404" s="383"/>
      <c r="X404" s="383"/>
      <c r="Y404" s="383"/>
      <c r="Z404" s="383"/>
      <c r="AA404" s="383"/>
      <c r="AB404" s="383"/>
    </row>
    <row r="405" ht="18.0" customHeight="1">
      <c r="A405" s="383"/>
      <c r="B405" s="383"/>
      <c r="C405" s="383"/>
      <c r="D405" s="383"/>
      <c r="E405" s="383"/>
      <c r="F405" s="536"/>
      <c r="G405" s="536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 s="383"/>
      <c r="V405" s="383"/>
      <c r="W405" s="383"/>
      <c r="X405" s="383"/>
      <c r="Y405" s="383"/>
      <c r="Z405" s="383"/>
      <c r="AA405" s="383"/>
      <c r="AB405" s="383"/>
    </row>
    <row r="406" ht="18.0" customHeight="1">
      <c r="A406" s="383"/>
      <c r="B406" s="383"/>
      <c r="C406" s="383"/>
      <c r="D406" s="383"/>
      <c r="E406" s="383"/>
      <c r="F406" s="536"/>
      <c r="G406" s="536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 s="383"/>
      <c r="V406" s="383"/>
      <c r="W406" s="383"/>
      <c r="X406" s="383"/>
      <c r="Y406" s="383"/>
      <c r="Z406" s="383"/>
      <c r="AA406" s="383"/>
      <c r="AB406" s="383"/>
    </row>
    <row r="407" ht="18.0" customHeight="1">
      <c r="A407" s="383"/>
      <c r="B407" s="383"/>
      <c r="C407" s="383"/>
      <c r="D407" s="383"/>
      <c r="E407" s="383"/>
      <c r="F407" s="536"/>
      <c r="G407" s="536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 s="383"/>
      <c r="V407" s="383"/>
      <c r="W407" s="383"/>
      <c r="X407" s="383"/>
      <c r="Y407" s="383"/>
      <c r="Z407" s="383"/>
      <c r="AA407" s="383"/>
      <c r="AB407" s="383"/>
    </row>
    <row r="408" ht="18.0" customHeight="1">
      <c r="A408" s="383"/>
      <c r="B408" s="383"/>
      <c r="C408" s="383"/>
      <c r="D408" s="383"/>
      <c r="E408" s="383"/>
      <c r="F408" s="536"/>
      <c r="G408" s="536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 s="383"/>
      <c r="V408" s="383"/>
      <c r="W408" s="383"/>
      <c r="X408" s="383"/>
      <c r="Y408" s="383"/>
      <c r="Z408" s="383"/>
      <c r="AA408" s="383"/>
      <c r="AB408" s="383"/>
    </row>
    <row r="409" ht="18.0" customHeight="1">
      <c r="A409" s="383"/>
      <c r="B409" s="383"/>
      <c r="C409" s="383"/>
      <c r="D409" s="383"/>
      <c r="E409" s="383"/>
      <c r="F409" s="536"/>
      <c r="G409" s="536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 s="383"/>
      <c r="V409" s="383"/>
      <c r="W409" s="383"/>
      <c r="X409" s="383"/>
      <c r="Y409" s="383"/>
      <c r="Z409" s="383"/>
      <c r="AA409" s="383"/>
      <c r="AB409" s="383"/>
    </row>
    <row r="410" ht="18.0" customHeight="1">
      <c r="A410" s="383"/>
      <c r="B410" s="383"/>
      <c r="C410" s="383"/>
      <c r="D410" s="383"/>
      <c r="E410" s="383"/>
      <c r="F410" s="536"/>
      <c r="G410" s="536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 s="383"/>
      <c r="V410" s="383"/>
      <c r="W410" s="383"/>
      <c r="X410" s="383"/>
      <c r="Y410" s="383"/>
      <c r="Z410" s="383"/>
      <c r="AA410" s="383"/>
      <c r="AB410" s="383"/>
    </row>
    <row r="411" ht="18.0" customHeight="1">
      <c r="A411" s="383"/>
      <c r="B411" s="383"/>
      <c r="C411" s="383"/>
      <c r="D411" s="383"/>
      <c r="E411" s="383"/>
      <c r="F411" s="536"/>
      <c r="G411" s="536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 s="383"/>
      <c r="V411" s="383"/>
      <c r="W411" s="383"/>
      <c r="X411" s="383"/>
      <c r="Y411" s="383"/>
      <c r="Z411" s="383"/>
      <c r="AA411" s="383"/>
      <c r="AB411" s="383"/>
    </row>
    <row r="412" ht="18.0" customHeight="1">
      <c r="A412" s="383"/>
      <c r="B412" s="383"/>
      <c r="C412" s="383"/>
      <c r="D412" s="383"/>
      <c r="E412" s="383"/>
      <c r="F412" s="536"/>
      <c r="G412" s="536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 s="383"/>
      <c r="V412" s="383"/>
      <c r="W412" s="383"/>
      <c r="X412" s="383"/>
      <c r="Y412" s="383"/>
      <c r="Z412" s="383"/>
      <c r="AA412" s="383"/>
      <c r="AB412" s="383"/>
    </row>
    <row r="413" ht="18.0" customHeight="1">
      <c r="A413" s="383"/>
      <c r="B413" s="383"/>
      <c r="C413" s="383"/>
      <c r="D413" s="383"/>
      <c r="E413" s="383"/>
      <c r="F413" s="536"/>
      <c r="G413" s="536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 s="383"/>
      <c r="V413" s="383"/>
      <c r="W413" s="383"/>
      <c r="X413" s="383"/>
      <c r="Y413" s="383"/>
      <c r="Z413" s="383"/>
      <c r="AA413" s="383"/>
      <c r="AB413" s="383"/>
    </row>
    <row r="414" ht="18.0" customHeight="1">
      <c r="A414" s="383"/>
      <c r="B414" s="383"/>
      <c r="C414" s="383"/>
      <c r="D414" s="383"/>
      <c r="E414" s="383"/>
      <c r="F414" s="536"/>
      <c r="G414" s="536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 s="383"/>
      <c r="V414" s="383"/>
      <c r="W414" s="383"/>
      <c r="X414" s="383"/>
      <c r="Y414" s="383"/>
      <c r="Z414" s="383"/>
      <c r="AA414" s="383"/>
      <c r="AB414" s="383"/>
    </row>
    <row r="415" ht="18.0" customHeight="1">
      <c r="A415" s="383"/>
      <c r="B415" s="383"/>
      <c r="C415" s="383"/>
      <c r="D415" s="383"/>
      <c r="E415" s="383"/>
      <c r="F415" s="536"/>
      <c r="G415" s="536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 s="383"/>
      <c r="V415" s="383"/>
      <c r="W415" s="383"/>
      <c r="X415" s="383"/>
      <c r="Y415" s="383"/>
      <c r="Z415" s="383"/>
      <c r="AA415" s="383"/>
      <c r="AB415" s="383"/>
    </row>
    <row r="416" ht="18.0" customHeight="1">
      <c r="A416" s="383"/>
      <c r="B416" s="383"/>
      <c r="C416" s="383"/>
      <c r="D416" s="383"/>
      <c r="E416" s="383"/>
      <c r="F416" s="536"/>
      <c r="G416" s="536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 s="383"/>
      <c r="V416" s="383"/>
      <c r="W416" s="383"/>
      <c r="X416" s="383"/>
      <c r="Y416" s="383"/>
      <c r="Z416" s="383"/>
      <c r="AA416" s="383"/>
      <c r="AB416" s="383"/>
    </row>
    <row r="417" ht="18.0" customHeight="1">
      <c r="A417" s="383"/>
      <c r="B417" s="383"/>
      <c r="C417" s="383"/>
      <c r="D417" s="383"/>
      <c r="E417" s="383"/>
      <c r="F417" s="536"/>
      <c r="G417" s="536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 s="383"/>
      <c r="V417" s="383"/>
      <c r="W417" s="383"/>
      <c r="X417" s="383"/>
      <c r="Y417" s="383"/>
      <c r="Z417" s="383"/>
      <c r="AA417" s="383"/>
      <c r="AB417" s="383"/>
    </row>
    <row r="418" ht="18.0" customHeight="1">
      <c r="A418" s="383"/>
      <c r="B418" s="383"/>
      <c r="C418" s="383"/>
      <c r="D418" s="383"/>
      <c r="E418" s="383"/>
      <c r="F418" s="536"/>
      <c r="G418" s="536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 s="383"/>
      <c r="V418" s="383"/>
      <c r="W418" s="383"/>
      <c r="X418" s="383"/>
      <c r="Y418" s="383"/>
      <c r="Z418" s="383"/>
      <c r="AA418" s="383"/>
      <c r="AB418" s="383"/>
    </row>
    <row r="419" ht="18.0" customHeight="1">
      <c r="A419" s="383"/>
      <c r="B419" s="383"/>
      <c r="C419" s="383"/>
      <c r="D419" s="383"/>
      <c r="E419" s="383"/>
      <c r="F419" s="536"/>
      <c r="G419" s="536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 s="383"/>
      <c r="V419" s="383"/>
      <c r="W419" s="383"/>
      <c r="X419" s="383"/>
      <c r="Y419" s="383"/>
      <c r="Z419" s="383"/>
      <c r="AA419" s="383"/>
      <c r="AB419" s="383"/>
    </row>
    <row r="420" ht="18.0" customHeight="1">
      <c r="A420" s="383"/>
      <c r="B420" s="383"/>
      <c r="C420" s="383"/>
      <c r="D420" s="383"/>
      <c r="E420" s="383"/>
      <c r="F420" s="536"/>
      <c r="G420" s="536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 s="383"/>
      <c r="V420" s="383"/>
      <c r="W420" s="383"/>
      <c r="X420" s="383"/>
      <c r="Y420" s="383"/>
      <c r="Z420" s="383"/>
      <c r="AA420" s="383"/>
      <c r="AB420" s="383"/>
    </row>
    <row r="421" ht="18.0" customHeight="1">
      <c r="A421" s="383"/>
      <c r="B421" s="383"/>
      <c r="C421" s="383"/>
      <c r="D421" s="383"/>
      <c r="E421" s="383"/>
      <c r="F421" s="536"/>
      <c r="G421" s="536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 s="383"/>
      <c r="V421" s="383"/>
      <c r="W421" s="383"/>
      <c r="X421" s="383"/>
      <c r="Y421" s="383"/>
      <c r="Z421" s="383"/>
      <c r="AA421" s="383"/>
      <c r="AB421" s="383"/>
    </row>
    <row r="422" ht="18.0" customHeight="1">
      <c r="A422" s="383"/>
      <c r="B422" s="383"/>
      <c r="C422" s="383"/>
      <c r="D422" s="383"/>
      <c r="E422" s="383"/>
      <c r="F422" s="536"/>
      <c r="G422" s="536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 s="383"/>
      <c r="V422" s="383"/>
      <c r="W422" s="383"/>
      <c r="X422" s="383"/>
      <c r="Y422" s="383"/>
      <c r="Z422" s="383"/>
      <c r="AA422" s="383"/>
      <c r="AB422" s="383"/>
    </row>
    <row r="423" ht="18.0" customHeight="1">
      <c r="A423" s="383"/>
      <c r="B423" s="383"/>
      <c r="C423" s="383"/>
      <c r="D423" s="383"/>
      <c r="E423" s="383"/>
      <c r="F423" s="536"/>
      <c r="G423" s="536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 s="383"/>
      <c r="V423" s="383"/>
      <c r="W423" s="383"/>
      <c r="X423" s="383"/>
      <c r="Y423" s="383"/>
      <c r="Z423" s="383"/>
      <c r="AA423" s="383"/>
      <c r="AB423" s="383"/>
    </row>
    <row r="424" ht="18.0" customHeight="1">
      <c r="A424" s="383"/>
      <c r="B424" s="383"/>
      <c r="C424" s="383"/>
      <c r="D424" s="383"/>
      <c r="E424" s="383"/>
      <c r="F424" s="536"/>
      <c r="G424" s="536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 s="383"/>
      <c r="V424" s="383"/>
      <c r="W424" s="383"/>
      <c r="X424" s="383"/>
      <c r="Y424" s="383"/>
      <c r="Z424" s="383"/>
      <c r="AA424" s="383"/>
      <c r="AB424" s="383"/>
    </row>
    <row r="425" ht="18.0" customHeight="1">
      <c r="A425" s="383"/>
      <c r="B425" s="383"/>
      <c r="C425" s="383"/>
      <c r="D425" s="383"/>
      <c r="E425" s="383"/>
      <c r="F425" s="536"/>
      <c r="G425" s="536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 s="383"/>
      <c r="V425" s="383"/>
      <c r="W425" s="383"/>
      <c r="X425" s="383"/>
      <c r="Y425" s="383"/>
      <c r="Z425" s="383"/>
      <c r="AA425" s="383"/>
      <c r="AB425" s="383"/>
    </row>
    <row r="426" ht="18.0" customHeight="1">
      <c r="A426" s="383"/>
      <c r="B426" s="383"/>
      <c r="C426" s="383"/>
      <c r="D426" s="383"/>
      <c r="E426" s="383"/>
      <c r="F426" s="536"/>
      <c r="G426" s="536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 s="383"/>
      <c r="V426" s="383"/>
      <c r="W426" s="383"/>
      <c r="X426" s="383"/>
      <c r="Y426" s="383"/>
      <c r="Z426" s="383"/>
      <c r="AA426" s="383"/>
      <c r="AB426" s="383"/>
    </row>
    <row r="427" ht="18.0" customHeight="1">
      <c r="A427" s="383"/>
      <c r="B427" s="383"/>
      <c r="C427" s="383"/>
      <c r="D427" s="383"/>
      <c r="E427" s="383"/>
      <c r="F427" s="536"/>
      <c r="G427" s="536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 s="383"/>
      <c r="V427" s="383"/>
      <c r="W427" s="383"/>
      <c r="X427" s="383"/>
      <c r="Y427" s="383"/>
      <c r="Z427" s="383"/>
      <c r="AA427" s="383"/>
      <c r="AB427" s="383"/>
    </row>
    <row r="428" ht="18.0" customHeight="1">
      <c r="A428" s="383"/>
      <c r="B428" s="383"/>
      <c r="C428" s="383"/>
      <c r="D428" s="383"/>
      <c r="E428" s="383"/>
      <c r="F428" s="536"/>
      <c r="G428" s="536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 s="383"/>
      <c r="V428" s="383"/>
      <c r="W428" s="383"/>
      <c r="X428" s="383"/>
      <c r="Y428" s="383"/>
      <c r="Z428" s="383"/>
      <c r="AA428" s="383"/>
      <c r="AB428" s="383"/>
    </row>
    <row r="429" ht="18.0" customHeight="1">
      <c r="A429" s="383"/>
      <c r="B429" s="383"/>
      <c r="C429" s="383"/>
      <c r="D429" s="383"/>
      <c r="E429" s="383"/>
      <c r="F429" s="536"/>
      <c r="G429" s="536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 s="383"/>
      <c r="V429" s="383"/>
      <c r="W429" s="383"/>
      <c r="X429" s="383"/>
      <c r="Y429" s="383"/>
      <c r="Z429" s="383"/>
      <c r="AA429" s="383"/>
      <c r="AB429" s="383"/>
    </row>
    <row r="430" ht="18.0" customHeight="1">
      <c r="A430" s="383"/>
      <c r="B430" s="383"/>
      <c r="C430" s="383"/>
      <c r="D430" s="383"/>
      <c r="E430" s="383"/>
      <c r="F430" s="536"/>
      <c r="G430" s="536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 s="383"/>
      <c r="V430" s="383"/>
      <c r="W430" s="383"/>
      <c r="X430" s="383"/>
      <c r="Y430" s="383"/>
      <c r="Z430" s="383"/>
      <c r="AA430" s="383"/>
      <c r="AB430" s="383"/>
    </row>
    <row r="431" ht="18.0" customHeight="1">
      <c r="A431" s="383"/>
      <c r="B431" s="383"/>
      <c r="C431" s="383"/>
      <c r="D431" s="383"/>
      <c r="E431" s="383"/>
      <c r="F431" s="536"/>
      <c r="G431" s="536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 s="383"/>
      <c r="V431" s="383"/>
      <c r="W431" s="383"/>
      <c r="X431" s="383"/>
      <c r="Y431" s="383"/>
      <c r="Z431" s="383"/>
      <c r="AA431" s="383"/>
      <c r="AB431" s="383"/>
    </row>
    <row r="432" ht="18.0" customHeight="1">
      <c r="A432" s="383"/>
      <c r="B432" s="383"/>
      <c r="C432" s="383"/>
      <c r="D432" s="383"/>
      <c r="E432" s="383"/>
      <c r="F432" s="536"/>
      <c r="G432" s="536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 s="383"/>
      <c r="V432" s="383"/>
      <c r="W432" s="383"/>
      <c r="X432" s="383"/>
      <c r="Y432" s="383"/>
      <c r="Z432" s="383"/>
      <c r="AA432" s="383"/>
      <c r="AB432" s="383"/>
    </row>
    <row r="433" ht="18.0" customHeight="1">
      <c r="A433" s="383"/>
      <c r="B433" s="383"/>
      <c r="C433" s="383"/>
      <c r="D433" s="383"/>
      <c r="E433" s="383"/>
      <c r="F433" s="536"/>
      <c r="G433" s="536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 s="383"/>
      <c r="V433" s="383"/>
      <c r="W433" s="383"/>
      <c r="X433" s="383"/>
      <c r="Y433" s="383"/>
      <c r="Z433" s="383"/>
      <c r="AA433" s="383"/>
      <c r="AB433" s="383"/>
    </row>
    <row r="434" ht="18.0" customHeight="1">
      <c r="A434" s="383"/>
      <c r="B434" s="383"/>
      <c r="C434" s="383"/>
      <c r="D434" s="383"/>
      <c r="E434" s="383"/>
      <c r="F434" s="536"/>
      <c r="G434" s="536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 s="383"/>
      <c r="V434" s="383"/>
      <c r="W434" s="383"/>
      <c r="X434" s="383"/>
      <c r="Y434" s="383"/>
      <c r="Z434" s="383"/>
      <c r="AA434" s="383"/>
      <c r="AB434" s="383"/>
    </row>
    <row r="435" ht="18.0" customHeight="1">
      <c r="A435" s="383"/>
      <c r="B435" s="383"/>
      <c r="C435" s="383"/>
      <c r="D435" s="383"/>
      <c r="E435" s="383"/>
      <c r="F435" s="536"/>
      <c r="G435" s="536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 s="383"/>
      <c r="V435" s="383"/>
      <c r="W435" s="383"/>
      <c r="X435" s="383"/>
      <c r="Y435" s="383"/>
      <c r="Z435" s="383"/>
      <c r="AA435" s="383"/>
      <c r="AB435" s="383"/>
    </row>
    <row r="436" ht="18.0" customHeight="1">
      <c r="A436" s="383"/>
      <c r="B436" s="383"/>
      <c r="C436" s="383"/>
      <c r="D436" s="383"/>
      <c r="E436" s="383"/>
      <c r="F436" s="536"/>
      <c r="G436" s="536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 s="383"/>
      <c r="V436" s="383"/>
      <c r="W436" s="383"/>
      <c r="X436" s="383"/>
      <c r="Y436" s="383"/>
      <c r="Z436" s="383"/>
      <c r="AA436" s="383"/>
      <c r="AB436" s="383"/>
    </row>
    <row r="437" ht="18.0" customHeight="1">
      <c r="A437" s="383"/>
      <c r="B437" s="383"/>
      <c r="C437" s="383"/>
      <c r="D437" s="383"/>
      <c r="E437" s="383"/>
      <c r="F437" s="536"/>
      <c r="G437" s="536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 s="383"/>
      <c r="V437" s="383"/>
      <c r="W437" s="383"/>
      <c r="X437" s="383"/>
      <c r="Y437" s="383"/>
      <c r="Z437" s="383"/>
      <c r="AA437" s="383"/>
      <c r="AB437" s="383"/>
    </row>
    <row r="438" ht="18.0" customHeight="1">
      <c r="A438" s="383"/>
      <c r="B438" s="383"/>
      <c r="C438" s="383"/>
      <c r="D438" s="383"/>
      <c r="E438" s="383"/>
      <c r="F438" s="536"/>
      <c r="G438" s="536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 s="383"/>
      <c r="V438" s="383"/>
      <c r="W438" s="383"/>
      <c r="X438" s="383"/>
      <c r="Y438" s="383"/>
      <c r="Z438" s="383"/>
      <c r="AA438" s="383"/>
      <c r="AB438" s="383"/>
    </row>
    <row r="439" ht="18.0" customHeight="1">
      <c r="A439" s="383"/>
      <c r="B439" s="383"/>
      <c r="C439" s="383"/>
      <c r="D439" s="383"/>
      <c r="E439" s="383"/>
      <c r="F439" s="536"/>
      <c r="G439" s="536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 s="383"/>
      <c r="V439" s="383"/>
      <c r="W439" s="383"/>
      <c r="X439" s="383"/>
      <c r="Y439" s="383"/>
      <c r="Z439" s="383"/>
      <c r="AA439" s="383"/>
      <c r="AB439" s="383"/>
    </row>
    <row r="440" ht="18.0" customHeight="1">
      <c r="A440" s="383"/>
      <c r="B440" s="383"/>
      <c r="C440" s="383"/>
      <c r="D440" s="383"/>
      <c r="E440" s="383"/>
      <c r="F440" s="536"/>
      <c r="G440" s="536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 s="383"/>
      <c r="V440" s="383"/>
      <c r="W440" s="383"/>
      <c r="X440" s="383"/>
      <c r="Y440" s="383"/>
      <c r="Z440" s="383"/>
      <c r="AA440" s="383"/>
      <c r="AB440" s="383"/>
    </row>
    <row r="441" ht="18.0" customHeight="1">
      <c r="A441" s="383"/>
      <c r="B441" s="383"/>
      <c r="C441" s="383"/>
      <c r="D441" s="383"/>
      <c r="E441" s="383"/>
      <c r="F441" s="536"/>
      <c r="G441" s="536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 s="383"/>
      <c r="V441" s="383"/>
      <c r="W441" s="383"/>
      <c r="X441" s="383"/>
      <c r="Y441" s="383"/>
      <c r="Z441" s="383"/>
      <c r="AA441" s="383"/>
      <c r="AB441" s="383"/>
    </row>
    <row r="442" ht="18.0" customHeight="1">
      <c r="A442" s="383"/>
      <c r="B442" s="383"/>
      <c r="C442" s="383"/>
      <c r="D442" s="383"/>
      <c r="E442" s="383"/>
      <c r="F442" s="536"/>
      <c r="G442" s="536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 s="383"/>
      <c r="V442" s="383"/>
      <c r="W442" s="383"/>
      <c r="X442" s="383"/>
      <c r="Y442" s="383"/>
      <c r="Z442" s="383"/>
      <c r="AA442" s="383"/>
      <c r="AB442" s="383"/>
    </row>
    <row r="443" ht="18.0" customHeight="1">
      <c r="A443" s="383"/>
      <c r="B443" s="383"/>
      <c r="C443" s="383"/>
      <c r="D443" s="383"/>
      <c r="E443" s="383"/>
      <c r="F443" s="536"/>
      <c r="G443" s="536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 s="383"/>
      <c r="V443" s="383"/>
      <c r="W443" s="383"/>
      <c r="X443" s="383"/>
      <c r="Y443" s="383"/>
      <c r="Z443" s="383"/>
      <c r="AA443" s="383"/>
      <c r="AB443" s="383"/>
    </row>
    <row r="444" ht="18.0" customHeight="1">
      <c r="A444" s="383"/>
      <c r="B444" s="383"/>
      <c r="C444" s="383"/>
      <c r="D444" s="383"/>
      <c r="E444" s="383"/>
      <c r="F444" s="536"/>
      <c r="G444" s="536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 s="383"/>
      <c r="V444" s="383"/>
      <c r="W444" s="383"/>
      <c r="X444" s="383"/>
      <c r="Y444" s="383"/>
      <c r="Z444" s="383"/>
      <c r="AA444" s="383"/>
      <c r="AB444" s="383"/>
    </row>
    <row r="445" ht="18.0" customHeight="1">
      <c r="A445" s="383"/>
      <c r="B445" s="383"/>
      <c r="C445" s="383"/>
      <c r="D445" s="383"/>
      <c r="E445" s="383"/>
      <c r="F445" s="536"/>
      <c r="G445" s="536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 s="383"/>
      <c r="V445" s="383"/>
      <c r="W445" s="383"/>
      <c r="X445" s="383"/>
      <c r="Y445" s="383"/>
      <c r="Z445" s="383"/>
      <c r="AA445" s="383"/>
      <c r="AB445" s="383"/>
    </row>
    <row r="446" ht="18.0" customHeight="1">
      <c r="A446" s="383"/>
      <c r="B446" s="383"/>
      <c r="C446" s="383"/>
      <c r="D446" s="383"/>
      <c r="E446" s="383"/>
      <c r="F446" s="536"/>
      <c r="G446" s="536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 s="383"/>
      <c r="V446" s="383"/>
      <c r="W446" s="383"/>
      <c r="X446" s="383"/>
      <c r="Y446" s="383"/>
      <c r="Z446" s="383"/>
      <c r="AA446" s="383"/>
      <c r="AB446" s="383"/>
    </row>
    <row r="447" ht="18.0" customHeight="1">
      <c r="A447" s="383"/>
      <c r="B447" s="383"/>
      <c r="C447" s="383"/>
      <c r="D447" s="383"/>
      <c r="E447" s="383"/>
      <c r="F447" s="536"/>
      <c r="G447" s="536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 s="383"/>
      <c r="V447" s="383"/>
      <c r="W447" s="383"/>
      <c r="X447" s="383"/>
      <c r="Y447" s="383"/>
      <c r="Z447" s="383"/>
      <c r="AA447" s="383"/>
      <c r="AB447" s="383"/>
    </row>
    <row r="448" ht="18.0" customHeight="1">
      <c r="A448" s="383"/>
      <c r="B448" s="383"/>
      <c r="C448" s="383"/>
      <c r="D448" s="383"/>
      <c r="E448" s="383"/>
      <c r="F448" s="536"/>
      <c r="G448" s="536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 s="383"/>
      <c r="V448" s="383"/>
      <c r="W448" s="383"/>
      <c r="X448" s="383"/>
      <c r="Y448" s="383"/>
      <c r="Z448" s="383"/>
      <c r="AA448" s="383"/>
      <c r="AB448" s="383"/>
    </row>
    <row r="449" ht="18.0" customHeight="1">
      <c r="A449" s="383"/>
      <c r="B449" s="383"/>
      <c r="C449" s="383"/>
      <c r="D449" s="383"/>
      <c r="E449" s="383"/>
      <c r="F449" s="536"/>
      <c r="G449" s="536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 s="383"/>
      <c r="V449" s="383"/>
      <c r="W449" s="383"/>
      <c r="X449" s="383"/>
      <c r="Y449" s="383"/>
      <c r="Z449" s="383"/>
      <c r="AA449" s="383"/>
      <c r="AB449" s="383"/>
    </row>
    <row r="450" ht="18.0" customHeight="1">
      <c r="A450" s="383"/>
      <c r="B450" s="383"/>
      <c r="C450" s="383"/>
      <c r="D450" s="383"/>
      <c r="E450" s="383"/>
      <c r="F450" s="536"/>
      <c r="G450" s="536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 s="383"/>
      <c r="V450" s="383"/>
      <c r="W450" s="383"/>
      <c r="X450" s="383"/>
      <c r="Y450" s="383"/>
      <c r="Z450" s="383"/>
      <c r="AA450" s="383"/>
      <c r="AB450" s="383"/>
    </row>
    <row r="451" ht="18.0" customHeight="1">
      <c r="A451" s="383"/>
      <c r="B451" s="383"/>
      <c r="C451" s="383"/>
      <c r="D451" s="383"/>
      <c r="E451" s="383"/>
      <c r="F451" s="536"/>
      <c r="G451" s="536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 s="383"/>
      <c r="V451" s="383"/>
      <c r="W451" s="383"/>
      <c r="X451" s="383"/>
      <c r="Y451" s="383"/>
      <c r="Z451" s="383"/>
      <c r="AA451" s="383"/>
      <c r="AB451" s="383"/>
    </row>
    <row r="452" ht="18.0" customHeight="1">
      <c r="A452" s="383"/>
      <c r="B452" s="383"/>
      <c r="C452" s="383"/>
      <c r="D452" s="383"/>
      <c r="E452" s="383"/>
      <c r="F452" s="536"/>
      <c r="G452" s="536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 s="383"/>
      <c r="V452" s="383"/>
      <c r="W452" s="383"/>
      <c r="X452" s="383"/>
      <c r="Y452" s="383"/>
      <c r="Z452" s="383"/>
      <c r="AA452" s="383"/>
      <c r="AB452" s="383"/>
    </row>
    <row r="453" ht="18.0" customHeight="1">
      <c r="A453" s="383"/>
      <c r="B453" s="383"/>
      <c r="C453" s="383"/>
      <c r="D453" s="383"/>
      <c r="E453" s="383"/>
      <c r="F453" s="536"/>
      <c r="G453" s="536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 s="383"/>
      <c r="V453" s="383"/>
      <c r="W453" s="383"/>
      <c r="X453" s="383"/>
      <c r="Y453" s="383"/>
      <c r="Z453" s="383"/>
      <c r="AA453" s="383"/>
      <c r="AB453" s="383"/>
    </row>
    <row r="454" ht="18.0" customHeight="1">
      <c r="A454" s="383"/>
      <c r="B454" s="383"/>
      <c r="C454" s="383"/>
      <c r="D454" s="383"/>
      <c r="E454" s="383"/>
      <c r="F454" s="536"/>
      <c r="G454" s="536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 s="383"/>
      <c r="V454" s="383"/>
      <c r="W454" s="383"/>
      <c r="X454" s="383"/>
      <c r="Y454" s="383"/>
      <c r="Z454" s="383"/>
      <c r="AA454" s="383"/>
      <c r="AB454" s="383"/>
    </row>
    <row r="455" ht="18.0" customHeight="1">
      <c r="A455" s="383"/>
      <c r="B455" s="383"/>
      <c r="C455" s="383"/>
      <c r="D455" s="383"/>
      <c r="E455" s="383"/>
      <c r="F455" s="536"/>
      <c r="G455" s="536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 s="383"/>
      <c r="V455" s="383"/>
      <c r="W455" s="383"/>
      <c r="X455" s="383"/>
      <c r="Y455" s="383"/>
      <c r="Z455" s="383"/>
      <c r="AA455" s="383"/>
      <c r="AB455" s="383"/>
    </row>
    <row r="456" ht="18.0" customHeight="1">
      <c r="A456" s="383"/>
      <c r="B456" s="383"/>
      <c r="C456" s="383"/>
      <c r="D456" s="383"/>
      <c r="E456" s="383"/>
      <c r="F456" s="536"/>
      <c r="G456" s="536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 s="383"/>
      <c r="V456" s="383"/>
      <c r="W456" s="383"/>
      <c r="X456" s="383"/>
      <c r="Y456" s="383"/>
      <c r="Z456" s="383"/>
      <c r="AA456" s="383"/>
      <c r="AB456" s="383"/>
    </row>
    <row r="457" ht="18.0" customHeight="1">
      <c r="A457" s="383"/>
      <c r="B457" s="383"/>
      <c r="C457" s="383"/>
      <c r="D457" s="383"/>
      <c r="E457" s="383"/>
      <c r="F457" s="536"/>
      <c r="G457" s="536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 s="383"/>
      <c r="V457" s="383"/>
      <c r="W457" s="383"/>
      <c r="X457" s="383"/>
      <c r="Y457" s="383"/>
      <c r="Z457" s="383"/>
      <c r="AA457" s="383"/>
      <c r="AB457" s="383"/>
    </row>
    <row r="458" ht="18.0" customHeight="1">
      <c r="A458" s="383"/>
      <c r="B458" s="383"/>
      <c r="C458" s="383"/>
      <c r="D458" s="383"/>
      <c r="E458" s="383"/>
      <c r="F458" s="536"/>
      <c r="G458" s="536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 s="383"/>
      <c r="V458" s="383"/>
      <c r="W458" s="383"/>
      <c r="X458" s="383"/>
      <c r="Y458" s="383"/>
      <c r="Z458" s="383"/>
      <c r="AA458" s="383"/>
      <c r="AB458" s="383"/>
    </row>
    <row r="459" ht="18.0" customHeight="1">
      <c r="A459" s="383"/>
      <c r="B459" s="383"/>
      <c r="C459" s="383"/>
      <c r="D459" s="383"/>
      <c r="E459" s="383"/>
      <c r="F459" s="536"/>
      <c r="G459" s="536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 s="383"/>
      <c r="V459" s="383"/>
      <c r="W459" s="383"/>
      <c r="X459" s="383"/>
      <c r="Y459" s="383"/>
      <c r="Z459" s="383"/>
      <c r="AA459" s="383"/>
      <c r="AB459" s="383"/>
    </row>
    <row r="460" ht="18.0" customHeight="1">
      <c r="A460" s="383"/>
      <c r="B460" s="383"/>
      <c r="C460" s="383"/>
      <c r="D460" s="383"/>
      <c r="E460" s="383"/>
      <c r="F460" s="536"/>
      <c r="G460" s="536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 s="383"/>
      <c r="V460" s="383"/>
      <c r="W460" s="383"/>
      <c r="X460" s="383"/>
      <c r="Y460" s="383"/>
      <c r="Z460" s="383"/>
      <c r="AA460" s="383"/>
      <c r="AB460" s="383"/>
    </row>
    <row r="461" ht="18.0" customHeight="1">
      <c r="A461" s="383"/>
      <c r="B461" s="383"/>
      <c r="C461" s="383"/>
      <c r="D461" s="383"/>
      <c r="E461" s="383"/>
      <c r="F461" s="536"/>
      <c r="G461" s="536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 s="383"/>
      <c r="V461" s="383"/>
      <c r="W461" s="383"/>
      <c r="X461" s="383"/>
      <c r="Y461" s="383"/>
      <c r="Z461" s="383"/>
      <c r="AA461" s="383"/>
      <c r="AB461" s="383"/>
    </row>
    <row r="462" ht="18.0" customHeight="1">
      <c r="A462" s="383"/>
      <c r="B462" s="383"/>
      <c r="C462" s="383"/>
      <c r="D462" s="383"/>
      <c r="E462" s="383"/>
      <c r="F462" s="536"/>
      <c r="G462" s="536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 s="383"/>
      <c r="V462" s="383"/>
      <c r="W462" s="383"/>
      <c r="X462" s="383"/>
      <c r="Y462" s="383"/>
      <c r="Z462" s="383"/>
      <c r="AA462" s="383"/>
      <c r="AB462" s="383"/>
    </row>
    <row r="463" ht="18.0" customHeight="1">
      <c r="A463" s="383"/>
      <c r="B463" s="383"/>
      <c r="C463" s="383"/>
      <c r="D463" s="383"/>
      <c r="E463" s="383"/>
      <c r="F463" s="536"/>
      <c r="G463" s="536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 s="383"/>
      <c r="V463" s="383"/>
      <c r="W463" s="383"/>
      <c r="X463" s="383"/>
      <c r="Y463" s="383"/>
      <c r="Z463" s="383"/>
      <c r="AA463" s="383"/>
      <c r="AB463" s="383"/>
    </row>
    <row r="464" ht="18.0" customHeight="1">
      <c r="A464" s="383"/>
      <c r="B464" s="383"/>
      <c r="C464" s="383"/>
      <c r="D464" s="383"/>
      <c r="E464" s="383"/>
      <c r="F464" s="536"/>
      <c r="G464" s="536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 s="383"/>
      <c r="V464" s="383"/>
      <c r="W464" s="383"/>
      <c r="X464" s="383"/>
      <c r="Y464" s="383"/>
      <c r="Z464" s="383"/>
      <c r="AA464" s="383"/>
      <c r="AB464" s="383"/>
    </row>
    <row r="465" ht="18.0" customHeight="1">
      <c r="A465" s="383"/>
      <c r="B465" s="383"/>
      <c r="C465" s="383"/>
      <c r="D465" s="383"/>
      <c r="E465" s="383"/>
      <c r="F465" s="536"/>
      <c r="G465" s="536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 s="383"/>
      <c r="V465" s="383"/>
      <c r="W465" s="383"/>
      <c r="X465" s="383"/>
      <c r="Y465" s="383"/>
      <c r="Z465" s="383"/>
      <c r="AA465" s="383"/>
      <c r="AB465" s="383"/>
    </row>
    <row r="466" ht="18.0" customHeight="1">
      <c r="A466" s="383"/>
      <c r="B466" s="383"/>
      <c r="C466" s="383"/>
      <c r="D466" s="383"/>
      <c r="E466" s="383"/>
      <c r="F466" s="536"/>
      <c r="G466" s="536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 s="383"/>
      <c r="V466" s="383"/>
      <c r="W466" s="383"/>
      <c r="X466" s="383"/>
      <c r="Y466" s="383"/>
      <c r="Z466" s="383"/>
      <c r="AA466" s="383"/>
      <c r="AB466" s="383"/>
    </row>
    <row r="467" ht="18.0" customHeight="1">
      <c r="A467" s="383"/>
      <c r="B467" s="383"/>
      <c r="C467" s="383"/>
      <c r="D467" s="383"/>
      <c r="E467" s="383"/>
      <c r="F467" s="536"/>
      <c r="G467" s="536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 s="383"/>
      <c r="V467" s="383"/>
      <c r="W467" s="383"/>
      <c r="X467" s="383"/>
      <c r="Y467" s="383"/>
      <c r="Z467" s="383"/>
      <c r="AA467" s="383"/>
      <c r="AB467" s="383"/>
    </row>
    <row r="468" ht="18.0" customHeight="1">
      <c r="A468" s="383"/>
      <c r="B468" s="383"/>
      <c r="C468" s="383"/>
      <c r="D468" s="383"/>
      <c r="E468" s="383"/>
      <c r="F468" s="536"/>
      <c r="G468" s="536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 s="383"/>
      <c r="V468" s="383"/>
      <c r="W468" s="383"/>
      <c r="X468" s="383"/>
      <c r="Y468" s="383"/>
      <c r="Z468" s="383"/>
      <c r="AA468" s="383"/>
      <c r="AB468" s="383"/>
    </row>
    <row r="469" ht="18.0" customHeight="1">
      <c r="A469" s="383"/>
      <c r="B469" s="383"/>
      <c r="C469" s="383"/>
      <c r="D469" s="383"/>
      <c r="E469" s="383"/>
      <c r="F469" s="536"/>
      <c r="G469" s="536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 s="383"/>
      <c r="V469" s="383"/>
      <c r="W469" s="383"/>
      <c r="X469" s="383"/>
      <c r="Y469" s="383"/>
      <c r="Z469" s="383"/>
      <c r="AA469" s="383"/>
      <c r="AB469" s="383"/>
    </row>
    <row r="470" ht="18.0" customHeight="1">
      <c r="A470" s="383"/>
      <c r="B470" s="383"/>
      <c r="C470" s="383"/>
      <c r="D470" s="383"/>
      <c r="E470" s="383"/>
      <c r="F470" s="536"/>
      <c r="G470" s="536"/>
      <c r="H470" s="383"/>
      <c r="I470" s="383"/>
      <c r="J470" s="383"/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 s="383"/>
      <c r="V470" s="383"/>
      <c r="W470" s="383"/>
      <c r="X470" s="383"/>
      <c r="Y470" s="383"/>
      <c r="Z470" s="383"/>
      <c r="AA470" s="383"/>
      <c r="AB470" s="383"/>
    </row>
    <row r="471" ht="18.0" customHeight="1">
      <c r="A471" s="383"/>
      <c r="B471" s="383"/>
      <c r="C471" s="383"/>
      <c r="D471" s="383"/>
      <c r="E471" s="383"/>
      <c r="F471" s="536"/>
      <c r="G471" s="536"/>
      <c r="H471" s="383"/>
      <c r="I471" s="383"/>
      <c r="J471" s="383"/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 s="383"/>
      <c r="V471" s="383"/>
      <c r="W471" s="383"/>
      <c r="X471" s="383"/>
      <c r="Y471" s="383"/>
      <c r="Z471" s="383"/>
      <c r="AA471" s="383"/>
      <c r="AB471" s="383"/>
    </row>
    <row r="472" ht="18.0" customHeight="1">
      <c r="A472" s="383"/>
      <c r="B472" s="383"/>
      <c r="C472" s="383"/>
      <c r="D472" s="383"/>
      <c r="E472" s="383"/>
      <c r="F472" s="536"/>
      <c r="G472" s="536"/>
      <c r="H472" s="383"/>
      <c r="I472" s="383"/>
      <c r="J472" s="383"/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 s="383"/>
      <c r="V472" s="383"/>
      <c r="W472" s="383"/>
      <c r="X472" s="383"/>
      <c r="Y472" s="383"/>
      <c r="Z472" s="383"/>
      <c r="AA472" s="383"/>
      <c r="AB472" s="383"/>
    </row>
    <row r="473" ht="18.0" customHeight="1">
      <c r="A473" s="383"/>
      <c r="B473" s="383"/>
      <c r="C473" s="383"/>
      <c r="D473" s="383"/>
      <c r="E473" s="383"/>
      <c r="F473" s="536"/>
      <c r="G473" s="536"/>
      <c r="H473" s="383"/>
      <c r="I473" s="383"/>
      <c r="J473" s="383"/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 s="383"/>
      <c r="V473" s="383"/>
      <c r="W473" s="383"/>
      <c r="X473" s="383"/>
      <c r="Y473" s="383"/>
      <c r="Z473" s="383"/>
      <c r="AA473" s="383"/>
      <c r="AB473" s="383"/>
    </row>
    <row r="474" ht="18.0" customHeight="1">
      <c r="A474" s="383"/>
      <c r="B474" s="383"/>
      <c r="C474" s="383"/>
      <c r="D474" s="383"/>
      <c r="E474" s="383"/>
      <c r="F474" s="536"/>
      <c r="G474" s="536"/>
      <c r="H474" s="383"/>
      <c r="I474" s="383"/>
      <c r="J474" s="383"/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 s="383"/>
      <c r="V474" s="383"/>
      <c r="W474" s="383"/>
      <c r="X474" s="383"/>
      <c r="Y474" s="383"/>
      <c r="Z474" s="383"/>
      <c r="AA474" s="383"/>
      <c r="AB474" s="383"/>
    </row>
    <row r="475" ht="18.0" customHeight="1">
      <c r="A475" s="383"/>
      <c r="B475" s="383"/>
      <c r="C475" s="383"/>
      <c r="D475" s="383"/>
      <c r="E475" s="383"/>
      <c r="F475" s="536"/>
      <c r="G475" s="536"/>
      <c r="H475" s="383"/>
      <c r="I475" s="383"/>
      <c r="J475" s="383"/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 s="383"/>
      <c r="V475" s="383"/>
      <c r="W475" s="383"/>
      <c r="X475" s="383"/>
      <c r="Y475" s="383"/>
      <c r="Z475" s="383"/>
      <c r="AA475" s="383"/>
      <c r="AB475" s="383"/>
    </row>
    <row r="476" ht="18.0" customHeight="1">
      <c r="A476" s="383"/>
      <c r="B476" s="383"/>
      <c r="C476" s="383"/>
      <c r="D476" s="383"/>
      <c r="E476" s="383"/>
      <c r="F476" s="536"/>
      <c r="G476" s="536"/>
      <c r="H476" s="383"/>
      <c r="I476" s="383"/>
      <c r="J476" s="383"/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 s="383"/>
      <c r="V476" s="383"/>
      <c r="W476" s="383"/>
      <c r="X476" s="383"/>
      <c r="Y476" s="383"/>
      <c r="Z476" s="383"/>
      <c r="AA476" s="383"/>
      <c r="AB476" s="383"/>
    </row>
    <row r="477" ht="18.0" customHeight="1">
      <c r="A477" s="383"/>
      <c r="B477" s="383"/>
      <c r="C477" s="383"/>
      <c r="D477" s="383"/>
      <c r="E477" s="383"/>
      <c r="F477" s="536"/>
      <c r="G477" s="536"/>
      <c r="H477" s="383"/>
      <c r="I477" s="383"/>
      <c r="J477" s="383"/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 s="383"/>
      <c r="V477" s="383"/>
      <c r="W477" s="383"/>
      <c r="X477" s="383"/>
      <c r="Y477" s="383"/>
      <c r="Z477" s="383"/>
      <c r="AA477" s="383"/>
      <c r="AB477" s="383"/>
    </row>
    <row r="478" ht="18.0" customHeight="1">
      <c r="A478" s="383"/>
      <c r="B478" s="383"/>
      <c r="C478" s="383"/>
      <c r="D478" s="383"/>
      <c r="E478" s="383"/>
      <c r="F478" s="536"/>
      <c r="G478" s="536"/>
      <c r="H478" s="383"/>
      <c r="I478" s="383"/>
      <c r="J478" s="383"/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 s="383"/>
      <c r="V478" s="383"/>
      <c r="W478" s="383"/>
      <c r="X478" s="383"/>
      <c r="Y478" s="383"/>
      <c r="Z478" s="383"/>
      <c r="AA478" s="383"/>
      <c r="AB478" s="383"/>
    </row>
    <row r="479" ht="18.0" customHeight="1">
      <c r="A479" s="383"/>
      <c r="B479" s="383"/>
      <c r="C479" s="383"/>
      <c r="D479" s="383"/>
      <c r="E479" s="383"/>
      <c r="F479" s="536"/>
      <c r="G479" s="536"/>
      <c r="H479" s="383"/>
      <c r="I479" s="383"/>
      <c r="J479" s="383"/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 s="383"/>
      <c r="V479" s="383"/>
      <c r="W479" s="383"/>
      <c r="X479" s="383"/>
      <c r="Y479" s="383"/>
      <c r="Z479" s="383"/>
      <c r="AA479" s="383"/>
      <c r="AB479" s="383"/>
    </row>
    <row r="480" ht="18.0" customHeight="1">
      <c r="A480" s="383"/>
      <c r="B480" s="383"/>
      <c r="C480" s="383"/>
      <c r="D480" s="383"/>
      <c r="E480" s="383"/>
      <c r="F480" s="536"/>
      <c r="G480" s="536"/>
      <c r="H480" s="383"/>
      <c r="I480" s="383"/>
      <c r="J480" s="383"/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 s="383"/>
      <c r="V480" s="383"/>
      <c r="W480" s="383"/>
      <c r="X480" s="383"/>
      <c r="Y480" s="383"/>
      <c r="Z480" s="383"/>
      <c r="AA480" s="383"/>
      <c r="AB480" s="383"/>
    </row>
    <row r="481" ht="18.0" customHeight="1">
      <c r="A481" s="383"/>
      <c r="B481" s="383"/>
      <c r="C481" s="383"/>
      <c r="D481" s="383"/>
      <c r="E481" s="383"/>
      <c r="F481" s="536"/>
      <c r="G481" s="536"/>
      <c r="H481" s="383"/>
      <c r="I481" s="383"/>
      <c r="J481" s="383"/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 s="383"/>
      <c r="V481" s="383"/>
      <c r="W481" s="383"/>
      <c r="X481" s="383"/>
      <c r="Y481" s="383"/>
      <c r="Z481" s="383"/>
      <c r="AA481" s="383"/>
      <c r="AB481" s="383"/>
    </row>
    <row r="482" ht="18.0" customHeight="1">
      <c r="A482" s="383"/>
      <c r="B482" s="383"/>
      <c r="C482" s="383"/>
      <c r="D482" s="383"/>
      <c r="E482" s="383"/>
      <c r="F482" s="536"/>
      <c r="G482" s="536"/>
      <c r="H482" s="383"/>
      <c r="I482" s="383"/>
      <c r="J482" s="383"/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 s="383"/>
      <c r="V482" s="383"/>
      <c r="W482" s="383"/>
      <c r="X482" s="383"/>
      <c r="Y482" s="383"/>
      <c r="Z482" s="383"/>
      <c r="AA482" s="383"/>
      <c r="AB482" s="383"/>
    </row>
    <row r="483" ht="18.0" customHeight="1">
      <c r="A483" s="383"/>
      <c r="B483" s="383"/>
      <c r="C483" s="383"/>
      <c r="D483" s="383"/>
      <c r="E483" s="383"/>
      <c r="F483" s="536"/>
      <c r="G483" s="536"/>
      <c r="H483" s="383"/>
      <c r="I483" s="383"/>
      <c r="J483" s="383"/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 s="383"/>
      <c r="V483" s="383"/>
      <c r="W483" s="383"/>
      <c r="X483" s="383"/>
      <c r="Y483" s="383"/>
      <c r="Z483" s="383"/>
      <c r="AA483" s="383"/>
      <c r="AB483" s="383"/>
    </row>
    <row r="484" ht="18.0" customHeight="1">
      <c r="A484" s="383"/>
      <c r="B484" s="383"/>
      <c r="C484" s="383"/>
      <c r="D484" s="383"/>
      <c r="E484" s="383"/>
      <c r="F484" s="536"/>
      <c r="G484" s="536"/>
      <c r="H484" s="383"/>
      <c r="I484" s="383"/>
      <c r="J484" s="383"/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 s="383"/>
      <c r="V484" s="383"/>
      <c r="W484" s="383"/>
      <c r="X484" s="383"/>
      <c r="Y484" s="383"/>
      <c r="Z484" s="383"/>
      <c r="AA484" s="383"/>
      <c r="AB484" s="383"/>
    </row>
    <row r="485" ht="18.0" customHeight="1">
      <c r="A485" s="383"/>
      <c r="B485" s="383"/>
      <c r="C485" s="383"/>
      <c r="D485" s="383"/>
      <c r="E485" s="383"/>
      <c r="F485" s="536"/>
      <c r="G485" s="536"/>
      <c r="H485" s="383"/>
      <c r="I485" s="383"/>
      <c r="J485" s="383"/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 s="383"/>
      <c r="V485" s="383"/>
      <c r="W485" s="383"/>
      <c r="X485" s="383"/>
      <c r="Y485" s="383"/>
      <c r="Z485" s="383"/>
      <c r="AA485" s="383"/>
      <c r="AB485" s="383"/>
    </row>
    <row r="486" ht="18.0" customHeight="1">
      <c r="A486" s="383"/>
      <c r="B486" s="383"/>
      <c r="C486" s="383"/>
      <c r="D486" s="383"/>
      <c r="E486" s="383"/>
      <c r="F486" s="536"/>
      <c r="G486" s="536"/>
      <c r="H486" s="383"/>
      <c r="I486" s="383"/>
      <c r="J486" s="383"/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 s="383"/>
      <c r="V486" s="383"/>
      <c r="W486" s="383"/>
      <c r="X486" s="383"/>
      <c r="Y486" s="383"/>
      <c r="Z486" s="383"/>
      <c r="AA486" s="383"/>
      <c r="AB486" s="383"/>
    </row>
    <row r="487" ht="18.0" customHeight="1">
      <c r="A487" s="383"/>
      <c r="B487" s="383"/>
      <c r="C487" s="383"/>
      <c r="D487" s="383"/>
      <c r="E487" s="383"/>
      <c r="F487" s="536"/>
      <c r="G487" s="536"/>
      <c r="H487" s="383"/>
      <c r="I487" s="383"/>
      <c r="J487" s="383"/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 s="383"/>
      <c r="V487" s="383"/>
      <c r="W487" s="383"/>
      <c r="X487" s="383"/>
      <c r="Y487" s="383"/>
      <c r="Z487" s="383"/>
      <c r="AA487" s="383"/>
      <c r="AB487" s="383"/>
    </row>
    <row r="488" ht="18.0" customHeight="1">
      <c r="A488" s="383"/>
      <c r="B488" s="383"/>
      <c r="C488" s="383"/>
      <c r="D488" s="383"/>
      <c r="E488" s="383"/>
      <c r="F488" s="536"/>
      <c r="G488" s="536"/>
      <c r="H488" s="383"/>
      <c r="I488" s="383"/>
      <c r="J488" s="383"/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 s="383"/>
      <c r="V488" s="383"/>
      <c r="W488" s="383"/>
      <c r="X488" s="383"/>
      <c r="Y488" s="383"/>
      <c r="Z488" s="383"/>
      <c r="AA488" s="383"/>
      <c r="AB488" s="383"/>
    </row>
    <row r="489" ht="18.0" customHeight="1">
      <c r="A489" s="383"/>
      <c r="B489" s="383"/>
      <c r="C489" s="383"/>
      <c r="D489" s="383"/>
      <c r="E489" s="383"/>
      <c r="F489" s="536"/>
      <c r="G489" s="536"/>
      <c r="H489" s="383"/>
      <c r="I489" s="383"/>
      <c r="J489" s="383"/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 s="383"/>
      <c r="V489" s="383"/>
      <c r="W489" s="383"/>
      <c r="X489" s="383"/>
      <c r="Y489" s="383"/>
      <c r="Z489" s="383"/>
      <c r="AA489" s="383"/>
      <c r="AB489" s="383"/>
    </row>
    <row r="490" ht="18.0" customHeight="1">
      <c r="A490" s="383"/>
      <c r="B490" s="383"/>
      <c r="C490" s="383"/>
      <c r="D490" s="383"/>
      <c r="E490" s="383"/>
      <c r="F490" s="536"/>
      <c r="G490" s="536"/>
      <c r="H490" s="383"/>
      <c r="I490" s="383"/>
      <c r="J490" s="383"/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 s="383"/>
      <c r="V490" s="383"/>
      <c r="W490" s="383"/>
      <c r="X490" s="383"/>
      <c r="Y490" s="383"/>
      <c r="Z490" s="383"/>
      <c r="AA490" s="383"/>
      <c r="AB490" s="383"/>
    </row>
    <row r="491" ht="18.0" customHeight="1">
      <c r="A491" s="383"/>
      <c r="B491" s="383"/>
      <c r="C491" s="383"/>
      <c r="D491" s="383"/>
      <c r="E491" s="383"/>
      <c r="F491" s="536"/>
      <c r="G491" s="536"/>
      <c r="H491" s="383"/>
      <c r="I491" s="383"/>
      <c r="J491" s="383"/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 s="383"/>
      <c r="V491" s="383"/>
      <c r="W491" s="383"/>
      <c r="X491" s="383"/>
      <c r="Y491" s="383"/>
      <c r="Z491" s="383"/>
      <c r="AA491" s="383"/>
      <c r="AB491" s="383"/>
    </row>
    <row r="492" ht="18.0" customHeight="1">
      <c r="A492" s="383"/>
      <c r="B492" s="383"/>
      <c r="C492" s="383"/>
      <c r="D492" s="383"/>
      <c r="E492" s="383"/>
      <c r="F492" s="536"/>
      <c r="G492" s="536"/>
      <c r="H492" s="383"/>
      <c r="I492" s="383"/>
      <c r="J492" s="383"/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 s="383"/>
      <c r="V492" s="383"/>
      <c r="W492" s="383"/>
      <c r="X492" s="383"/>
      <c r="Y492" s="383"/>
      <c r="Z492" s="383"/>
      <c r="AA492" s="383"/>
      <c r="AB492" s="383"/>
    </row>
    <row r="493" ht="18.0" customHeight="1">
      <c r="A493" s="383"/>
      <c r="B493" s="383"/>
      <c r="C493" s="383"/>
      <c r="D493" s="383"/>
      <c r="E493" s="383"/>
      <c r="F493" s="536"/>
      <c r="G493" s="536"/>
      <c r="H493" s="383"/>
      <c r="I493" s="383"/>
      <c r="J493" s="383"/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 s="383"/>
      <c r="V493" s="383"/>
      <c r="W493" s="383"/>
      <c r="X493" s="383"/>
      <c r="Y493" s="383"/>
      <c r="Z493" s="383"/>
      <c r="AA493" s="383"/>
      <c r="AB493" s="383"/>
    </row>
    <row r="494" ht="18.0" customHeight="1">
      <c r="A494" s="383"/>
      <c r="B494" s="383"/>
      <c r="C494" s="383"/>
      <c r="D494" s="383"/>
      <c r="E494" s="383"/>
      <c r="F494" s="536"/>
      <c r="G494" s="536"/>
      <c r="H494" s="383"/>
      <c r="I494" s="383"/>
      <c r="J494" s="383"/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 s="383"/>
      <c r="V494" s="383"/>
      <c r="W494" s="383"/>
      <c r="X494" s="383"/>
      <c r="Y494" s="383"/>
      <c r="Z494" s="383"/>
      <c r="AA494" s="383"/>
      <c r="AB494" s="383"/>
    </row>
    <row r="495" ht="18.0" customHeight="1">
      <c r="A495" s="383"/>
      <c r="B495" s="383"/>
      <c r="C495" s="383"/>
      <c r="D495" s="383"/>
      <c r="E495" s="383"/>
      <c r="F495" s="536"/>
      <c r="G495" s="536"/>
      <c r="H495" s="383"/>
      <c r="I495" s="383"/>
      <c r="J495" s="383"/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 s="383"/>
      <c r="V495" s="383"/>
      <c r="W495" s="383"/>
      <c r="X495" s="383"/>
      <c r="Y495" s="383"/>
      <c r="Z495" s="383"/>
      <c r="AA495" s="383"/>
      <c r="AB495" s="383"/>
    </row>
    <row r="496" ht="18.0" customHeight="1">
      <c r="A496" s="383"/>
      <c r="B496" s="383"/>
      <c r="C496" s="383"/>
      <c r="D496" s="383"/>
      <c r="E496" s="383"/>
      <c r="F496" s="536"/>
      <c r="G496" s="536"/>
      <c r="H496" s="383"/>
      <c r="I496" s="383"/>
      <c r="J496" s="383"/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 s="383"/>
      <c r="V496" s="383"/>
      <c r="W496" s="383"/>
      <c r="X496" s="383"/>
      <c r="Y496" s="383"/>
      <c r="Z496" s="383"/>
      <c r="AA496" s="383"/>
      <c r="AB496" s="383"/>
    </row>
    <row r="497" ht="18.0" customHeight="1">
      <c r="A497" s="383"/>
      <c r="B497" s="383"/>
      <c r="C497" s="383"/>
      <c r="D497" s="383"/>
      <c r="E497" s="383"/>
      <c r="F497" s="536"/>
      <c r="G497" s="536"/>
      <c r="H497" s="383"/>
      <c r="I497" s="383"/>
      <c r="J497" s="383"/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 s="383"/>
      <c r="V497" s="383"/>
      <c r="W497" s="383"/>
      <c r="X497" s="383"/>
      <c r="Y497" s="383"/>
      <c r="Z497" s="383"/>
      <c r="AA497" s="383"/>
      <c r="AB497" s="383"/>
    </row>
    <row r="498" ht="18.0" customHeight="1">
      <c r="A498" s="383"/>
      <c r="B498" s="383"/>
      <c r="C498" s="383"/>
      <c r="D498" s="383"/>
      <c r="E498" s="383"/>
      <c r="F498" s="536"/>
      <c r="G498" s="536"/>
      <c r="H498" s="383"/>
      <c r="I498" s="383"/>
      <c r="J498" s="383"/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 s="383"/>
      <c r="V498" s="383"/>
      <c r="W498" s="383"/>
      <c r="X498" s="383"/>
      <c r="Y498" s="383"/>
      <c r="Z498" s="383"/>
      <c r="AA498" s="383"/>
      <c r="AB498" s="383"/>
    </row>
    <row r="499" ht="18.0" customHeight="1">
      <c r="A499" s="383"/>
      <c r="B499" s="383"/>
      <c r="C499" s="383"/>
      <c r="D499" s="383"/>
      <c r="E499" s="383"/>
      <c r="F499" s="536"/>
      <c r="G499" s="536"/>
      <c r="H499" s="383"/>
      <c r="I499" s="383"/>
      <c r="J499" s="383"/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 s="383"/>
      <c r="V499" s="383"/>
      <c r="W499" s="383"/>
      <c r="X499" s="383"/>
      <c r="Y499" s="383"/>
      <c r="Z499" s="383"/>
      <c r="AA499" s="383"/>
      <c r="AB499" s="383"/>
    </row>
    <row r="500" ht="18.0" customHeight="1">
      <c r="A500" s="383"/>
      <c r="B500" s="383"/>
      <c r="C500" s="383"/>
      <c r="D500" s="383"/>
      <c r="E500" s="383"/>
      <c r="F500" s="536"/>
      <c r="G500" s="536"/>
      <c r="H500" s="383"/>
      <c r="I500" s="383"/>
      <c r="J500" s="383"/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 s="383"/>
      <c r="V500" s="383"/>
      <c r="W500" s="383"/>
      <c r="X500" s="383"/>
      <c r="Y500" s="383"/>
      <c r="Z500" s="383"/>
      <c r="AA500" s="383"/>
      <c r="AB500" s="383"/>
    </row>
    <row r="501" ht="18.0" customHeight="1">
      <c r="A501" s="383"/>
      <c r="B501" s="383"/>
      <c r="C501" s="383"/>
      <c r="D501" s="383"/>
      <c r="E501" s="383"/>
      <c r="F501" s="536"/>
      <c r="G501" s="536"/>
      <c r="H501" s="383"/>
      <c r="I501" s="383"/>
      <c r="J501" s="383"/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 s="383"/>
      <c r="V501" s="383"/>
      <c r="W501" s="383"/>
      <c r="X501" s="383"/>
      <c r="Y501" s="383"/>
      <c r="Z501" s="383"/>
      <c r="AA501" s="383"/>
      <c r="AB501" s="383"/>
    </row>
    <row r="502" ht="18.0" customHeight="1">
      <c r="A502" s="383"/>
      <c r="B502" s="383"/>
      <c r="C502" s="383"/>
      <c r="D502" s="383"/>
      <c r="E502" s="383"/>
      <c r="F502" s="536"/>
      <c r="G502" s="536"/>
      <c r="H502" s="383"/>
      <c r="I502" s="383"/>
      <c r="J502" s="383"/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 s="383"/>
      <c r="V502" s="383"/>
      <c r="W502" s="383"/>
      <c r="X502" s="383"/>
      <c r="Y502" s="383"/>
      <c r="Z502" s="383"/>
      <c r="AA502" s="383"/>
      <c r="AB502" s="383"/>
    </row>
    <row r="503" ht="18.0" customHeight="1">
      <c r="A503" s="383"/>
      <c r="B503" s="383"/>
      <c r="C503" s="383"/>
      <c r="D503" s="383"/>
      <c r="E503" s="383"/>
      <c r="F503" s="536"/>
      <c r="G503" s="536"/>
      <c r="H503" s="383"/>
      <c r="I503" s="383"/>
      <c r="J503" s="383"/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 s="383"/>
      <c r="V503" s="383"/>
      <c r="W503" s="383"/>
      <c r="X503" s="383"/>
      <c r="Y503" s="383"/>
      <c r="Z503" s="383"/>
      <c r="AA503" s="383"/>
      <c r="AB503" s="383"/>
    </row>
    <row r="504" ht="18.0" customHeight="1">
      <c r="A504" s="383"/>
      <c r="B504" s="383"/>
      <c r="C504" s="383"/>
      <c r="D504" s="383"/>
      <c r="E504" s="383"/>
      <c r="F504" s="536"/>
      <c r="G504" s="536"/>
      <c r="H504" s="383"/>
      <c r="I504" s="383"/>
      <c r="J504" s="383"/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 s="383"/>
      <c r="V504" s="383"/>
      <c r="W504" s="383"/>
      <c r="X504" s="383"/>
      <c r="Y504" s="383"/>
      <c r="Z504" s="383"/>
      <c r="AA504" s="383"/>
      <c r="AB504" s="383"/>
    </row>
    <row r="505" ht="18.0" customHeight="1">
      <c r="A505" s="383"/>
      <c r="B505" s="383"/>
      <c r="C505" s="383"/>
      <c r="D505" s="383"/>
      <c r="E505" s="383"/>
      <c r="F505" s="536"/>
      <c r="G505" s="536"/>
      <c r="H505" s="383"/>
      <c r="I505" s="383"/>
      <c r="J505" s="383"/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 s="383"/>
      <c r="V505" s="383"/>
      <c r="W505" s="383"/>
      <c r="X505" s="383"/>
      <c r="Y505" s="383"/>
      <c r="Z505" s="383"/>
      <c r="AA505" s="383"/>
      <c r="AB505" s="383"/>
    </row>
    <row r="506" ht="18.0" customHeight="1">
      <c r="A506" s="383"/>
      <c r="B506" s="383"/>
      <c r="C506" s="383"/>
      <c r="D506" s="383"/>
      <c r="E506" s="383"/>
      <c r="F506" s="536"/>
      <c r="G506" s="536"/>
      <c r="H506" s="383"/>
      <c r="I506" s="383"/>
      <c r="J506" s="383"/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 s="383"/>
      <c r="V506" s="383"/>
      <c r="W506" s="383"/>
      <c r="X506" s="383"/>
      <c r="Y506" s="383"/>
      <c r="Z506" s="383"/>
      <c r="AA506" s="383"/>
      <c r="AB506" s="383"/>
    </row>
    <row r="507" ht="18.0" customHeight="1">
      <c r="A507" s="383"/>
      <c r="B507" s="383"/>
      <c r="C507" s="383"/>
      <c r="D507" s="383"/>
      <c r="E507" s="383"/>
      <c r="F507" s="536"/>
      <c r="G507" s="536"/>
      <c r="H507" s="383"/>
      <c r="I507" s="383"/>
      <c r="J507" s="383"/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  <c r="U507" s="383"/>
      <c r="V507" s="383"/>
      <c r="W507" s="383"/>
      <c r="X507" s="383"/>
      <c r="Y507" s="383"/>
      <c r="Z507" s="383"/>
      <c r="AA507" s="383"/>
      <c r="AB507" s="383"/>
    </row>
    <row r="508" ht="18.0" customHeight="1">
      <c r="A508" s="383"/>
      <c r="B508" s="383"/>
      <c r="C508" s="383"/>
      <c r="D508" s="383"/>
      <c r="E508" s="383"/>
      <c r="F508" s="536"/>
      <c r="G508" s="536"/>
      <c r="H508" s="383"/>
      <c r="I508" s="383"/>
      <c r="J508" s="383"/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  <c r="U508" s="383"/>
      <c r="V508" s="383"/>
      <c r="W508" s="383"/>
      <c r="X508" s="383"/>
      <c r="Y508" s="383"/>
      <c r="Z508" s="383"/>
      <c r="AA508" s="383"/>
      <c r="AB508" s="383"/>
    </row>
    <row r="509" ht="18.0" customHeight="1">
      <c r="A509" s="383"/>
      <c r="B509" s="383"/>
      <c r="C509" s="383"/>
      <c r="D509" s="383"/>
      <c r="E509" s="383"/>
      <c r="F509" s="536"/>
      <c r="G509" s="536"/>
      <c r="H509" s="383"/>
      <c r="I509" s="383"/>
      <c r="J509" s="383"/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 s="383"/>
      <c r="V509" s="383"/>
      <c r="W509" s="383"/>
      <c r="X509" s="383"/>
      <c r="Y509" s="383"/>
      <c r="Z509" s="383"/>
      <c r="AA509" s="383"/>
      <c r="AB509" s="383"/>
    </row>
    <row r="510" ht="18.0" customHeight="1">
      <c r="A510" s="383"/>
      <c r="B510" s="383"/>
      <c r="C510" s="383"/>
      <c r="D510" s="383"/>
      <c r="E510" s="383"/>
      <c r="F510" s="536"/>
      <c r="G510" s="536"/>
      <c r="H510" s="383"/>
      <c r="I510" s="383"/>
      <c r="J510" s="383"/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 s="383"/>
      <c r="V510" s="383"/>
      <c r="W510" s="383"/>
      <c r="X510" s="383"/>
      <c r="Y510" s="383"/>
      <c r="Z510" s="383"/>
      <c r="AA510" s="383"/>
      <c r="AB510" s="383"/>
    </row>
    <row r="511" ht="18.0" customHeight="1">
      <c r="A511" s="383"/>
      <c r="B511" s="383"/>
      <c r="C511" s="383"/>
      <c r="D511" s="383"/>
      <c r="E511" s="383"/>
      <c r="F511" s="536"/>
      <c r="G511" s="536"/>
      <c r="H511" s="383"/>
      <c r="I511" s="383"/>
      <c r="J511" s="383"/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 s="383"/>
      <c r="V511" s="383"/>
      <c r="W511" s="383"/>
      <c r="X511" s="383"/>
      <c r="Y511" s="383"/>
      <c r="Z511" s="383"/>
      <c r="AA511" s="383"/>
      <c r="AB511" s="383"/>
    </row>
    <row r="512" ht="18.0" customHeight="1">
      <c r="A512" s="383"/>
      <c r="B512" s="383"/>
      <c r="C512" s="383"/>
      <c r="D512" s="383"/>
      <c r="E512" s="383"/>
      <c r="F512" s="536"/>
      <c r="G512" s="536"/>
      <c r="H512" s="383"/>
      <c r="I512" s="383"/>
      <c r="J512" s="383"/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 s="383"/>
      <c r="V512" s="383"/>
      <c r="W512" s="383"/>
      <c r="X512" s="383"/>
      <c r="Y512" s="383"/>
      <c r="Z512" s="383"/>
      <c r="AA512" s="383"/>
      <c r="AB512" s="383"/>
    </row>
    <row r="513" ht="18.0" customHeight="1">
      <c r="A513" s="383"/>
      <c r="B513" s="383"/>
      <c r="C513" s="383"/>
      <c r="D513" s="383"/>
      <c r="E513" s="383"/>
      <c r="F513" s="536"/>
      <c r="G513" s="536"/>
      <c r="H513" s="383"/>
      <c r="I513" s="383"/>
      <c r="J513" s="383"/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 s="383"/>
      <c r="V513" s="383"/>
      <c r="W513" s="383"/>
      <c r="X513" s="383"/>
      <c r="Y513" s="383"/>
      <c r="Z513" s="383"/>
      <c r="AA513" s="383"/>
      <c r="AB513" s="383"/>
    </row>
    <row r="514" ht="18.0" customHeight="1">
      <c r="A514" s="383"/>
      <c r="B514" s="383"/>
      <c r="C514" s="383"/>
      <c r="D514" s="383"/>
      <c r="E514" s="383"/>
      <c r="F514" s="536"/>
      <c r="G514" s="536"/>
      <c r="H514" s="383"/>
      <c r="I514" s="383"/>
      <c r="J514" s="383"/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 s="383"/>
      <c r="V514" s="383"/>
      <c r="W514" s="383"/>
      <c r="X514" s="383"/>
      <c r="Y514" s="383"/>
      <c r="Z514" s="383"/>
      <c r="AA514" s="383"/>
      <c r="AB514" s="383"/>
    </row>
    <row r="515" ht="18.0" customHeight="1">
      <c r="A515" s="383"/>
      <c r="B515" s="383"/>
      <c r="C515" s="383"/>
      <c r="D515" s="383"/>
      <c r="E515" s="383"/>
      <c r="F515" s="536"/>
      <c r="G515" s="536"/>
      <c r="H515" s="383"/>
      <c r="I515" s="383"/>
      <c r="J515" s="383"/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 s="383"/>
      <c r="V515" s="383"/>
      <c r="W515" s="383"/>
      <c r="X515" s="383"/>
      <c r="Y515" s="383"/>
      <c r="Z515" s="383"/>
      <c r="AA515" s="383"/>
      <c r="AB515" s="383"/>
    </row>
    <row r="516" ht="18.0" customHeight="1">
      <c r="A516" s="383"/>
      <c r="B516" s="383"/>
      <c r="C516" s="383"/>
      <c r="D516" s="383"/>
      <c r="E516" s="383"/>
      <c r="F516" s="536"/>
      <c r="G516" s="536"/>
      <c r="H516" s="383"/>
      <c r="I516" s="383"/>
      <c r="J516" s="383"/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 s="383"/>
      <c r="V516" s="383"/>
      <c r="W516" s="383"/>
      <c r="X516" s="383"/>
      <c r="Y516" s="383"/>
      <c r="Z516" s="383"/>
      <c r="AA516" s="383"/>
      <c r="AB516" s="383"/>
    </row>
    <row r="517" ht="18.0" customHeight="1">
      <c r="A517" s="383"/>
      <c r="B517" s="383"/>
      <c r="C517" s="383"/>
      <c r="D517" s="383"/>
      <c r="E517" s="383"/>
      <c r="F517" s="536"/>
      <c r="G517" s="536"/>
      <c r="H517" s="383"/>
      <c r="I517" s="383"/>
      <c r="J517" s="383"/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 s="383"/>
      <c r="V517" s="383"/>
      <c r="W517" s="383"/>
      <c r="X517" s="383"/>
      <c r="Y517" s="383"/>
      <c r="Z517" s="383"/>
      <c r="AA517" s="383"/>
      <c r="AB517" s="383"/>
    </row>
    <row r="518" ht="18.0" customHeight="1">
      <c r="A518" s="383"/>
      <c r="B518" s="383"/>
      <c r="C518" s="383"/>
      <c r="D518" s="383"/>
      <c r="E518" s="383"/>
      <c r="F518" s="536"/>
      <c r="G518" s="536"/>
      <c r="H518" s="383"/>
      <c r="I518" s="383"/>
      <c r="J518" s="383"/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 s="383"/>
      <c r="V518" s="383"/>
      <c r="W518" s="383"/>
      <c r="X518" s="383"/>
      <c r="Y518" s="383"/>
      <c r="Z518" s="383"/>
      <c r="AA518" s="383"/>
      <c r="AB518" s="383"/>
    </row>
    <row r="519" ht="18.0" customHeight="1">
      <c r="A519" s="383"/>
      <c r="B519" s="383"/>
      <c r="C519" s="383"/>
      <c r="D519" s="383"/>
      <c r="E519" s="383"/>
      <c r="F519" s="536"/>
      <c r="G519" s="536"/>
      <c r="H519" s="383"/>
      <c r="I519" s="383"/>
      <c r="J519" s="383"/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 s="383"/>
      <c r="V519" s="383"/>
      <c r="W519" s="383"/>
      <c r="X519" s="383"/>
      <c r="Y519" s="383"/>
      <c r="Z519" s="383"/>
      <c r="AA519" s="383"/>
      <c r="AB519" s="383"/>
    </row>
    <row r="520" ht="18.0" customHeight="1">
      <c r="A520" s="383"/>
      <c r="B520" s="383"/>
      <c r="C520" s="383"/>
      <c r="D520" s="383"/>
      <c r="E520" s="383"/>
      <c r="F520" s="536"/>
      <c r="G520" s="536"/>
      <c r="H520" s="383"/>
      <c r="I520" s="383"/>
      <c r="J520" s="383"/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 s="383"/>
      <c r="V520" s="383"/>
      <c r="W520" s="383"/>
      <c r="X520" s="383"/>
      <c r="Y520" s="383"/>
      <c r="Z520" s="383"/>
      <c r="AA520" s="383"/>
      <c r="AB520" s="383"/>
    </row>
    <row r="521" ht="18.0" customHeight="1">
      <c r="A521" s="383"/>
      <c r="B521" s="383"/>
      <c r="C521" s="383"/>
      <c r="D521" s="383"/>
      <c r="E521" s="383"/>
      <c r="F521" s="536"/>
      <c r="G521" s="536"/>
      <c r="H521" s="383"/>
      <c r="I521" s="383"/>
      <c r="J521" s="383"/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 s="383"/>
      <c r="V521" s="383"/>
      <c r="W521" s="383"/>
      <c r="X521" s="383"/>
      <c r="Y521" s="383"/>
      <c r="Z521" s="383"/>
      <c r="AA521" s="383"/>
      <c r="AB521" s="383"/>
    </row>
    <row r="522" ht="18.0" customHeight="1">
      <c r="A522" s="383"/>
      <c r="B522" s="383"/>
      <c r="C522" s="383"/>
      <c r="D522" s="383"/>
      <c r="E522" s="383"/>
      <c r="F522" s="536"/>
      <c r="G522" s="536"/>
      <c r="H522" s="383"/>
      <c r="I522" s="383"/>
      <c r="J522" s="383"/>
      <c r="K522" s="383"/>
      <c r="L522" s="383"/>
      <c r="M522" s="383"/>
      <c r="N522" s="383"/>
      <c r="O522" s="383"/>
      <c r="P522" s="383"/>
      <c r="Q522" s="383"/>
      <c r="R522" s="383"/>
      <c r="S522" s="383"/>
      <c r="T522" s="383"/>
      <c r="U522" s="383"/>
      <c r="V522" s="383"/>
      <c r="W522" s="383"/>
      <c r="X522" s="383"/>
      <c r="Y522" s="383"/>
      <c r="Z522" s="383"/>
      <c r="AA522" s="383"/>
      <c r="AB522" s="383"/>
    </row>
    <row r="523" ht="18.0" customHeight="1">
      <c r="A523" s="383"/>
      <c r="B523" s="383"/>
      <c r="C523" s="383"/>
      <c r="D523" s="383"/>
      <c r="E523" s="383"/>
      <c r="F523" s="536"/>
      <c r="G523" s="536"/>
      <c r="H523" s="383"/>
      <c r="I523" s="383"/>
      <c r="J523" s="383"/>
      <c r="K523" s="383"/>
      <c r="L523" s="383"/>
      <c r="M523" s="383"/>
      <c r="N523" s="383"/>
      <c r="O523" s="383"/>
      <c r="P523" s="383"/>
      <c r="Q523" s="383"/>
      <c r="R523" s="383"/>
      <c r="S523" s="383"/>
      <c r="T523" s="383"/>
      <c r="U523" s="383"/>
      <c r="V523" s="383"/>
      <c r="W523" s="383"/>
      <c r="X523" s="383"/>
      <c r="Y523" s="383"/>
      <c r="Z523" s="383"/>
      <c r="AA523" s="383"/>
      <c r="AB523" s="383"/>
    </row>
    <row r="524" ht="18.0" customHeight="1">
      <c r="A524" s="383"/>
      <c r="B524" s="383"/>
      <c r="C524" s="383"/>
      <c r="D524" s="383"/>
      <c r="E524" s="383"/>
      <c r="F524" s="536"/>
      <c r="G524" s="536"/>
      <c r="H524" s="383"/>
      <c r="I524" s="383"/>
      <c r="J524" s="383"/>
      <c r="K524" s="383"/>
      <c r="L524" s="383"/>
      <c r="M524" s="383"/>
      <c r="N524" s="383"/>
      <c r="O524" s="383"/>
      <c r="P524" s="383"/>
      <c r="Q524" s="383"/>
      <c r="R524" s="383"/>
      <c r="S524" s="383"/>
      <c r="T524" s="383"/>
      <c r="U524" s="383"/>
      <c r="V524" s="383"/>
      <c r="W524" s="383"/>
      <c r="X524" s="383"/>
      <c r="Y524" s="383"/>
      <c r="Z524" s="383"/>
      <c r="AA524" s="383"/>
      <c r="AB524" s="383"/>
    </row>
    <row r="525" ht="18.0" customHeight="1">
      <c r="A525" s="383"/>
      <c r="B525" s="383"/>
      <c r="C525" s="383"/>
      <c r="D525" s="383"/>
      <c r="E525" s="383"/>
      <c r="F525" s="536"/>
      <c r="G525" s="536"/>
      <c r="H525" s="383"/>
      <c r="I525" s="383"/>
      <c r="J525" s="383"/>
      <c r="K525" s="383"/>
      <c r="L525" s="383"/>
      <c r="M525" s="383"/>
      <c r="N525" s="383"/>
      <c r="O525" s="383"/>
      <c r="P525" s="383"/>
      <c r="Q525" s="383"/>
      <c r="R525" s="383"/>
      <c r="S525" s="383"/>
      <c r="T525" s="383"/>
      <c r="U525" s="383"/>
      <c r="V525" s="383"/>
      <c r="W525" s="383"/>
      <c r="X525" s="383"/>
      <c r="Y525" s="383"/>
      <c r="Z525" s="383"/>
      <c r="AA525" s="383"/>
      <c r="AB525" s="383"/>
    </row>
    <row r="526" ht="18.0" customHeight="1">
      <c r="A526" s="383"/>
      <c r="B526" s="383"/>
      <c r="C526" s="383"/>
      <c r="D526" s="383"/>
      <c r="E526" s="383"/>
      <c r="F526" s="536"/>
      <c r="G526" s="536"/>
      <c r="H526" s="383"/>
      <c r="I526" s="383"/>
      <c r="J526" s="383"/>
      <c r="K526" s="383"/>
      <c r="L526" s="383"/>
      <c r="M526" s="383"/>
      <c r="N526" s="383"/>
      <c r="O526" s="383"/>
      <c r="P526" s="383"/>
      <c r="Q526" s="383"/>
      <c r="R526" s="383"/>
      <c r="S526" s="383"/>
      <c r="T526" s="383"/>
      <c r="U526" s="383"/>
      <c r="V526" s="383"/>
      <c r="W526" s="383"/>
      <c r="X526" s="383"/>
      <c r="Y526" s="383"/>
      <c r="Z526" s="383"/>
      <c r="AA526" s="383"/>
      <c r="AB526" s="383"/>
    </row>
    <row r="527" ht="18.0" customHeight="1">
      <c r="A527" s="383"/>
      <c r="B527" s="383"/>
      <c r="C527" s="383"/>
      <c r="D527" s="383"/>
      <c r="E527" s="383"/>
      <c r="F527" s="536"/>
      <c r="G527" s="536"/>
      <c r="H527" s="383"/>
      <c r="I527" s="383"/>
      <c r="J527" s="383"/>
      <c r="K527" s="383"/>
      <c r="L527" s="383"/>
      <c r="M527" s="383"/>
      <c r="N527" s="383"/>
      <c r="O527" s="383"/>
      <c r="P527" s="383"/>
      <c r="Q527" s="383"/>
      <c r="R527" s="383"/>
      <c r="S527" s="383"/>
      <c r="T527" s="383"/>
      <c r="U527" s="383"/>
      <c r="V527" s="383"/>
      <c r="W527" s="383"/>
      <c r="X527" s="383"/>
      <c r="Y527" s="383"/>
      <c r="Z527" s="383"/>
      <c r="AA527" s="383"/>
      <c r="AB527" s="383"/>
    </row>
    <row r="528" ht="18.0" customHeight="1">
      <c r="A528" s="383"/>
      <c r="B528" s="383"/>
      <c r="C528" s="383"/>
      <c r="D528" s="383"/>
      <c r="E528" s="383"/>
      <c r="F528" s="536"/>
      <c r="G528" s="536"/>
      <c r="H528" s="383"/>
      <c r="I528" s="383"/>
      <c r="J528" s="383"/>
      <c r="K528" s="383"/>
      <c r="L528" s="383"/>
      <c r="M528" s="383"/>
      <c r="N528" s="383"/>
      <c r="O528" s="383"/>
      <c r="P528" s="383"/>
      <c r="Q528" s="383"/>
      <c r="R528" s="383"/>
      <c r="S528" s="383"/>
      <c r="T528" s="383"/>
      <c r="U528" s="383"/>
      <c r="V528" s="383"/>
      <c r="W528" s="383"/>
      <c r="X528" s="383"/>
      <c r="Y528" s="383"/>
      <c r="Z528" s="383"/>
      <c r="AA528" s="383"/>
      <c r="AB528" s="383"/>
    </row>
    <row r="529" ht="18.0" customHeight="1">
      <c r="A529" s="383"/>
      <c r="B529" s="383"/>
      <c r="C529" s="383"/>
      <c r="D529" s="383"/>
      <c r="E529" s="383"/>
      <c r="F529" s="536"/>
      <c r="G529" s="536"/>
      <c r="H529" s="383"/>
      <c r="I529" s="383"/>
      <c r="J529" s="383"/>
      <c r="K529" s="383"/>
      <c r="L529" s="383"/>
      <c r="M529" s="383"/>
      <c r="N529" s="383"/>
      <c r="O529" s="383"/>
      <c r="P529" s="383"/>
      <c r="Q529" s="383"/>
      <c r="R529" s="383"/>
      <c r="S529" s="383"/>
      <c r="T529" s="383"/>
      <c r="U529" s="383"/>
      <c r="V529" s="383"/>
      <c r="W529" s="383"/>
      <c r="X529" s="383"/>
      <c r="Y529" s="383"/>
      <c r="Z529" s="383"/>
      <c r="AA529" s="383"/>
      <c r="AB529" s="383"/>
    </row>
    <row r="530" ht="18.0" customHeight="1">
      <c r="A530" s="383"/>
      <c r="B530" s="383"/>
      <c r="C530" s="383"/>
      <c r="D530" s="383"/>
      <c r="E530" s="383"/>
      <c r="F530" s="536"/>
      <c r="G530" s="536"/>
      <c r="H530" s="383"/>
      <c r="I530" s="383"/>
      <c r="J530" s="383"/>
      <c r="K530" s="383"/>
      <c r="L530" s="383"/>
      <c r="M530" s="383"/>
      <c r="N530" s="383"/>
      <c r="O530" s="383"/>
      <c r="P530" s="383"/>
      <c r="Q530" s="383"/>
      <c r="R530" s="383"/>
      <c r="S530" s="383"/>
      <c r="T530" s="383"/>
      <c r="U530" s="383"/>
      <c r="V530" s="383"/>
      <c r="W530" s="383"/>
      <c r="X530" s="383"/>
      <c r="Y530" s="383"/>
      <c r="Z530" s="383"/>
      <c r="AA530" s="383"/>
      <c r="AB530" s="383"/>
    </row>
    <row r="531" ht="18.0" customHeight="1">
      <c r="A531" s="383"/>
      <c r="B531" s="383"/>
      <c r="C531" s="383"/>
      <c r="D531" s="383"/>
      <c r="E531" s="383"/>
      <c r="F531" s="536"/>
      <c r="G531" s="536"/>
      <c r="H531" s="383"/>
      <c r="I531" s="383"/>
      <c r="J531" s="383"/>
      <c r="K531" s="383"/>
      <c r="L531" s="383"/>
      <c r="M531" s="383"/>
      <c r="N531" s="383"/>
      <c r="O531" s="383"/>
      <c r="P531" s="383"/>
      <c r="Q531" s="383"/>
      <c r="R531" s="383"/>
      <c r="S531" s="383"/>
      <c r="T531" s="383"/>
      <c r="U531" s="383"/>
      <c r="V531" s="383"/>
      <c r="W531" s="383"/>
      <c r="X531" s="383"/>
      <c r="Y531" s="383"/>
      <c r="Z531" s="383"/>
      <c r="AA531" s="383"/>
      <c r="AB531" s="383"/>
    </row>
    <row r="532" ht="18.0" customHeight="1">
      <c r="A532" s="383"/>
      <c r="B532" s="383"/>
      <c r="C532" s="383"/>
      <c r="D532" s="383"/>
      <c r="E532" s="383"/>
      <c r="F532" s="536"/>
      <c r="G532" s="536"/>
      <c r="H532" s="383"/>
      <c r="I532" s="383"/>
      <c r="J532" s="383"/>
      <c r="K532" s="383"/>
      <c r="L532" s="383"/>
      <c r="M532" s="383"/>
      <c r="N532" s="383"/>
      <c r="O532" s="383"/>
      <c r="P532" s="383"/>
      <c r="Q532" s="383"/>
      <c r="R532" s="383"/>
      <c r="S532" s="383"/>
      <c r="T532" s="383"/>
      <c r="U532" s="383"/>
      <c r="V532" s="383"/>
      <c r="W532" s="383"/>
      <c r="X532" s="383"/>
      <c r="Y532" s="383"/>
      <c r="Z532" s="383"/>
      <c r="AA532" s="383"/>
      <c r="AB532" s="383"/>
    </row>
    <row r="533" ht="18.0" customHeight="1">
      <c r="A533" s="383"/>
      <c r="B533" s="383"/>
      <c r="C533" s="383"/>
      <c r="D533" s="383"/>
      <c r="E533" s="383"/>
      <c r="F533" s="536"/>
      <c r="G533" s="536"/>
      <c r="H533" s="383"/>
      <c r="I533" s="383"/>
      <c r="J533" s="383"/>
      <c r="K533" s="383"/>
      <c r="L533" s="383"/>
      <c r="M533" s="383"/>
      <c r="N533" s="383"/>
      <c r="O533" s="383"/>
      <c r="P533" s="383"/>
      <c r="Q533" s="383"/>
      <c r="R533" s="383"/>
      <c r="S533" s="383"/>
      <c r="T533" s="383"/>
      <c r="U533" s="383"/>
      <c r="V533" s="383"/>
      <c r="W533" s="383"/>
      <c r="X533" s="383"/>
      <c r="Y533" s="383"/>
      <c r="Z533" s="383"/>
      <c r="AA533" s="383"/>
      <c r="AB533" s="383"/>
    </row>
    <row r="534" ht="18.0" customHeight="1">
      <c r="A534" s="383"/>
      <c r="B534" s="383"/>
      <c r="C534" s="383"/>
      <c r="D534" s="383"/>
      <c r="E534" s="383"/>
      <c r="F534" s="536"/>
      <c r="G534" s="536"/>
      <c r="H534" s="383"/>
      <c r="I534" s="383"/>
      <c r="J534" s="383"/>
      <c r="K534" s="383"/>
      <c r="L534" s="383"/>
      <c r="M534" s="383"/>
      <c r="N534" s="383"/>
      <c r="O534" s="383"/>
      <c r="P534" s="383"/>
      <c r="Q534" s="383"/>
      <c r="R534" s="383"/>
      <c r="S534" s="383"/>
      <c r="T534" s="383"/>
      <c r="U534" s="383"/>
      <c r="V534" s="383"/>
      <c r="W534" s="383"/>
      <c r="X534" s="383"/>
      <c r="Y534" s="383"/>
      <c r="Z534" s="383"/>
      <c r="AA534" s="383"/>
      <c r="AB534" s="383"/>
    </row>
    <row r="535" ht="18.0" customHeight="1">
      <c r="A535" s="383"/>
      <c r="B535" s="383"/>
      <c r="C535" s="383"/>
      <c r="D535" s="383"/>
      <c r="E535" s="383"/>
      <c r="F535" s="536"/>
      <c r="G535" s="536"/>
      <c r="H535" s="383"/>
      <c r="I535" s="383"/>
      <c r="J535" s="383"/>
      <c r="K535" s="383"/>
      <c r="L535" s="383"/>
      <c r="M535" s="383"/>
      <c r="N535" s="383"/>
      <c r="O535" s="383"/>
      <c r="P535" s="383"/>
      <c r="Q535" s="383"/>
      <c r="R535" s="383"/>
      <c r="S535" s="383"/>
      <c r="T535" s="383"/>
      <c r="U535" s="383"/>
      <c r="V535" s="383"/>
      <c r="W535" s="383"/>
      <c r="X535" s="383"/>
      <c r="Y535" s="383"/>
      <c r="Z535" s="383"/>
      <c r="AA535" s="383"/>
      <c r="AB535" s="383"/>
    </row>
    <row r="536" ht="18.0" customHeight="1">
      <c r="A536" s="383"/>
      <c r="B536" s="383"/>
      <c r="C536" s="383"/>
      <c r="D536" s="383"/>
      <c r="E536" s="383"/>
      <c r="F536" s="536"/>
      <c r="G536" s="536"/>
      <c r="H536" s="383"/>
      <c r="I536" s="383"/>
      <c r="J536" s="383"/>
      <c r="K536" s="383"/>
      <c r="L536" s="383"/>
      <c r="M536" s="383"/>
      <c r="N536" s="383"/>
      <c r="O536" s="383"/>
      <c r="P536" s="383"/>
      <c r="Q536" s="383"/>
      <c r="R536" s="383"/>
      <c r="S536" s="383"/>
      <c r="T536" s="383"/>
      <c r="U536" s="383"/>
      <c r="V536" s="383"/>
      <c r="W536" s="383"/>
      <c r="X536" s="383"/>
      <c r="Y536" s="383"/>
      <c r="Z536" s="383"/>
      <c r="AA536" s="383"/>
      <c r="AB536" s="383"/>
    </row>
    <row r="537" ht="18.0" customHeight="1">
      <c r="A537" s="383"/>
      <c r="B537" s="383"/>
      <c r="C537" s="383"/>
      <c r="D537" s="383"/>
      <c r="E537" s="383"/>
      <c r="F537" s="536"/>
      <c r="G537" s="536"/>
      <c r="H537" s="383"/>
      <c r="I537" s="383"/>
      <c r="J537" s="383"/>
      <c r="K537" s="383"/>
      <c r="L537" s="383"/>
      <c r="M537" s="383"/>
      <c r="N537" s="383"/>
      <c r="O537" s="383"/>
      <c r="P537" s="383"/>
      <c r="Q537" s="383"/>
      <c r="R537" s="383"/>
      <c r="S537" s="383"/>
      <c r="T537" s="383"/>
      <c r="U537" s="383"/>
      <c r="V537" s="383"/>
      <c r="W537" s="383"/>
      <c r="X537" s="383"/>
      <c r="Y537" s="383"/>
      <c r="Z537" s="383"/>
      <c r="AA537" s="383"/>
      <c r="AB537" s="383"/>
    </row>
    <row r="538" ht="18.0" customHeight="1">
      <c r="A538" s="383"/>
      <c r="B538" s="383"/>
      <c r="C538" s="383"/>
      <c r="D538" s="383"/>
      <c r="E538" s="383"/>
      <c r="F538" s="536"/>
      <c r="G538" s="536"/>
      <c r="H538" s="383"/>
      <c r="I538" s="383"/>
      <c r="J538" s="383"/>
      <c r="K538" s="383"/>
      <c r="L538" s="383"/>
      <c r="M538" s="383"/>
      <c r="N538" s="383"/>
      <c r="O538" s="383"/>
      <c r="P538" s="383"/>
      <c r="Q538" s="383"/>
      <c r="R538" s="383"/>
      <c r="S538" s="383"/>
      <c r="T538" s="383"/>
      <c r="U538" s="383"/>
      <c r="V538" s="383"/>
      <c r="W538" s="383"/>
      <c r="X538" s="383"/>
      <c r="Y538" s="383"/>
      <c r="Z538" s="383"/>
      <c r="AA538" s="383"/>
      <c r="AB538" s="383"/>
    </row>
    <row r="539" ht="18.0" customHeight="1">
      <c r="A539" s="383"/>
      <c r="B539" s="383"/>
      <c r="C539" s="383"/>
      <c r="D539" s="383"/>
      <c r="E539" s="383"/>
      <c r="F539" s="536"/>
      <c r="G539" s="536"/>
      <c r="H539" s="383"/>
      <c r="I539" s="383"/>
      <c r="J539" s="383"/>
      <c r="K539" s="383"/>
      <c r="L539" s="383"/>
      <c r="M539" s="383"/>
      <c r="N539" s="383"/>
      <c r="O539" s="383"/>
      <c r="P539" s="383"/>
      <c r="Q539" s="383"/>
      <c r="R539" s="383"/>
      <c r="S539" s="383"/>
      <c r="T539" s="383"/>
      <c r="U539" s="383"/>
      <c r="V539" s="383"/>
      <c r="W539" s="383"/>
      <c r="X539" s="383"/>
      <c r="Y539" s="383"/>
      <c r="Z539" s="383"/>
      <c r="AA539" s="383"/>
      <c r="AB539" s="383"/>
    </row>
    <row r="540" ht="18.0" customHeight="1">
      <c r="A540" s="383"/>
      <c r="B540" s="383"/>
      <c r="C540" s="383"/>
      <c r="D540" s="383"/>
      <c r="E540" s="383"/>
      <c r="F540" s="536"/>
      <c r="G540" s="536"/>
      <c r="H540" s="383"/>
      <c r="I540" s="383"/>
      <c r="J540" s="383"/>
      <c r="K540" s="383"/>
      <c r="L540" s="383"/>
      <c r="M540" s="383"/>
      <c r="N540" s="383"/>
      <c r="O540" s="383"/>
      <c r="P540" s="383"/>
      <c r="Q540" s="383"/>
      <c r="R540" s="383"/>
      <c r="S540" s="383"/>
      <c r="T540" s="383"/>
      <c r="U540" s="383"/>
      <c r="V540" s="383"/>
      <c r="W540" s="383"/>
      <c r="X540" s="383"/>
      <c r="Y540" s="383"/>
      <c r="Z540" s="383"/>
      <c r="AA540" s="383"/>
      <c r="AB540" s="383"/>
    </row>
    <row r="541" ht="18.0" customHeight="1">
      <c r="A541" s="383"/>
      <c r="B541" s="383"/>
      <c r="C541" s="383"/>
      <c r="D541" s="383"/>
      <c r="E541" s="383"/>
      <c r="F541" s="536"/>
      <c r="G541" s="536"/>
      <c r="H541" s="383"/>
      <c r="I541" s="383"/>
      <c r="J541" s="383"/>
      <c r="K541" s="383"/>
      <c r="L541" s="383"/>
      <c r="M541" s="383"/>
      <c r="N541" s="383"/>
      <c r="O541" s="383"/>
      <c r="P541" s="383"/>
      <c r="Q541" s="383"/>
      <c r="R541" s="383"/>
      <c r="S541" s="383"/>
      <c r="T541" s="383"/>
      <c r="U541" s="383"/>
      <c r="V541" s="383"/>
      <c r="W541" s="383"/>
      <c r="X541" s="383"/>
      <c r="Y541" s="383"/>
      <c r="Z541" s="383"/>
      <c r="AA541" s="383"/>
      <c r="AB541" s="383"/>
    </row>
    <row r="542" ht="18.0" customHeight="1">
      <c r="A542" s="383"/>
      <c r="B542" s="383"/>
      <c r="C542" s="383"/>
      <c r="D542" s="383"/>
      <c r="E542" s="383"/>
      <c r="F542" s="536"/>
      <c r="G542" s="536"/>
      <c r="H542" s="383"/>
      <c r="I542" s="383"/>
      <c r="J542" s="383"/>
      <c r="K542" s="383"/>
      <c r="L542" s="383"/>
      <c r="M542" s="383"/>
      <c r="N542" s="383"/>
      <c r="O542" s="383"/>
      <c r="P542" s="383"/>
      <c r="Q542" s="383"/>
      <c r="R542" s="383"/>
      <c r="S542" s="383"/>
      <c r="T542" s="383"/>
      <c r="U542" s="383"/>
      <c r="V542" s="383"/>
      <c r="W542" s="383"/>
      <c r="X542" s="383"/>
      <c r="Y542" s="383"/>
      <c r="Z542" s="383"/>
      <c r="AA542" s="383"/>
      <c r="AB542" s="383"/>
    </row>
    <row r="543" ht="18.0" customHeight="1">
      <c r="A543" s="383"/>
      <c r="B543" s="383"/>
      <c r="C543" s="383"/>
      <c r="D543" s="383"/>
      <c r="E543" s="383"/>
      <c r="F543" s="536"/>
      <c r="G543" s="536"/>
      <c r="H543" s="383"/>
      <c r="I543" s="383"/>
      <c r="J543" s="383"/>
      <c r="K543" s="383"/>
      <c r="L543" s="383"/>
      <c r="M543" s="383"/>
      <c r="N543" s="383"/>
      <c r="O543" s="383"/>
      <c r="P543" s="383"/>
      <c r="Q543" s="383"/>
      <c r="R543" s="383"/>
      <c r="S543" s="383"/>
      <c r="T543" s="383"/>
      <c r="U543" s="383"/>
      <c r="V543" s="383"/>
      <c r="W543" s="383"/>
      <c r="X543" s="383"/>
      <c r="Y543" s="383"/>
      <c r="Z543" s="383"/>
      <c r="AA543" s="383"/>
      <c r="AB543" s="383"/>
    </row>
    <row r="544" ht="18.0" customHeight="1">
      <c r="A544" s="383"/>
      <c r="B544" s="383"/>
      <c r="C544" s="383"/>
      <c r="D544" s="383"/>
      <c r="E544" s="383"/>
      <c r="F544" s="536"/>
      <c r="G544" s="536"/>
      <c r="H544" s="383"/>
      <c r="I544" s="383"/>
      <c r="J544" s="383"/>
      <c r="K544" s="383"/>
      <c r="L544" s="383"/>
      <c r="M544" s="383"/>
      <c r="N544" s="383"/>
      <c r="O544" s="383"/>
      <c r="P544" s="383"/>
      <c r="Q544" s="383"/>
      <c r="R544" s="383"/>
      <c r="S544" s="383"/>
      <c r="T544" s="383"/>
      <c r="U544" s="383"/>
      <c r="V544" s="383"/>
      <c r="W544" s="383"/>
      <c r="X544" s="383"/>
      <c r="Y544" s="383"/>
      <c r="Z544" s="383"/>
      <c r="AA544" s="383"/>
      <c r="AB544" s="383"/>
    </row>
    <row r="545" ht="18.0" customHeight="1">
      <c r="A545" s="383"/>
      <c r="B545" s="383"/>
      <c r="C545" s="383"/>
      <c r="D545" s="383"/>
      <c r="E545" s="383"/>
      <c r="F545" s="536"/>
      <c r="G545" s="536"/>
      <c r="H545" s="383"/>
      <c r="I545" s="383"/>
      <c r="J545" s="383"/>
      <c r="K545" s="383"/>
      <c r="L545" s="383"/>
      <c r="M545" s="383"/>
      <c r="N545" s="383"/>
      <c r="O545" s="383"/>
      <c r="P545" s="383"/>
      <c r="Q545" s="383"/>
      <c r="R545" s="383"/>
      <c r="S545" s="383"/>
      <c r="T545" s="383"/>
      <c r="U545" s="383"/>
      <c r="V545" s="383"/>
      <c r="W545" s="383"/>
      <c r="X545" s="383"/>
      <c r="Y545" s="383"/>
      <c r="Z545" s="383"/>
      <c r="AA545" s="383"/>
      <c r="AB545" s="383"/>
    </row>
    <row r="546" ht="18.0" customHeight="1">
      <c r="A546" s="383"/>
      <c r="B546" s="383"/>
      <c r="C546" s="383"/>
      <c r="D546" s="383"/>
      <c r="E546" s="383"/>
      <c r="F546" s="536"/>
      <c r="G546" s="536"/>
      <c r="H546" s="383"/>
      <c r="I546" s="383"/>
      <c r="J546" s="383"/>
      <c r="K546" s="383"/>
      <c r="L546" s="383"/>
      <c r="M546" s="383"/>
      <c r="N546" s="383"/>
      <c r="O546" s="383"/>
      <c r="P546" s="383"/>
      <c r="Q546" s="383"/>
      <c r="R546" s="383"/>
      <c r="S546" s="383"/>
      <c r="T546" s="383"/>
      <c r="U546" s="383"/>
      <c r="V546" s="383"/>
      <c r="W546" s="383"/>
      <c r="X546" s="383"/>
      <c r="Y546" s="383"/>
      <c r="Z546" s="383"/>
      <c r="AA546" s="383"/>
      <c r="AB546" s="383"/>
    </row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8.14"/>
  </cols>
  <sheetData>
    <row r="1" ht="18.75" customHeight="1">
      <c r="A1" s="493"/>
      <c r="B1" s="500"/>
      <c r="C1" s="496"/>
      <c r="D1" s="496"/>
      <c r="E1" s="496"/>
      <c r="F1" s="496"/>
      <c r="G1" s="496"/>
      <c r="H1" s="496"/>
      <c r="I1" s="502"/>
      <c r="J1" s="502"/>
      <c r="K1" s="505"/>
      <c r="L1" s="502"/>
      <c r="M1" s="502"/>
      <c r="N1" s="496"/>
      <c r="O1" s="493"/>
      <c r="P1" s="493"/>
      <c r="Q1" s="493"/>
      <c r="R1" s="496"/>
      <c r="S1" s="496"/>
      <c r="T1" s="496"/>
      <c r="U1" s="496"/>
      <c r="V1" s="499"/>
      <c r="W1" s="568"/>
      <c r="X1" s="493"/>
    </row>
    <row r="2" ht="18.75" customHeight="1">
      <c r="A2" s="493"/>
      <c r="B2" s="500"/>
      <c r="C2" s="496"/>
      <c r="D2" s="496"/>
      <c r="E2" s="496"/>
      <c r="F2" s="494"/>
      <c r="G2" s="496"/>
      <c r="H2" s="494"/>
      <c r="I2" s="495"/>
      <c r="J2" s="495"/>
      <c r="K2" s="497"/>
      <c r="L2" s="498"/>
      <c r="M2" s="498"/>
      <c r="N2" s="496"/>
      <c r="O2" s="493"/>
      <c r="P2" s="493"/>
      <c r="Q2" s="493"/>
      <c r="R2" s="496"/>
      <c r="S2" s="496"/>
      <c r="T2" s="496"/>
      <c r="U2" s="496"/>
      <c r="V2" s="499"/>
      <c r="W2" s="568"/>
      <c r="X2" s="493"/>
    </row>
    <row r="3" ht="18.75" customHeight="1">
      <c r="A3" s="493"/>
      <c r="B3" s="500"/>
      <c r="C3" s="503"/>
      <c r="D3" s="496"/>
      <c r="E3" s="504"/>
      <c r="F3" s="494"/>
      <c r="G3" s="496"/>
      <c r="H3" s="494"/>
      <c r="I3" s="495"/>
      <c r="J3" s="495"/>
      <c r="K3" s="505"/>
      <c r="L3" s="505"/>
      <c r="M3" s="505"/>
      <c r="N3" s="496"/>
      <c r="O3" s="493"/>
      <c r="P3" s="493"/>
      <c r="Q3" s="493"/>
      <c r="R3" s="496"/>
      <c r="S3" s="496"/>
      <c r="T3" s="496"/>
      <c r="U3" s="496"/>
      <c r="V3" s="499"/>
      <c r="W3" s="568"/>
      <c r="X3" s="493"/>
    </row>
    <row r="4" ht="18.75" customHeight="1">
      <c r="A4" s="493"/>
      <c r="B4" s="500"/>
      <c r="C4" s="496"/>
      <c r="D4" s="496"/>
      <c r="E4" s="496"/>
      <c r="F4" s="496"/>
      <c r="G4" s="496"/>
      <c r="H4" s="508"/>
      <c r="I4" s="525"/>
      <c r="J4" s="525"/>
      <c r="K4" s="506"/>
      <c r="L4" s="496"/>
      <c r="M4" s="496"/>
      <c r="N4" s="496"/>
      <c r="O4" s="493"/>
      <c r="P4" s="493"/>
      <c r="Q4" s="493"/>
      <c r="R4" s="496"/>
      <c r="S4" s="496"/>
      <c r="T4" s="496"/>
      <c r="U4" s="496"/>
      <c r="V4" s="499"/>
      <c r="W4" s="568"/>
      <c r="X4" s="493"/>
    </row>
    <row r="5" ht="18.75" customHeight="1">
      <c r="A5" s="493"/>
      <c r="B5" s="500"/>
      <c r="C5" s="496"/>
      <c r="D5" s="496"/>
      <c r="E5" s="496"/>
      <c r="F5" s="496"/>
      <c r="G5" s="496"/>
      <c r="H5" s="508"/>
      <c r="I5" s="525"/>
      <c r="J5" s="525"/>
      <c r="K5" s="506"/>
      <c r="L5" s="496"/>
      <c r="M5" s="496"/>
      <c r="N5" s="496"/>
      <c r="O5" s="493"/>
      <c r="P5" s="493"/>
      <c r="Q5" s="493"/>
      <c r="R5" s="496"/>
      <c r="S5" s="496"/>
      <c r="T5" s="496"/>
      <c r="U5" s="496"/>
      <c r="V5" s="499"/>
      <c r="W5" s="568"/>
      <c r="X5" s="493"/>
    </row>
    <row r="6" ht="18.75" customHeight="1">
      <c r="A6" s="493"/>
      <c r="B6" s="494"/>
      <c r="C6" s="496"/>
      <c r="D6" s="496"/>
      <c r="E6" s="496"/>
      <c r="F6" s="496"/>
      <c r="G6" s="496"/>
      <c r="H6" s="508"/>
      <c r="I6" s="525"/>
      <c r="J6" s="525"/>
      <c r="K6" s="506"/>
      <c r="L6" s="496"/>
      <c r="M6" s="496"/>
      <c r="N6" s="496"/>
      <c r="O6" s="493"/>
      <c r="P6" s="493"/>
      <c r="Q6" s="493"/>
      <c r="R6" s="496"/>
      <c r="S6" s="496"/>
      <c r="T6" s="496"/>
      <c r="U6" s="496"/>
      <c r="V6" s="499"/>
      <c r="W6" s="568"/>
      <c r="X6" s="493"/>
    </row>
    <row r="7" ht="18.75" customHeight="1">
      <c r="A7" s="493"/>
      <c r="B7" s="494" t="s">
        <v>239</v>
      </c>
      <c r="C7" s="496" t="s">
        <v>240</v>
      </c>
      <c r="D7" s="496" t="s">
        <v>241</v>
      </c>
      <c r="E7" s="496"/>
      <c r="F7" s="496"/>
      <c r="G7" s="496"/>
      <c r="H7" s="508"/>
      <c r="I7" s="507"/>
      <c r="J7" s="507"/>
      <c r="K7" s="508"/>
      <c r="L7" s="496"/>
      <c r="M7" s="496"/>
      <c r="N7" s="496"/>
      <c r="O7" s="493"/>
      <c r="P7" s="493"/>
      <c r="Q7" s="493"/>
      <c r="R7" s="496"/>
      <c r="S7" s="496"/>
      <c r="T7" s="496"/>
      <c r="U7" s="496"/>
      <c r="V7" s="494"/>
      <c r="W7" s="568"/>
      <c r="X7" s="496"/>
    </row>
    <row r="8" ht="18.75" customHeight="1">
      <c r="A8" s="493"/>
      <c r="B8" s="494">
        <v>1.0</v>
      </c>
      <c r="C8" s="508"/>
      <c r="D8" s="569"/>
      <c r="E8" s="496"/>
      <c r="F8" s="496"/>
      <c r="G8" s="496"/>
      <c r="H8" s="508"/>
      <c r="I8" s="511"/>
      <c r="J8" s="511"/>
      <c r="K8" s="506"/>
      <c r="L8" s="496"/>
      <c r="M8" s="496"/>
      <c r="N8" s="496"/>
      <c r="O8" s="493"/>
      <c r="P8" s="493"/>
      <c r="Q8" s="539"/>
      <c r="R8" s="548"/>
      <c r="S8" s="548"/>
      <c r="T8" s="496"/>
      <c r="U8" s="496"/>
      <c r="V8" s="494"/>
      <c r="W8" s="570"/>
      <c r="X8" s="501"/>
    </row>
    <row r="9" ht="18.75" customHeight="1">
      <c r="A9" s="493"/>
      <c r="B9" s="494">
        <v>2.0</v>
      </c>
      <c r="C9" s="494"/>
      <c r="D9" s="558"/>
      <c r="E9" s="494"/>
      <c r="F9" s="501"/>
      <c r="G9" s="501"/>
      <c r="H9" s="494"/>
      <c r="I9" s="507"/>
      <c r="J9" s="507"/>
      <c r="K9" s="496"/>
      <c r="L9" s="496"/>
      <c r="M9" s="496"/>
      <c r="N9" s="496"/>
      <c r="O9" s="493"/>
      <c r="P9" s="493"/>
      <c r="Q9" s="539"/>
      <c r="R9" s="548"/>
      <c r="S9" s="548"/>
      <c r="T9" s="496"/>
      <c r="U9" s="496"/>
      <c r="V9" s="494"/>
      <c r="W9" s="571"/>
      <c r="X9" s="493"/>
    </row>
    <row r="10" ht="18.75" customHeight="1">
      <c r="A10" s="493"/>
      <c r="B10" s="494">
        <v>3.0</v>
      </c>
      <c r="C10" s="508"/>
      <c r="D10" s="525"/>
      <c r="E10" s="494"/>
      <c r="F10" s="501"/>
      <c r="G10" s="501"/>
      <c r="H10" s="494"/>
      <c r="I10" s="507"/>
      <c r="J10" s="507"/>
      <c r="K10" s="496"/>
      <c r="L10" s="496"/>
      <c r="M10" s="496"/>
      <c r="N10" s="496"/>
      <c r="O10" s="493"/>
      <c r="P10" s="493"/>
      <c r="Q10" s="539"/>
      <c r="R10" s="548"/>
      <c r="S10" s="548"/>
      <c r="T10" s="496"/>
      <c r="U10" s="496"/>
      <c r="V10" s="494"/>
      <c r="W10" s="570"/>
      <c r="X10" s="493"/>
    </row>
    <row r="11" ht="18.75" customHeight="1">
      <c r="A11" s="493"/>
      <c r="B11" s="494">
        <v>4.0</v>
      </c>
      <c r="C11" s="508"/>
      <c r="D11" s="569"/>
      <c r="E11" s="494"/>
      <c r="F11" s="501"/>
      <c r="G11" s="501"/>
      <c r="H11" s="494"/>
      <c r="I11" s="507"/>
      <c r="J11" s="507"/>
      <c r="K11" s="496"/>
      <c r="L11" s="496"/>
      <c r="M11" s="496"/>
      <c r="N11" s="496"/>
      <c r="O11" s="493"/>
      <c r="P11" s="493"/>
      <c r="Q11" s="539"/>
      <c r="R11" s="548"/>
      <c r="S11" s="548"/>
      <c r="T11" s="496"/>
      <c r="U11" s="496"/>
      <c r="V11" s="494"/>
      <c r="W11" s="570"/>
      <c r="X11" s="501"/>
    </row>
    <row r="12" ht="18.75" customHeight="1">
      <c r="A12" s="493"/>
      <c r="B12" s="494">
        <v>5.0</v>
      </c>
      <c r="C12" s="526"/>
      <c r="D12" s="572"/>
      <c r="E12" s="494"/>
      <c r="F12" s="501"/>
      <c r="G12" s="501"/>
      <c r="H12" s="494"/>
      <c r="I12" s="507"/>
      <c r="J12" s="507"/>
      <c r="K12" s="496"/>
      <c r="L12" s="496"/>
      <c r="M12" s="496"/>
      <c r="N12" s="496"/>
      <c r="O12" s="493"/>
      <c r="P12" s="493"/>
      <c r="Q12" s="539"/>
      <c r="R12" s="548"/>
      <c r="S12" s="548"/>
      <c r="T12" s="496"/>
      <c r="U12" s="496"/>
      <c r="V12" s="494"/>
      <c r="W12" s="571"/>
      <c r="X12" s="495"/>
    </row>
    <row r="13" ht="18.75" customHeight="1">
      <c r="A13" s="493"/>
      <c r="B13" s="494">
        <v>6.0</v>
      </c>
      <c r="C13" s="508"/>
      <c r="D13" s="569"/>
      <c r="E13" s="494"/>
      <c r="F13" s="501"/>
      <c r="G13" s="501"/>
      <c r="H13" s="494"/>
      <c r="I13" s="507"/>
      <c r="J13" s="507"/>
      <c r="K13" s="496"/>
      <c r="L13" s="496"/>
      <c r="M13" s="496"/>
      <c r="N13" s="496"/>
      <c r="O13" s="493"/>
      <c r="P13" s="493"/>
      <c r="Q13" s="539"/>
      <c r="R13" s="548"/>
      <c r="S13" s="548"/>
      <c r="T13" s="496"/>
      <c r="U13" s="496"/>
      <c r="V13" s="494"/>
      <c r="W13" s="571"/>
      <c r="X13" s="501"/>
    </row>
    <row r="14" ht="18.75" customHeight="1">
      <c r="A14" s="493"/>
      <c r="B14" s="494">
        <v>7.0</v>
      </c>
      <c r="C14" s="508"/>
      <c r="D14" s="569"/>
      <c r="E14" s="494"/>
      <c r="F14" s="501"/>
      <c r="G14" s="501"/>
      <c r="H14" s="494"/>
      <c r="I14" s="507"/>
      <c r="J14" s="507"/>
      <c r="K14" s="496"/>
      <c r="L14" s="496"/>
      <c r="M14" s="496"/>
      <c r="N14" s="496"/>
      <c r="O14" s="493"/>
      <c r="P14" s="493"/>
      <c r="Q14" s="539"/>
      <c r="R14" s="548"/>
      <c r="S14" s="548"/>
      <c r="T14" s="496"/>
      <c r="U14" s="496"/>
      <c r="V14" s="494"/>
      <c r="W14" s="573"/>
      <c r="X14" s="514"/>
    </row>
    <row r="15" ht="18.75" customHeight="1">
      <c r="A15" s="493"/>
      <c r="B15" s="494">
        <v>8.0</v>
      </c>
      <c r="C15" s="508"/>
      <c r="D15" s="569"/>
      <c r="E15" s="494"/>
      <c r="F15" s="501"/>
      <c r="G15" s="501"/>
      <c r="H15" s="494"/>
      <c r="I15" s="507"/>
      <c r="J15" s="507"/>
      <c r="K15" s="496"/>
      <c r="L15" s="496"/>
      <c r="M15" s="496"/>
      <c r="N15" s="496"/>
      <c r="O15" s="493"/>
      <c r="P15" s="493"/>
      <c r="Q15" s="539"/>
      <c r="R15" s="548"/>
      <c r="S15" s="548"/>
      <c r="T15" s="496"/>
      <c r="U15" s="496"/>
      <c r="V15" s="494"/>
      <c r="W15" s="571"/>
      <c r="X15" s="514"/>
    </row>
    <row r="16" ht="18.75" customHeight="1">
      <c r="A16" s="493"/>
      <c r="B16" s="494">
        <v>9.0</v>
      </c>
      <c r="C16" s="508"/>
      <c r="D16" s="525"/>
      <c r="E16" s="494"/>
      <c r="F16" s="501"/>
      <c r="G16" s="501"/>
      <c r="H16" s="494"/>
      <c r="I16" s="507"/>
      <c r="J16" s="507"/>
      <c r="K16" s="496"/>
      <c r="L16" s="496"/>
      <c r="M16" s="496"/>
      <c r="N16" s="496"/>
      <c r="O16" s="493"/>
      <c r="P16" s="493"/>
      <c r="Q16" s="539"/>
      <c r="R16" s="548"/>
      <c r="S16" s="548"/>
      <c r="T16" s="496"/>
      <c r="U16" s="496"/>
      <c r="V16" s="494"/>
      <c r="W16" s="570"/>
      <c r="X16" s="501"/>
    </row>
    <row r="17" ht="18.75" customHeight="1">
      <c r="A17" s="493"/>
      <c r="B17" s="494">
        <v>10.0</v>
      </c>
      <c r="C17" s="526"/>
      <c r="D17" s="572"/>
      <c r="E17" s="494"/>
      <c r="F17" s="501"/>
      <c r="G17" s="501"/>
      <c r="H17" s="494"/>
      <c r="I17" s="507"/>
      <c r="J17" s="507"/>
      <c r="K17" s="496"/>
      <c r="L17" s="496"/>
      <c r="M17" s="496"/>
      <c r="N17" s="496"/>
      <c r="O17" s="493"/>
      <c r="P17" s="493"/>
      <c r="Q17" s="539"/>
      <c r="R17" s="548"/>
      <c r="S17" s="548"/>
      <c r="T17" s="496"/>
      <c r="U17" s="496"/>
      <c r="V17" s="494"/>
      <c r="W17" s="571"/>
      <c r="X17" s="501"/>
    </row>
    <row r="18" ht="18.75" customHeight="1">
      <c r="A18" s="493"/>
      <c r="B18" s="494">
        <v>11.0</v>
      </c>
      <c r="C18" s="526"/>
      <c r="D18" s="569"/>
      <c r="E18" s="494"/>
      <c r="F18" s="501"/>
      <c r="G18" s="501"/>
      <c r="H18" s="494"/>
      <c r="I18" s="507"/>
      <c r="J18" s="507"/>
      <c r="K18" s="496"/>
      <c r="L18" s="496"/>
      <c r="M18" s="496"/>
      <c r="N18" s="496"/>
      <c r="O18" s="493"/>
      <c r="P18" s="493"/>
      <c r="Q18" s="539"/>
      <c r="R18" s="548"/>
      <c r="S18" s="548"/>
      <c r="T18" s="496"/>
      <c r="U18" s="496"/>
      <c r="V18" s="494"/>
      <c r="W18" s="571"/>
      <c r="X18" s="501"/>
    </row>
    <row r="19" ht="18.75" customHeight="1">
      <c r="A19" s="493"/>
      <c r="B19" s="494">
        <v>12.0</v>
      </c>
      <c r="C19" s="526"/>
      <c r="D19" s="572"/>
      <c r="E19" s="494"/>
      <c r="F19" s="501"/>
      <c r="G19" s="501"/>
      <c r="H19" s="494"/>
      <c r="I19" s="507"/>
      <c r="J19" s="507"/>
      <c r="K19" s="496"/>
      <c r="L19" s="496"/>
      <c r="M19" s="496"/>
      <c r="N19" s="496"/>
      <c r="O19" s="493"/>
      <c r="P19" s="493"/>
      <c r="Q19" s="539"/>
      <c r="R19" s="548"/>
      <c r="S19" s="548"/>
      <c r="T19" s="496"/>
      <c r="U19" s="496"/>
      <c r="V19" s="494"/>
      <c r="W19" s="571"/>
      <c r="X19" s="514"/>
    </row>
    <row r="20" ht="18.75" customHeight="1">
      <c r="A20" s="493"/>
      <c r="B20" s="494">
        <v>13.0</v>
      </c>
      <c r="C20" s="508"/>
      <c r="D20" s="569"/>
      <c r="E20" s="494"/>
      <c r="F20" s="501"/>
      <c r="G20" s="501"/>
      <c r="H20" s="494"/>
      <c r="I20" s="507"/>
      <c r="J20" s="507"/>
      <c r="K20" s="496"/>
      <c r="L20" s="496"/>
      <c r="M20" s="496"/>
      <c r="N20" s="496"/>
      <c r="O20" s="493"/>
      <c r="P20" s="493"/>
      <c r="Q20" s="539"/>
      <c r="R20" s="548"/>
      <c r="S20" s="548"/>
      <c r="T20" s="496"/>
      <c r="U20" s="496"/>
      <c r="V20" s="494"/>
      <c r="W20" s="574"/>
      <c r="X20" s="501"/>
    </row>
    <row r="21" ht="18.75" customHeight="1">
      <c r="A21" s="493"/>
      <c r="B21" s="494">
        <v>14.0</v>
      </c>
      <c r="C21" s="508"/>
      <c r="D21" s="569"/>
      <c r="E21" s="494"/>
      <c r="F21" s="501"/>
      <c r="G21" s="501"/>
      <c r="H21" s="494"/>
      <c r="I21" s="507"/>
      <c r="J21" s="507"/>
      <c r="K21" s="496"/>
      <c r="L21" s="496"/>
      <c r="M21" s="496"/>
      <c r="N21" s="496"/>
      <c r="O21" s="493"/>
      <c r="P21" s="493"/>
      <c r="Q21" s="539"/>
      <c r="R21" s="548"/>
      <c r="S21" s="548"/>
      <c r="T21" s="496"/>
      <c r="U21" s="496"/>
      <c r="V21" s="494"/>
      <c r="W21" s="574"/>
      <c r="X21" s="501"/>
    </row>
    <row r="22" ht="18.75" customHeight="1">
      <c r="A22" s="493"/>
      <c r="B22" s="494">
        <v>15.0</v>
      </c>
      <c r="C22" s="508"/>
      <c r="D22" s="569"/>
      <c r="E22" s="494"/>
      <c r="F22" s="501"/>
      <c r="G22" s="501"/>
      <c r="H22" s="494"/>
      <c r="I22" s="507"/>
      <c r="J22" s="507"/>
      <c r="K22" s="496"/>
      <c r="L22" s="496"/>
      <c r="M22" s="496"/>
      <c r="N22" s="496"/>
      <c r="O22" s="493"/>
      <c r="P22" s="493"/>
      <c r="Q22" s="539"/>
      <c r="R22" s="548"/>
      <c r="S22" s="548"/>
      <c r="T22" s="496"/>
      <c r="U22" s="496"/>
      <c r="V22" s="494"/>
      <c r="W22" s="570"/>
      <c r="X22" s="493"/>
    </row>
    <row r="23" ht="18.75" customHeight="1">
      <c r="A23" s="493"/>
      <c r="B23" s="494">
        <v>16.0</v>
      </c>
      <c r="C23" s="526"/>
      <c r="D23" s="572"/>
      <c r="E23" s="494"/>
      <c r="F23" s="501"/>
      <c r="G23" s="501"/>
      <c r="H23" s="494"/>
      <c r="I23" s="507"/>
      <c r="J23" s="507"/>
      <c r="K23" s="496"/>
      <c r="L23" s="496"/>
      <c r="M23" s="496"/>
      <c r="N23" s="496"/>
      <c r="O23" s="493"/>
      <c r="P23" s="493"/>
      <c r="Q23" s="539"/>
      <c r="R23" s="548"/>
      <c r="S23" s="548"/>
      <c r="T23" s="496"/>
      <c r="U23" s="496"/>
      <c r="V23" s="494"/>
      <c r="W23" s="570"/>
      <c r="X23" s="501"/>
    </row>
    <row r="24" ht="18.75" customHeight="1">
      <c r="A24" s="493"/>
      <c r="B24" s="494">
        <v>17.0</v>
      </c>
      <c r="C24" s="508"/>
      <c r="D24" s="569"/>
      <c r="E24" s="494"/>
      <c r="F24" s="501"/>
      <c r="G24" s="501"/>
      <c r="H24" s="494"/>
      <c r="I24" s="507"/>
      <c r="J24" s="507"/>
      <c r="K24" s="496"/>
      <c r="L24" s="496"/>
      <c r="M24" s="496"/>
      <c r="N24" s="496"/>
      <c r="O24" s="493"/>
      <c r="P24" s="493"/>
      <c r="Q24" s="539"/>
      <c r="R24" s="548"/>
      <c r="S24" s="548"/>
      <c r="T24" s="496"/>
      <c r="U24" s="496"/>
      <c r="V24" s="494"/>
      <c r="W24" s="571"/>
      <c r="X24" s="501"/>
    </row>
    <row r="25" ht="18.75" customHeight="1">
      <c r="A25" s="493"/>
      <c r="B25" s="494">
        <v>18.0</v>
      </c>
      <c r="C25" s="508"/>
      <c r="D25" s="569"/>
      <c r="E25" s="494"/>
      <c r="F25" s="501"/>
      <c r="G25" s="501"/>
      <c r="H25" s="494"/>
      <c r="I25" s="507"/>
      <c r="J25" s="507"/>
      <c r="K25" s="496"/>
      <c r="L25" s="496"/>
      <c r="M25" s="496"/>
      <c r="N25" s="496"/>
      <c r="O25" s="493"/>
      <c r="P25" s="493"/>
      <c r="Q25" s="539"/>
      <c r="R25" s="548"/>
      <c r="S25" s="548"/>
      <c r="T25" s="496"/>
      <c r="U25" s="496"/>
      <c r="V25" s="494"/>
      <c r="W25" s="575"/>
      <c r="X25" s="514"/>
    </row>
    <row r="26" ht="18.75" customHeight="1">
      <c r="A26" s="493"/>
      <c r="B26" s="494">
        <v>19.0</v>
      </c>
      <c r="C26" s="508"/>
      <c r="D26" s="569"/>
      <c r="E26" s="494"/>
      <c r="F26" s="501"/>
      <c r="G26" s="501"/>
      <c r="H26" s="494"/>
      <c r="I26" s="507"/>
      <c r="J26" s="507"/>
      <c r="K26" s="496"/>
      <c r="L26" s="496"/>
      <c r="M26" s="496"/>
      <c r="N26" s="496"/>
      <c r="O26" s="493"/>
      <c r="P26" s="493"/>
      <c r="Q26" s="539"/>
      <c r="R26" s="548"/>
      <c r="S26" s="548"/>
      <c r="T26" s="496"/>
      <c r="U26" s="496"/>
      <c r="V26" s="494"/>
      <c r="W26" s="576"/>
      <c r="X26" s="493"/>
    </row>
    <row r="27" ht="18.75" customHeight="1">
      <c r="A27" s="493"/>
      <c r="B27" s="494">
        <v>20.0</v>
      </c>
      <c r="C27" s="508"/>
      <c r="D27" s="569"/>
      <c r="E27" s="494"/>
      <c r="F27" s="501"/>
      <c r="G27" s="501"/>
      <c r="H27" s="494"/>
      <c r="I27" s="507"/>
      <c r="J27" s="507"/>
      <c r="K27" s="496"/>
      <c r="L27" s="496"/>
      <c r="M27" s="496"/>
      <c r="N27" s="496"/>
      <c r="O27" s="493"/>
      <c r="P27" s="493"/>
      <c r="Q27" s="539"/>
      <c r="R27" s="548"/>
      <c r="S27" s="548"/>
      <c r="T27" s="496"/>
      <c r="U27" s="496"/>
      <c r="V27" s="494"/>
      <c r="W27" s="570"/>
      <c r="X27" s="501"/>
    </row>
    <row r="28" ht="18.75" customHeight="1">
      <c r="A28" s="493"/>
      <c r="B28" s="494">
        <v>21.0</v>
      </c>
      <c r="C28" s="508"/>
      <c r="D28" s="569"/>
      <c r="E28" s="494"/>
      <c r="F28" s="501"/>
      <c r="G28" s="501"/>
      <c r="H28" s="494"/>
      <c r="I28" s="507"/>
      <c r="J28" s="507"/>
      <c r="K28" s="496"/>
      <c r="L28" s="496"/>
      <c r="M28" s="496"/>
      <c r="N28" s="496"/>
      <c r="O28" s="493"/>
      <c r="P28" s="493"/>
      <c r="Q28" s="493"/>
      <c r="R28" s="496"/>
      <c r="S28" s="496"/>
      <c r="T28" s="496"/>
      <c r="U28" s="496"/>
      <c r="V28" s="499"/>
      <c r="W28" s="568"/>
      <c r="X28" s="493"/>
    </row>
    <row r="29" ht="18.75" customHeight="1">
      <c r="A29" s="493"/>
      <c r="B29" s="494">
        <v>22.0</v>
      </c>
      <c r="C29" s="526"/>
      <c r="D29" s="577"/>
      <c r="E29" s="494"/>
      <c r="F29" s="501"/>
      <c r="G29" s="501"/>
      <c r="H29" s="494"/>
      <c r="I29" s="507"/>
      <c r="J29" s="507"/>
      <c r="K29" s="496"/>
      <c r="L29" s="496"/>
      <c r="M29" s="496"/>
      <c r="N29" s="496"/>
      <c r="O29" s="493"/>
      <c r="P29" s="493"/>
      <c r="Q29" s="493"/>
      <c r="R29" s="496"/>
      <c r="S29" s="496"/>
      <c r="T29" s="496"/>
      <c r="U29" s="496"/>
      <c r="V29" s="499"/>
      <c r="W29" s="568"/>
      <c r="X29" s="493"/>
    </row>
    <row r="30" ht="18.75" customHeight="1">
      <c r="A30" s="493"/>
      <c r="B30" s="494">
        <v>23.0</v>
      </c>
      <c r="C30" s="494"/>
      <c r="D30" s="494"/>
      <c r="E30" s="494"/>
      <c r="F30" s="501"/>
      <c r="G30" s="501"/>
      <c r="H30" s="494"/>
      <c r="I30" s="507"/>
      <c r="J30" s="507"/>
      <c r="K30" s="496"/>
      <c r="L30" s="496"/>
      <c r="M30" s="496"/>
      <c r="N30" s="496"/>
      <c r="O30" s="493"/>
      <c r="P30" s="493"/>
      <c r="Q30" s="493"/>
      <c r="R30" s="496"/>
      <c r="S30" s="496"/>
      <c r="T30" s="496"/>
      <c r="U30" s="496"/>
      <c r="V30" s="499"/>
      <c r="W30" s="568"/>
      <c r="X30" s="493"/>
    </row>
    <row r="31" ht="18.75" customHeight="1">
      <c r="A31" s="493"/>
      <c r="B31" s="494" t="s">
        <v>117</v>
      </c>
      <c r="C31" s="494"/>
      <c r="D31" s="565">
        <f>SUM(D8:D30)</f>
        <v>0</v>
      </c>
      <c r="E31" s="494"/>
      <c r="F31" s="501"/>
      <c r="G31" s="501"/>
      <c r="H31" s="494"/>
      <c r="I31" s="507"/>
      <c r="J31" s="507"/>
      <c r="K31" s="496"/>
      <c r="L31" s="496"/>
      <c r="M31" s="496"/>
      <c r="N31" s="496"/>
      <c r="O31" s="493"/>
      <c r="P31" s="493"/>
      <c r="Q31" s="493"/>
      <c r="R31" s="496"/>
      <c r="S31" s="496"/>
      <c r="T31" s="496"/>
      <c r="U31" s="496"/>
      <c r="V31" s="499"/>
      <c r="W31" s="568"/>
      <c r="X31" s="493"/>
    </row>
    <row r="32" ht="18.75" customHeight="1">
      <c r="A32" s="493"/>
      <c r="B32" s="494"/>
      <c r="C32" s="494"/>
      <c r="D32" s="494"/>
      <c r="E32" s="494"/>
      <c r="F32" s="501"/>
      <c r="G32" s="501"/>
      <c r="H32" s="494"/>
      <c r="I32" s="507"/>
      <c r="J32" s="507"/>
      <c r="K32" s="496"/>
      <c r="L32" s="496"/>
      <c r="M32" s="496"/>
      <c r="N32" s="496"/>
      <c r="O32" s="493"/>
      <c r="P32" s="493"/>
      <c r="Q32" s="493"/>
      <c r="R32" s="496"/>
      <c r="S32" s="496"/>
      <c r="T32" s="496"/>
      <c r="U32" s="496"/>
      <c r="V32" s="499"/>
      <c r="W32" s="568"/>
      <c r="X32" s="493"/>
    </row>
    <row r="33" ht="18.75" customHeight="1">
      <c r="A33" s="493"/>
      <c r="B33" s="494"/>
      <c r="C33" s="494"/>
      <c r="D33" s="494"/>
      <c r="E33" s="494"/>
      <c r="F33" s="501"/>
      <c r="G33" s="501"/>
      <c r="H33" s="494"/>
      <c r="I33" s="507"/>
      <c r="J33" s="507"/>
      <c r="K33" s="496"/>
      <c r="L33" s="496"/>
      <c r="M33" s="496"/>
      <c r="N33" s="496"/>
      <c r="O33" s="493"/>
      <c r="P33" s="493"/>
      <c r="Q33" s="493"/>
      <c r="R33" s="496"/>
      <c r="S33" s="496"/>
      <c r="T33" s="496"/>
      <c r="U33" s="496"/>
      <c r="V33" s="499"/>
      <c r="W33" s="568"/>
      <c r="X33" s="493"/>
    </row>
    <row r="34" ht="18.75" customHeight="1">
      <c r="A34" s="493"/>
      <c r="B34" s="494"/>
      <c r="C34" s="494"/>
      <c r="D34" s="494"/>
      <c r="E34" s="494"/>
      <c r="F34" s="501"/>
      <c r="G34" s="501"/>
      <c r="H34" s="494"/>
      <c r="I34" s="507"/>
      <c r="J34" s="507"/>
      <c r="K34" s="496"/>
      <c r="L34" s="496"/>
      <c r="M34" s="496"/>
      <c r="N34" s="496"/>
      <c r="O34" s="493"/>
      <c r="P34" s="493"/>
      <c r="Q34" s="493"/>
      <c r="R34" s="496"/>
      <c r="S34" s="496"/>
      <c r="T34" s="496"/>
      <c r="U34" s="496"/>
      <c r="V34" s="499"/>
      <c r="W34" s="568"/>
      <c r="X34" s="493"/>
    </row>
    <row r="35" ht="18.75" customHeight="1">
      <c r="A35" s="493"/>
      <c r="B35" s="494"/>
      <c r="C35" s="494"/>
      <c r="D35" s="494"/>
      <c r="E35" s="494"/>
      <c r="F35" s="501"/>
      <c r="G35" s="501"/>
      <c r="H35" s="494"/>
      <c r="I35" s="507"/>
      <c r="J35" s="507"/>
      <c r="K35" s="496"/>
      <c r="L35" s="496"/>
      <c r="M35" s="496"/>
      <c r="N35" s="496"/>
      <c r="O35" s="493"/>
      <c r="P35" s="493"/>
      <c r="Q35" s="493"/>
      <c r="R35" s="496"/>
      <c r="S35" s="496"/>
      <c r="T35" s="496"/>
      <c r="U35" s="496"/>
      <c r="V35" s="499"/>
      <c r="W35" s="568"/>
      <c r="X35" s="493"/>
    </row>
    <row r="36" ht="18.75" customHeight="1">
      <c r="A36" s="493"/>
      <c r="B36" s="494"/>
      <c r="C36" s="494"/>
      <c r="D36" s="494"/>
      <c r="E36" s="494"/>
      <c r="F36" s="501"/>
      <c r="G36" s="501"/>
      <c r="H36" s="494"/>
      <c r="I36" s="507"/>
      <c r="J36" s="507"/>
      <c r="K36" s="496"/>
      <c r="L36" s="496"/>
      <c r="M36" s="496"/>
      <c r="N36" s="496"/>
      <c r="O36" s="493"/>
      <c r="P36" s="493"/>
      <c r="Q36" s="493"/>
      <c r="R36" s="496"/>
      <c r="S36" s="496"/>
      <c r="T36" s="496"/>
      <c r="U36" s="496"/>
      <c r="V36" s="499"/>
      <c r="W36" s="568"/>
      <c r="X36" s="493"/>
      <c r="Y36" s="496"/>
      <c r="Z36" s="496"/>
    </row>
    <row r="37" ht="18.75" customHeight="1">
      <c r="A37" s="493"/>
      <c r="B37" s="494"/>
      <c r="C37" s="494"/>
      <c r="D37" s="494"/>
      <c r="E37" s="494"/>
      <c r="F37" s="501"/>
      <c r="G37" s="501"/>
      <c r="H37" s="494"/>
      <c r="I37" s="507"/>
      <c r="J37" s="507"/>
      <c r="K37" s="496"/>
      <c r="L37" s="496"/>
      <c r="M37" s="496"/>
      <c r="N37" s="496"/>
      <c r="O37" s="493"/>
      <c r="P37" s="493"/>
      <c r="Q37" s="493"/>
      <c r="R37" s="496"/>
      <c r="S37" s="496"/>
      <c r="T37" s="496"/>
      <c r="U37" s="496"/>
      <c r="V37" s="499"/>
      <c r="W37" s="568"/>
      <c r="X37" s="493"/>
      <c r="Y37" s="496"/>
      <c r="Z37" s="496"/>
    </row>
    <row r="38" ht="18.75" customHeight="1">
      <c r="A38" s="493"/>
      <c r="B38" s="494"/>
      <c r="C38" s="494"/>
      <c r="D38" s="494"/>
      <c r="E38" s="494"/>
      <c r="F38" s="501"/>
      <c r="G38" s="501"/>
      <c r="H38" s="494"/>
      <c r="I38" s="507"/>
      <c r="J38" s="507"/>
      <c r="K38" s="496"/>
      <c r="L38" s="496"/>
      <c r="M38" s="496"/>
      <c r="N38" s="496"/>
      <c r="O38" s="493"/>
      <c r="P38" s="493"/>
      <c r="Q38" s="493"/>
      <c r="R38" s="496"/>
      <c r="S38" s="496"/>
      <c r="T38" s="496"/>
      <c r="U38" s="496"/>
      <c r="V38" s="499"/>
      <c r="W38" s="568"/>
      <c r="X38" s="493"/>
      <c r="Y38" s="496"/>
      <c r="Z38" s="496"/>
    </row>
    <row r="39" ht="18.75" customHeight="1">
      <c r="A39" s="493"/>
      <c r="B39" s="494"/>
      <c r="C39" s="494"/>
      <c r="D39" s="494"/>
      <c r="E39" s="494"/>
      <c r="F39" s="501"/>
      <c r="G39" s="501"/>
      <c r="H39" s="494"/>
      <c r="I39" s="507"/>
      <c r="J39" s="507"/>
      <c r="K39" s="496"/>
      <c r="L39" s="496"/>
      <c r="M39" s="496"/>
      <c r="N39" s="496"/>
      <c r="O39" s="493"/>
      <c r="P39" s="493"/>
      <c r="Q39" s="493"/>
      <c r="R39" s="496"/>
      <c r="S39" s="496"/>
      <c r="T39" s="496"/>
      <c r="U39" s="496"/>
      <c r="V39" s="499"/>
      <c r="W39" s="568"/>
      <c r="X39" s="493"/>
      <c r="Y39" s="496"/>
      <c r="Z39" s="496"/>
    </row>
    <row r="40" ht="18.75" customHeight="1">
      <c r="A40" s="493"/>
      <c r="B40" s="494"/>
      <c r="C40" s="494"/>
      <c r="D40" s="494"/>
      <c r="E40" s="494"/>
      <c r="F40" s="501"/>
      <c r="G40" s="501"/>
      <c r="H40" s="494"/>
      <c r="I40" s="507"/>
      <c r="J40" s="507"/>
      <c r="K40" s="496"/>
      <c r="L40" s="496"/>
      <c r="M40" s="496"/>
      <c r="N40" s="496"/>
      <c r="O40" s="493"/>
      <c r="P40" s="493"/>
      <c r="Q40" s="493"/>
      <c r="R40" s="496"/>
      <c r="S40" s="496"/>
      <c r="T40" s="496"/>
      <c r="U40" s="496"/>
      <c r="V40" s="499"/>
      <c r="W40" s="568"/>
      <c r="X40" s="493"/>
      <c r="Y40" s="496"/>
      <c r="Z40" s="496"/>
    </row>
    <row r="41" ht="18.75" customHeight="1">
      <c r="A41" s="493"/>
      <c r="B41" s="494"/>
      <c r="C41" s="494"/>
      <c r="D41" s="494"/>
      <c r="E41" s="494"/>
      <c r="F41" s="501"/>
      <c r="G41" s="501"/>
      <c r="H41" s="494"/>
      <c r="I41" s="507"/>
      <c r="J41" s="507"/>
      <c r="K41" s="496"/>
      <c r="L41" s="496"/>
      <c r="M41" s="496"/>
      <c r="N41" s="496"/>
      <c r="O41" s="493"/>
      <c r="P41" s="493"/>
      <c r="Q41" s="493"/>
      <c r="R41" s="496"/>
      <c r="S41" s="496"/>
      <c r="T41" s="496"/>
      <c r="U41" s="496"/>
      <c r="V41" s="499"/>
      <c r="W41" s="568"/>
      <c r="X41" s="493"/>
      <c r="Y41" s="496"/>
      <c r="Z41" s="496"/>
    </row>
    <row r="42" ht="18.75" customHeight="1">
      <c r="A42" s="493"/>
      <c r="B42" s="494"/>
      <c r="C42" s="494"/>
      <c r="D42" s="494"/>
      <c r="E42" s="494"/>
      <c r="F42" s="501"/>
      <c r="G42" s="501"/>
      <c r="H42" s="494"/>
      <c r="I42" s="507"/>
      <c r="J42" s="507"/>
      <c r="K42" s="496"/>
      <c r="L42" s="496"/>
      <c r="M42" s="496"/>
      <c r="N42" s="496"/>
      <c r="O42" s="493"/>
      <c r="P42" s="493"/>
      <c r="Q42" s="493"/>
      <c r="R42" s="496"/>
      <c r="S42" s="496"/>
      <c r="T42" s="496"/>
      <c r="U42" s="496"/>
      <c r="V42" s="499"/>
      <c r="W42" s="568"/>
      <c r="X42" s="493"/>
      <c r="Y42" s="496"/>
      <c r="Z42" s="496"/>
    </row>
    <row r="43" ht="18.75" customHeight="1">
      <c r="A43" s="493"/>
      <c r="B43" s="494"/>
      <c r="C43" s="494"/>
      <c r="D43" s="494"/>
      <c r="E43" s="494"/>
      <c r="F43" s="501"/>
      <c r="G43" s="501"/>
      <c r="H43" s="494"/>
      <c r="I43" s="507"/>
      <c r="J43" s="507"/>
      <c r="K43" s="496"/>
      <c r="L43" s="496"/>
      <c r="M43" s="496"/>
      <c r="N43" s="496"/>
      <c r="O43" s="493"/>
      <c r="P43" s="493"/>
      <c r="Q43" s="493"/>
      <c r="R43" s="496"/>
      <c r="S43" s="496"/>
      <c r="T43" s="496"/>
      <c r="U43" s="496"/>
      <c r="V43" s="499"/>
      <c r="W43" s="568"/>
      <c r="X43" s="493"/>
      <c r="Y43" s="496"/>
      <c r="Z43" s="496"/>
    </row>
    <row r="44" ht="18.75" customHeight="1">
      <c r="A44" s="493"/>
      <c r="B44" s="494"/>
      <c r="C44" s="494"/>
      <c r="D44" s="494"/>
      <c r="E44" s="494"/>
      <c r="F44" s="501"/>
      <c r="G44" s="501"/>
      <c r="H44" s="494"/>
      <c r="I44" s="507"/>
      <c r="J44" s="507"/>
      <c r="K44" s="496"/>
      <c r="L44" s="496"/>
      <c r="M44" s="496"/>
      <c r="N44" s="496"/>
      <c r="O44" s="493"/>
      <c r="P44" s="493"/>
      <c r="Q44" s="493"/>
      <c r="R44" s="496"/>
      <c r="S44" s="496"/>
      <c r="T44" s="496"/>
      <c r="U44" s="496"/>
      <c r="V44" s="499"/>
      <c r="W44" s="568"/>
      <c r="X44" s="493"/>
      <c r="Y44" s="496"/>
      <c r="Z44" s="496"/>
    </row>
    <row r="45" ht="18.75" customHeight="1">
      <c r="A45" s="493"/>
      <c r="B45" s="494"/>
      <c r="C45" s="494"/>
      <c r="D45" s="494"/>
      <c r="E45" s="494"/>
      <c r="F45" s="501"/>
      <c r="G45" s="501"/>
      <c r="H45" s="494"/>
      <c r="I45" s="507"/>
      <c r="J45" s="507"/>
      <c r="K45" s="496"/>
      <c r="L45" s="496"/>
      <c r="M45" s="496"/>
      <c r="N45" s="496"/>
      <c r="O45" s="493"/>
      <c r="P45" s="493"/>
      <c r="Q45" s="493"/>
      <c r="R45" s="496"/>
      <c r="S45" s="496"/>
      <c r="T45" s="496"/>
      <c r="U45" s="496"/>
      <c r="V45" s="499"/>
      <c r="W45" s="568"/>
      <c r="X45" s="493"/>
      <c r="Y45" s="496"/>
      <c r="Z45" s="496"/>
    </row>
    <row r="46" ht="18.75" customHeight="1">
      <c r="A46" s="493"/>
      <c r="B46" s="494"/>
      <c r="C46" s="494"/>
      <c r="D46" s="494"/>
      <c r="E46" s="494"/>
      <c r="F46" s="501"/>
      <c r="G46" s="501"/>
      <c r="H46" s="494"/>
      <c r="I46" s="507"/>
      <c r="J46" s="507"/>
      <c r="K46" s="496"/>
      <c r="L46" s="496"/>
      <c r="M46" s="496"/>
      <c r="N46" s="496"/>
      <c r="O46" s="493"/>
      <c r="P46" s="493"/>
      <c r="Q46" s="493"/>
      <c r="R46" s="496"/>
      <c r="S46" s="496"/>
      <c r="T46" s="496"/>
      <c r="U46" s="496"/>
      <c r="V46" s="499"/>
      <c r="W46" s="568"/>
      <c r="X46" s="493"/>
      <c r="Y46" s="496"/>
      <c r="Z46" s="496"/>
    </row>
    <row r="47" ht="18.75" customHeight="1">
      <c r="A47" s="493"/>
      <c r="B47" s="494"/>
      <c r="C47" s="494"/>
      <c r="D47" s="494"/>
      <c r="E47" s="494"/>
      <c r="F47" s="501"/>
      <c r="G47" s="501"/>
      <c r="H47" s="494"/>
      <c r="I47" s="507"/>
      <c r="J47" s="507"/>
      <c r="K47" s="496"/>
      <c r="L47" s="496"/>
      <c r="M47" s="496"/>
      <c r="N47" s="496"/>
      <c r="O47" s="493"/>
      <c r="P47" s="493"/>
      <c r="Q47" s="493"/>
      <c r="R47" s="496"/>
      <c r="S47" s="496"/>
      <c r="T47" s="496"/>
      <c r="U47" s="496"/>
      <c r="V47" s="499"/>
      <c r="W47" s="568"/>
      <c r="X47" s="493"/>
      <c r="Y47" s="496"/>
      <c r="Z47" s="496"/>
    </row>
    <row r="48" ht="18.75" customHeight="1">
      <c r="A48" s="493"/>
      <c r="B48" s="494"/>
      <c r="C48" s="494"/>
      <c r="D48" s="494"/>
      <c r="E48" s="494"/>
      <c r="F48" s="501"/>
      <c r="G48" s="501"/>
      <c r="H48" s="494"/>
      <c r="I48" s="507"/>
      <c r="J48" s="507"/>
      <c r="K48" s="496"/>
      <c r="L48" s="496"/>
      <c r="M48" s="496"/>
      <c r="N48" s="496"/>
      <c r="O48" s="493"/>
      <c r="P48" s="493"/>
      <c r="Q48" s="493"/>
      <c r="R48" s="496"/>
      <c r="S48" s="496"/>
      <c r="T48" s="496"/>
      <c r="U48" s="496"/>
      <c r="V48" s="499"/>
      <c r="W48" s="568"/>
      <c r="X48" s="493"/>
      <c r="Y48" s="496"/>
      <c r="Z48" s="496"/>
    </row>
    <row r="49" ht="18.75" customHeight="1">
      <c r="A49" s="493"/>
      <c r="B49" s="494"/>
      <c r="C49" s="494"/>
      <c r="D49" s="494"/>
      <c r="E49" s="494"/>
      <c r="F49" s="501"/>
      <c r="G49" s="501"/>
      <c r="H49" s="494"/>
      <c r="I49" s="507"/>
      <c r="J49" s="507"/>
      <c r="K49" s="496"/>
      <c r="L49" s="496"/>
      <c r="M49" s="496"/>
      <c r="N49" s="496"/>
      <c r="O49" s="493"/>
      <c r="P49" s="493"/>
      <c r="Q49" s="493"/>
      <c r="R49" s="496"/>
      <c r="S49" s="496"/>
      <c r="T49" s="496"/>
      <c r="U49" s="496"/>
      <c r="V49" s="499"/>
      <c r="W49" s="568"/>
      <c r="X49" s="493"/>
      <c r="Y49" s="496"/>
      <c r="Z49" s="496"/>
    </row>
    <row r="50" ht="18.75" customHeight="1">
      <c r="A50" s="493"/>
      <c r="B50" s="494"/>
      <c r="C50" s="494"/>
      <c r="D50" s="494"/>
      <c r="E50" s="494"/>
      <c r="F50" s="501"/>
      <c r="G50" s="501"/>
      <c r="H50" s="494"/>
      <c r="I50" s="507"/>
      <c r="J50" s="507"/>
      <c r="K50" s="496"/>
      <c r="L50" s="496"/>
      <c r="M50" s="496"/>
      <c r="N50" s="496"/>
      <c r="O50" s="493"/>
      <c r="P50" s="493"/>
      <c r="Q50" s="493"/>
      <c r="R50" s="496"/>
      <c r="S50" s="496"/>
      <c r="T50" s="496"/>
      <c r="U50" s="496"/>
      <c r="V50" s="499"/>
      <c r="W50" s="568"/>
      <c r="X50" s="493"/>
      <c r="Y50" s="496"/>
      <c r="Z50" s="496"/>
    </row>
    <row r="51" ht="18.75" customHeight="1">
      <c r="A51" s="493"/>
      <c r="B51" s="494"/>
      <c r="C51" s="494"/>
      <c r="D51" s="494"/>
      <c r="E51" s="494"/>
      <c r="F51" s="501"/>
      <c r="G51" s="501"/>
      <c r="H51" s="494"/>
      <c r="I51" s="507"/>
      <c r="J51" s="507"/>
      <c r="K51" s="496"/>
      <c r="L51" s="496"/>
      <c r="M51" s="496"/>
      <c r="N51" s="496"/>
      <c r="O51" s="493"/>
      <c r="P51" s="493"/>
      <c r="Q51" s="493"/>
      <c r="R51" s="496"/>
      <c r="S51" s="496"/>
      <c r="T51" s="496"/>
      <c r="U51" s="496"/>
      <c r="V51" s="499"/>
      <c r="W51" s="568"/>
      <c r="X51" s="493"/>
      <c r="Y51" s="496"/>
      <c r="Z51" s="496"/>
    </row>
    <row r="52" ht="18.75" customHeight="1">
      <c r="A52" s="493"/>
      <c r="B52" s="494"/>
      <c r="C52" s="494"/>
      <c r="D52" s="494"/>
      <c r="E52" s="494"/>
      <c r="F52" s="501"/>
      <c r="G52" s="501"/>
      <c r="H52" s="494"/>
      <c r="I52" s="507"/>
      <c r="J52" s="507"/>
      <c r="K52" s="496"/>
      <c r="L52" s="496"/>
      <c r="M52" s="496"/>
      <c r="N52" s="496"/>
      <c r="O52" s="493"/>
      <c r="P52" s="493"/>
      <c r="Q52" s="493"/>
      <c r="R52" s="496"/>
      <c r="S52" s="496"/>
      <c r="T52" s="496"/>
      <c r="U52" s="496"/>
      <c r="V52" s="499"/>
      <c r="W52" s="568"/>
      <c r="X52" s="493"/>
      <c r="Y52" s="496"/>
      <c r="Z52" s="496"/>
    </row>
    <row r="53" ht="18.75" customHeight="1">
      <c r="A53" s="493"/>
      <c r="B53" s="494"/>
      <c r="C53" s="494"/>
      <c r="D53" s="494"/>
      <c r="E53" s="494"/>
      <c r="F53" s="501"/>
      <c r="G53" s="501"/>
      <c r="H53" s="494"/>
      <c r="I53" s="507"/>
      <c r="J53" s="507"/>
      <c r="K53" s="496"/>
      <c r="L53" s="496"/>
      <c r="M53" s="496"/>
      <c r="N53" s="496"/>
      <c r="O53" s="493"/>
      <c r="P53" s="493"/>
      <c r="Q53" s="493"/>
      <c r="R53" s="496"/>
      <c r="S53" s="496"/>
      <c r="T53" s="496"/>
      <c r="U53" s="496"/>
      <c r="V53" s="499"/>
      <c r="W53" s="568"/>
      <c r="X53" s="493"/>
      <c r="Y53" s="493"/>
      <c r="Z53" s="493"/>
    </row>
    <row r="54" ht="18.75" customHeight="1">
      <c r="A54" s="493"/>
      <c r="B54" s="494"/>
      <c r="C54" s="494"/>
      <c r="D54" s="494"/>
      <c r="E54" s="494"/>
      <c r="F54" s="501"/>
      <c r="G54" s="501"/>
      <c r="H54" s="494"/>
      <c r="I54" s="507"/>
      <c r="J54" s="507"/>
      <c r="K54" s="496"/>
      <c r="L54" s="496"/>
      <c r="M54" s="496"/>
      <c r="N54" s="496"/>
      <c r="O54" s="493"/>
      <c r="P54" s="493"/>
      <c r="Q54" s="493"/>
      <c r="R54" s="496"/>
      <c r="S54" s="496"/>
      <c r="T54" s="496"/>
      <c r="U54" s="496"/>
      <c r="V54" s="499"/>
      <c r="W54" s="568"/>
      <c r="X54" s="493"/>
      <c r="Y54" s="493"/>
      <c r="Z54" s="493"/>
    </row>
    <row r="55" ht="18.75" customHeight="1">
      <c r="A55" s="493"/>
      <c r="B55" s="494"/>
      <c r="C55" s="494"/>
      <c r="D55" s="494"/>
      <c r="E55" s="494"/>
      <c r="F55" s="501"/>
      <c r="G55" s="501"/>
      <c r="H55" s="494"/>
      <c r="I55" s="507"/>
      <c r="J55" s="507"/>
      <c r="K55" s="496"/>
      <c r="L55" s="496"/>
      <c r="M55" s="496"/>
      <c r="N55" s="496"/>
      <c r="O55" s="493"/>
      <c r="P55" s="493"/>
      <c r="Q55" s="493"/>
      <c r="R55" s="496"/>
      <c r="S55" s="496"/>
      <c r="T55" s="496"/>
      <c r="U55" s="496"/>
      <c r="V55" s="499"/>
      <c r="W55" s="568"/>
      <c r="X55" s="493"/>
      <c r="Y55" s="493"/>
      <c r="Z55" s="493"/>
    </row>
    <row r="56" ht="18.75" customHeight="1">
      <c r="A56" s="493"/>
      <c r="B56" s="494"/>
      <c r="C56" s="494"/>
      <c r="D56" s="494"/>
      <c r="E56" s="494"/>
      <c r="F56" s="501"/>
      <c r="G56" s="501"/>
      <c r="H56" s="494"/>
      <c r="I56" s="507"/>
      <c r="J56" s="507"/>
      <c r="K56" s="496"/>
      <c r="L56" s="496"/>
      <c r="M56" s="496"/>
      <c r="N56" s="496"/>
      <c r="O56" s="493"/>
      <c r="P56" s="493"/>
      <c r="Q56" s="493"/>
      <c r="R56" s="496"/>
      <c r="S56" s="496"/>
      <c r="T56" s="496"/>
      <c r="U56" s="496"/>
      <c r="V56" s="499"/>
      <c r="W56" s="568"/>
      <c r="X56" s="493"/>
      <c r="Y56" s="493"/>
      <c r="Z56" s="493"/>
    </row>
    <row r="57" ht="18.75" customHeight="1">
      <c r="A57" s="493"/>
      <c r="B57" s="494"/>
      <c r="C57" s="494"/>
      <c r="D57" s="494"/>
      <c r="E57" s="494"/>
      <c r="F57" s="501"/>
      <c r="G57" s="501"/>
      <c r="H57" s="494"/>
      <c r="I57" s="507"/>
      <c r="J57" s="507"/>
      <c r="K57" s="496"/>
      <c r="L57" s="496"/>
      <c r="M57" s="496"/>
      <c r="N57" s="496"/>
      <c r="O57" s="493"/>
      <c r="P57" s="493"/>
      <c r="Q57" s="493"/>
      <c r="R57" s="496"/>
      <c r="S57" s="496"/>
      <c r="T57" s="496"/>
      <c r="U57" s="496"/>
      <c r="V57" s="499"/>
      <c r="W57" s="568"/>
      <c r="X57" s="493"/>
      <c r="Y57" s="493"/>
      <c r="Z57" s="493"/>
    </row>
    <row r="58" ht="18.75" customHeight="1">
      <c r="A58" s="493"/>
      <c r="B58" s="494"/>
      <c r="C58" s="494"/>
      <c r="D58" s="494"/>
      <c r="E58" s="494"/>
      <c r="F58" s="501"/>
      <c r="G58" s="501"/>
      <c r="H58" s="494"/>
      <c r="I58" s="507"/>
      <c r="J58" s="507"/>
      <c r="K58" s="496"/>
      <c r="L58" s="496"/>
      <c r="M58" s="496"/>
      <c r="N58" s="496"/>
      <c r="O58" s="493"/>
      <c r="P58" s="493"/>
      <c r="Q58" s="493"/>
      <c r="R58" s="496"/>
      <c r="S58" s="496"/>
      <c r="T58" s="496"/>
      <c r="U58" s="496"/>
      <c r="V58" s="499"/>
      <c r="W58" s="568"/>
      <c r="X58" s="493"/>
      <c r="Y58" s="493"/>
      <c r="Z58" s="493"/>
    </row>
    <row r="59" ht="18.75" customHeight="1">
      <c r="A59" s="493"/>
      <c r="B59" s="494"/>
      <c r="C59" s="494"/>
      <c r="D59" s="494"/>
      <c r="E59" s="494"/>
      <c r="F59" s="501"/>
      <c r="G59" s="501"/>
      <c r="H59" s="494"/>
      <c r="I59" s="507"/>
      <c r="J59" s="507"/>
      <c r="K59" s="496"/>
      <c r="L59" s="496"/>
      <c r="M59" s="496"/>
      <c r="N59" s="496"/>
      <c r="O59" s="493"/>
      <c r="P59" s="493"/>
      <c r="Q59" s="493"/>
      <c r="R59" s="496"/>
      <c r="S59" s="496"/>
      <c r="T59" s="496"/>
      <c r="U59" s="496"/>
      <c r="V59" s="499"/>
      <c r="W59" s="568"/>
      <c r="X59" s="493"/>
      <c r="Y59" s="493"/>
      <c r="Z59" s="493"/>
    </row>
    <row r="60" ht="18.75" customHeight="1">
      <c r="A60" s="493"/>
      <c r="B60" s="494"/>
      <c r="C60" s="494"/>
      <c r="D60" s="494"/>
      <c r="E60" s="494"/>
      <c r="F60" s="501"/>
      <c r="G60" s="501"/>
      <c r="H60" s="494"/>
      <c r="I60" s="507"/>
      <c r="J60" s="507"/>
      <c r="K60" s="496"/>
      <c r="L60" s="496"/>
      <c r="M60" s="496"/>
      <c r="N60" s="496"/>
      <c r="O60" s="493"/>
      <c r="P60" s="493"/>
      <c r="Q60" s="493"/>
      <c r="R60" s="496"/>
      <c r="S60" s="496"/>
      <c r="T60" s="496"/>
      <c r="U60" s="496"/>
      <c r="V60" s="499"/>
      <c r="W60" s="568"/>
      <c r="X60" s="493"/>
      <c r="Y60" s="493"/>
      <c r="Z60" s="493"/>
    </row>
    <row r="61" ht="18.75" customHeight="1">
      <c r="A61" s="493"/>
      <c r="B61" s="494"/>
      <c r="C61" s="494"/>
      <c r="D61" s="494"/>
      <c r="E61" s="494"/>
      <c r="F61" s="501"/>
      <c r="G61" s="501"/>
      <c r="H61" s="494"/>
      <c r="I61" s="507"/>
      <c r="J61" s="507"/>
      <c r="K61" s="496"/>
      <c r="L61" s="496"/>
      <c r="M61" s="496"/>
      <c r="N61" s="496"/>
      <c r="O61" s="493"/>
      <c r="P61" s="493"/>
      <c r="Q61" s="493"/>
      <c r="R61" s="496"/>
      <c r="S61" s="496"/>
      <c r="T61" s="496"/>
      <c r="U61" s="496"/>
      <c r="V61" s="499"/>
      <c r="W61" s="568"/>
      <c r="X61" s="493"/>
      <c r="Y61" s="493"/>
      <c r="Z61" s="493"/>
    </row>
    <row r="62" ht="18.75" customHeight="1">
      <c r="A62" s="493"/>
      <c r="B62" s="494"/>
      <c r="C62" s="494"/>
      <c r="D62" s="494"/>
      <c r="E62" s="494"/>
      <c r="F62" s="501"/>
      <c r="G62" s="501"/>
      <c r="H62" s="494"/>
      <c r="I62" s="507"/>
      <c r="J62" s="507"/>
      <c r="K62" s="496"/>
      <c r="L62" s="496"/>
      <c r="M62" s="496"/>
      <c r="N62" s="496"/>
      <c r="O62" s="493"/>
      <c r="P62" s="493"/>
      <c r="Q62" s="493"/>
      <c r="R62" s="496"/>
      <c r="S62" s="496"/>
      <c r="T62" s="496"/>
      <c r="U62" s="496"/>
      <c r="V62" s="499"/>
      <c r="W62" s="568"/>
      <c r="X62" s="493"/>
      <c r="Y62" s="493"/>
      <c r="Z62" s="493"/>
    </row>
    <row r="63" ht="18.75" customHeight="1">
      <c r="A63" s="493"/>
      <c r="B63" s="494"/>
      <c r="C63" s="494"/>
      <c r="D63" s="494"/>
      <c r="E63" s="494"/>
      <c r="F63" s="501"/>
      <c r="G63" s="501"/>
      <c r="H63" s="494"/>
      <c r="I63" s="507"/>
      <c r="J63" s="507"/>
      <c r="K63" s="496"/>
      <c r="L63" s="496"/>
      <c r="M63" s="496"/>
      <c r="N63" s="496"/>
      <c r="O63" s="493"/>
      <c r="P63" s="493"/>
      <c r="Q63" s="493"/>
      <c r="R63" s="496"/>
      <c r="S63" s="496"/>
      <c r="T63" s="496"/>
      <c r="U63" s="496"/>
      <c r="V63" s="499"/>
      <c r="W63" s="568"/>
      <c r="X63" s="493"/>
      <c r="Y63" s="493"/>
      <c r="Z63" s="493"/>
    </row>
    <row r="64" ht="18.75" customHeight="1">
      <c r="A64" s="493"/>
      <c r="B64" s="494"/>
      <c r="C64" s="494"/>
      <c r="D64" s="494"/>
      <c r="E64" s="494"/>
      <c r="F64" s="501"/>
      <c r="G64" s="501"/>
      <c r="H64" s="494"/>
      <c r="I64" s="507"/>
      <c r="J64" s="507"/>
      <c r="K64" s="496"/>
      <c r="L64" s="496"/>
      <c r="M64" s="496"/>
      <c r="N64" s="496"/>
      <c r="O64" s="493"/>
      <c r="P64" s="493"/>
      <c r="Q64" s="493"/>
      <c r="R64" s="496"/>
      <c r="S64" s="496"/>
      <c r="T64" s="496"/>
      <c r="U64" s="496"/>
      <c r="V64" s="499"/>
      <c r="W64" s="568"/>
      <c r="X64" s="493"/>
      <c r="Y64" s="493"/>
      <c r="Z64" s="493"/>
    </row>
    <row r="65" ht="18.75" customHeight="1">
      <c r="A65" s="493"/>
      <c r="B65" s="494"/>
      <c r="C65" s="494"/>
      <c r="D65" s="494"/>
      <c r="E65" s="494"/>
      <c r="F65" s="501"/>
      <c r="G65" s="501"/>
      <c r="H65" s="494"/>
      <c r="I65" s="507"/>
      <c r="J65" s="507"/>
      <c r="K65" s="496"/>
      <c r="L65" s="496"/>
      <c r="M65" s="496"/>
      <c r="N65" s="496"/>
      <c r="O65" s="493"/>
      <c r="P65" s="493"/>
      <c r="Q65" s="493"/>
      <c r="R65" s="496"/>
      <c r="S65" s="496"/>
      <c r="T65" s="496"/>
      <c r="U65" s="496"/>
      <c r="V65" s="499"/>
      <c r="W65" s="568"/>
      <c r="X65" s="493"/>
      <c r="Y65" s="493"/>
      <c r="Z65" s="493"/>
    </row>
    <row r="66" ht="18.75" customHeight="1">
      <c r="A66" s="493"/>
      <c r="B66" s="494"/>
      <c r="C66" s="494"/>
      <c r="D66" s="494"/>
      <c r="E66" s="494"/>
      <c r="F66" s="501"/>
      <c r="G66" s="501"/>
      <c r="H66" s="494"/>
      <c r="I66" s="507"/>
      <c r="J66" s="507"/>
      <c r="K66" s="496"/>
      <c r="L66" s="496"/>
      <c r="M66" s="496"/>
      <c r="N66" s="496"/>
      <c r="O66" s="493"/>
      <c r="P66" s="493"/>
      <c r="Q66" s="493"/>
      <c r="R66" s="496"/>
      <c r="S66" s="496"/>
      <c r="T66" s="496"/>
      <c r="U66" s="496"/>
      <c r="V66" s="499"/>
      <c r="W66" s="568"/>
      <c r="X66" s="493"/>
      <c r="Y66" s="493"/>
      <c r="Z66" s="493"/>
    </row>
    <row r="67" ht="18.75" customHeight="1">
      <c r="A67" s="493"/>
      <c r="B67" s="494"/>
      <c r="C67" s="494"/>
      <c r="D67" s="494"/>
      <c r="E67" s="494"/>
      <c r="F67" s="501"/>
      <c r="G67" s="501"/>
      <c r="H67" s="494"/>
      <c r="I67" s="507"/>
      <c r="J67" s="507"/>
      <c r="K67" s="496"/>
      <c r="L67" s="496"/>
      <c r="M67" s="496"/>
      <c r="N67" s="496"/>
      <c r="O67" s="493"/>
      <c r="P67" s="493"/>
      <c r="Q67" s="493"/>
      <c r="R67" s="496"/>
      <c r="S67" s="496"/>
      <c r="T67" s="496"/>
      <c r="U67" s="496"/>
      <c r="V67" s="499"/>
      <c r="W67" s="568"/>
      <c r="X67" s="493"/>
      <c r="Y67" s="493"/>
      <c r="Z67" s="493"/>
    </row>
    <row r="68" ht="18.75" customHeight="1">
      <c r="A68" s="493"/>
      <c r="B68" s="494"/>
      <c r="C68" s="494"/>
      <c r="D68" s="494"/>
      <c r="E68" s="494"/>
      <c r="F68" s="501"/>
      <c r="G68" s="501"/>
      <c r="H68" s="494"/>
      <c r="I68" s="507"/>
      <c r="J68" s="507"/>
      <c r="K68" s="496"/>
      <c r="L68" s="496"/>
      <c r="M68" s="496"/>
      <c r="N68" s="496"/>
      <c r="O68" s="493"/>
      <c r="P68" s="493"/>
      <c r="Q68" s="493"/>
      <c r="R68" s="496"/>
      <c r="S68" s="496"/>
      <c r="T68" s="496"/>
      <c r="U68" s="496"/>
      <c r="V68" s="499"/>
      <c r="W68" s="568"/>
      <c r="X68" s="493"/>
      <c r="Y68" s="493"/>
      <c r="Z68" s="493"/>
    </row>
    <row r="69" ht="18.75" customHeight="1">
      <c r="A69" s="493"/>
      <c r="B69" s="494"/>
      <c r="C69" s="494"/>
      <c r="D69" s="494"/>
      <c r="E69" s="494"/>
      <c r="F69" s="501"/>
      <c r="G69" s="501"/>
      <c r="H69" s="494"/>
      <c r="I69" s="507"/>
      <c r="J69" s="507"/>
      <c r="K69" s="496"/>
      <c r="L69" s="496"/>
      <c r="M69" s="496"/>
      <c r="N69" s="496"/>
      <c r="O69" s="493"/>
      <c r="P69" s="493"/>
      <c r="Q69" s="493"/>
      <c r="R69" s="496"/>
      <c r="S69" s="496"/>
      <c r="T69" s="496"/>
      <c r="U69" s="496"/>
      <c r="V69" s="499"/>
      <c r="W69" s="568"/>
      <c r="X69" s="493"/>
      <c r="Y69" s="493"/>
      <c r="Z69" s="493"/>
    </row>
    <row r="70" ht="18.75" customHeight="1">
      <c r="A70" s="493"/>
      <c r="B70" s="494"/>
      <c r="C70" s="494"/>
      <c r="D70" s="494"/>
      <c r="E70" s="494"/>
      <c r="F70" s="501"/>
      <c r="G70" s="501"/>
      <c r="H70" s="494"/>
      <c r="I70" s="507"/>
      <c r="J70" s="507"/>
      <c r="K70" s="496"/>
      <c r="L70" s="496"/>
      <c r="M70" s="496"/>
      <c r="N70" s="496"/>
      <c r="O70" s="493"/>
      <c r="P70" s="493"/>
      <c r="Q70" s="493"/>
      <c r="R70" s="496"/>
      <c r="S70" s="496"/>
      <c r="T70" s="496"/>
      <c r="U70" s="496"/>
      <c r="V70" s="499"/>
      <c r="W70" s="568"/>
      <c r="X70" s="493"/>
      <c r="Y70" s="493"/>
      <c r="Z70" s="493"/>
    </row>
    <row r="71" ht="18.75" customHeight="1">
      <c r="A71" s="493"/>
      <c r="B71" s="494"/>
      <c r="C71" s="494"/>
      <c r="D71" s="494"/>
      <c r="E71" s="494"/>
      <c r="F71" s="501"/>
      <c r="G71" s="501"/>
      <c r="H71" s="494"/>
      <c r="I71" s="507"/>
      <c r="J71" s="507"/>
      <c r="K71" s="496"/>
      <c r="L71" s="496"/>
      <c r="M71" s="496"/>
      <c r="N71" s="496"/>
      <c r="O71" s="493"/>
      <c r="P71" s="493"/>
      <c r="Q71" s="493"/>
      <c r="R71" s="496"/>
      <c r="S71" s="496"/>
      <c r="T71" s="496"/>
      <c r="U71" s="496"/>
      <c r="V71" s="499"/>
      <c r="W71" s="568"/>
      <c r="X71" s="493"/>
      <c r="Y71" s="493"/>
      <c r="Z71" s="493"/>
    </row>
    <row r="72" ht="18.75" customHeight="1">
      <c r="A72" s="493"/>
      <c r="B72" s="494"/>
      <c r="C72" s="494"/>
      <c r="D72" s="494"/>
      <c r="E72" s="494"/>
      <c r="F72" s="501"/>
      <c r="G72" s="501"/>
      <c r="H72" s="494"/>
      <c r="I72" s="507"/>
      <c r="J72" s="507"/>
      <c r="K72" s="496"/>
      <c r="L72" s="496"/>
      <c r="M72" s="496"/>
      <c r="N72" s="496"/>
      <c r="O72" s="493"/>
      <c r="P72" s="493"/>
      <c r="Q72" s="493"/>
      <c r="R72" s="496"/>
      <c r="S72" s="496"/>
      <c r="T72" s="496"/>
      <c r="U72" s="496"/>
      <c r="V72" s="499"/>
      <c r="W72" s="568"/>
      <c r="X72" s="493"/>
      <c r="Y72" s="493"/>
      <c r="Z72" s="493"/>
    </row>
    <row r="73" ht="18.75" customHeight="1">
      <c r="A73" s="493"/>
      <c r="B73" s="494"/>
      <c r="C73" s="494"/>
      <c r="D73" s="494"/>
      <c r="E73" s="494"/>
      <c r="F73" s="501"/>
      <c r="G73" s="501"/>
      <c r="H73" s="494"/>
      <c r="I73" s="507"/>
      <c r="J73" s="507"/>
      <c r="K73" s="496"/>
      <c r="L73" s="496"/>
      <c r="M73" s="496"/>
      <c r="N73" s="496"/>
      <c r="O73" s="493"/>
      <c r="P73" s="493"/>
      <c r="Q73" s="493"/>
      <c r="R73" s="496"/>
      <c r="S73" s="496"/>
      <c r="T73" s="496"/>
      <c r="U73" s="496"/>
      <c r="V73" s="499"/>
      <c r="W73" s="568"/>
      <c r="X73" s="493"/>
      <c r="Y73" s="493"/>
      <c r="Z73" s="493"/>
    </row>
    <row r="74" ht="18.75" customHeight="1">
      <c r="A74" s="493"/>
      <c r="B74" s="494"/>
      <c r="C74" s="494"/>
      <c r="D74" s="494"/>
      <c r="E74" s="494"/>
      <c r="F74" s="501"/>
      <c r="G74" s="501"/>
      <c r="H74" s="494"/>
      <c r="I74" s="507"/>
      <c r="J74" s="507"/>
      <c r="K74" s="496"/>
      <c r="L74" s="496"/>
      <c r="M74" s="496"/>
      <c r="N74" s="496"/>
      <c r="O74" s="493"/>
      <c r="P74" s="493"/>
      <c r="Q74" s="493"/>
      <c r="R74" s="496"/>
      <c r="S74" s="496"/>
      <c r="T74" s="496"/>
      <c r="U74" s="496"/>
      <c r="V74" s="499"/>
      <c r="W74" s="568"/>
      <c r="X74" s="493"/>
      <c r="Y74" s="493"/>
      <c r="Z74" s="493"/>
    </row>
    <row r="75" ht="18.75" customHeight="1">
      <c r="A75" s="493"/>
      <c r="B75" s="494"/>
      <c r="C75" s="494"/>
      <c r="D75" s="494"/>
      <c r="E75" s="494"/>
      <c r="F75" s="501"/>
      <c r="G75" s="501"/>
      <c r="H75" s="494"/>
      <c r="I75" s="507"/>
      <c r="J75" s="507"/>
      <c r="K75" s="496"/>
      <c r="L75" s="496"/>
      <c r="M75" s="496"/>
      <c r="N75" s="496"/>
      <c r="O75" s="493"/>
      <c r="P75" s="493"/>
      <c r="Q75" s="493"/>
      <c r="R75" s="496"/>
      <c r="S75" s="496"/>
      <c r="T75" s="496"/>
      <c r="U75" s="496"/>
      <c r="V75" s="499"/>
      <c r="W75" s="568"/>
      <c r="X75" s="493"/>
      <c r="Y75" s="493"/>
      <c r="Z75" s="493"/>
    </row>
    <row r="76" ht="18.75" customHeight="1">
      <c r="A76" s="493"/>
      <c r="B76" s="494"/>
      <c r="C76" s="494"/>
      <c r="D76" s="494"/>
      <c r="E76" s="494"/>
      <c r="F76" s="501"/>
      <c r="G76" s="501"/>
      <c r="H76" s="494"/>
      <c r="I76" s="507"/>
      <c r="J76" s="507"/>
      <c r="K76" s="496"/>
      <c r="L76" s="496"/>
      <c r="M76" s="496"/>
      <c r="N76" s="496"/>
      <c r="O76" s="493"/>
      <c r="P76" s="493"/>
      <c r="Q76" s="493"/>
      <c r="R76" s="496"/>
      <c r="S76" s="496"/>
      <c r="T76" s="496"/>
      <c r="U76" s="496"/>
      <c r="V76" s="499"/>
      <c r="W76" s="568"/>
      <c r="X76" s="493"/>
      <c r="Y76" s="493"/>
      <c r="Z76" s="493"/>
    </row>
    <row r="77" ht="18.75" customHeight="1">
      <c r="A77" s="493"/>
      <c r="B77" s="494"/>
      <c r="C77" s="494"/>
      <c r="D77" s="494"/>
      <c r="E77" s="494"/>
      <c r="F77" s="501"/>
      <c r="G77" s="501"/>
      <c r="H77" s="494"/>
      <c r="I77" s="507"/>
      <c r="J77" s="507"/>
      <c r="K77" s="496"/>
      <c r="L77" s="496"/>
      <c r="M77" s="496"/>
      <c r="N77" s="496"/>
      <c r="O77" s="493"/>
      <c r="P77" s="493"/>
      <c r="Q77" s="493"/>
      <c r="R77" s="496"/>
      <c r="S77" s="496"/>
      <c r="T77" s="496"/>
      <c r="U77" s="496"/>
      <c r="V77" s="499"/>
      <c r="W77" s="568"/>
      <c r="X77" s="493"/>
      <c r="Y77" s="493"/>
      <c r="Z77" s="493"/>
    </row>
    <row r="78" ht="18.75" customHeight="1">
      <c r="A78" s="493"/>
      <c r="B78" s="494"/>
      <c r="C78" s="494"/>
      <c r="D78" s="494"/>
      <c r="E78" s="494"/>
      <c r="F78" s="501"/>
      <c r="G78" s="501"/>
      <c r="H78" s="494"/>
      <c r="I78" s="507"/>
      <c r="J78" s="507"/>
      <c r="K78" s="496"/>
      <c r="L78" s="496"/>
      <c r="M78" s="496"/>
      <c r="N78" s="496"/>
      <c r="O78" s="493"/>
      <c r="P78" s="493"/>
      <c r="Q78" s="493"/>
      <c r="R78" s="496"/>
      <c r="S78" s="496"/>
      <c r="T78" s="496"/>
      <c r="U78" s="496"/>
      <c r="V78" s="499"/>
      <c r="W78" s="568"/>
      <c r="X78" s="493"/>
      <c r="Y78" s="493"/>
      <c r="Z78" s="493"/>
    </row>
    <row r="79" ht="18.75" customHeight="1">
      <c r="A79" s="493"/>
      <c r="B79" s="494"/>
      <c r="C79" s="494"/>
      <c r="D79" s="494"/>
      <c r="E79" s="494"/>
      <c r="F79" s="501"/>
      <c r="G79" s="501"/>
      <c r="H79" s="494"/>
      <c r="I79" s="507"/>
      <c r="J79" s="507"/>
      <c r="K79" s="496"/>
      <c r="L79" s="496"/>
      <c r="M79" s="496"/>
      <c r="N79" s="496"/>
      <c r="O79" s="493"/>
      <c r="P79" s="493"/>
      <c r="Q79" s="493"/>
      <c r="R79" s="496"/>
      <c r="S79" s="496"/>
      <c r="T79" s="496"/>
      <c r="U79" s="496"/>
      <c r="V79" s="499"/>
      <c r="W79" s="568"/>
      <c r="X79" s="493"/>
      <c r="Y79" s="493"/>
      <c r="Z79" s="493"/>
    </row>
    <row r="80" ht="18.75" customHeight="1">
      <c r="A80" s="493"/>
      <c r="B80" s="494"/>
      <c r="C80" s="494"/>
      <c r="D80" s="494"/>
      <c r="E80" s="494"/>
      <c r="F80" s="501"/>
      <c r="G80" s="501"/>
      <c r="H80" s="494"/>
      <c r="I80" s="507"/>
      <c r="J80" s="507"/>
      <c r="K80" s="496"/>
      <c r="L80" s="496"/>
      <c r="M80" s="496"/>
      <c r="N80" s="496"/>
      <c r="O80" s="493"/>
      <c r="P80" s="493"/>
      <c r="Q80" s="493"/>
      <c r="R80" s="496"/>
      <c r="S80" s="496"/>
      <c r="T80" s="496"/>
      <c r="U80" s="496"/>
      <c r="V80" s="499"/>
      <c r="W80" s="568"/>
      <c r="X80" s="493"/>
      <c r="Y80" s="493"/>
      <c r="Z80" s="493"/>
    </row>
    <row r="81" ht="18.75" customHeight="1">
      <c r="A81" s="493"/>
      <c r="B81" s="494"/>
      <c r="C81" s="494"/>
      <c r="D81" s="494"/>
      <c r="E81" s="494"/>
      <c r="F81" s="501"/>
      <c r="G81" s="501"/>
      <c r="H81" s="494"/>
      <c r="I81" s="507"/>
      <c r="J81" s="507"/>
      <c r="K81" s="496"/>
      <c r="L81" s="496"/>
      <c r="M81" s="496"/>
      <c r="N81" s="496"/>
      <c r="O81" s="493"/>
      <c r="P81" s="493"/>
      <c r="Q81" s="493"/>
      <c r="R81" s="496"/>
      <c r="S81" s="496"/>
      <c r="T81" s="496"/>
      <c r="U81" s="496"/>
      <c r="V81" s="499"/>
      <c r="W81" s="568"/>
      <c r="X81" s="493"/>
      <c r="Y81" s="493"/>
      <c r="Z81" s="493"/>
    </row>
    <row r="82" ht="18.75" customHeight="1">
      <c r="A82" s="493"/>
      <c r="B82" s="494"/>
      <c r="C82" s="494"/>
      <c r="D82" s="494"/>
      <c r="E82" s="494"/>
      <c r="F82" s="501"/>
      <c r="G82" s="501"/>
      <c r="H82" s="494"/>
      <c r="I82" s="507"/>
      <c r="J82" s="507"/>
      <c r="K82" s="496"/>
      <c r="L82" s="496"/>
      <c r="M82" s="496"/>
      <c r="N82" s="496"/>
      <c r="O82" s="493"/>
      <c r="P82" s="493"/>
      <c r="Q82" s="493"/>
      <c r="R82" s="496"/>
      <c r="S82" s="496"/>
      <c r="T82" s="496"/>
      <c r="U82" s="496"/>
      <c r="V82" s="499"/>
      <c r="W82" s="568"/>
      <c r="X82" s="493"/>
      <c r="Y82" s="493"/>
      <c r="Z82" s="493"/>
    </row>
    <row r="83" ht="18.75" customHeight="1">
      <c r="A83" s="493"/>
      <c r="B83" s="494"/>
      <c r="C83" s="494"/>
      <c r="D83" s="494"/>
      <c r="E83" s="494"/>
      <c r="F83" s="501"/>
      <c r="G83" s="501"/>
      <c r="H83" s="494"/>
      <c r="I83" s="507"/>
      <c r="J83" s="507"/>
      <c r="K83" s="496"/>
      <c r="L83" s="496"/>
      <c r="M83" s="496"/>
      <c r="N83" s="496"/>
      <c r="O83" s="493"/>
      <c r="P83" s="493"/>
      <c r="Q83" s="493"/>
      <c r="R83" s="496"/>
      <c r="S83" s="496"/>
      <c r="T83" s="496"/>
      <c r="U83" s="496"/>
      <c r="V83" s="499"/>
      <c r="W83" s="568"/>
      <c r="X83" s="493"/>
      <c r="Y83" s="493"/>
      <c r="Z83" s="493"/>
    </row>
    <row r="84" ht="18.75" customHeight="1">
      <c r="A84" s="493"/>
      <c r="B84" s="494"/>
      <c r="C84" s="494"/>
      <c r="D84" s="494"/>
      <c r="E84" s="494"/>
      <c r="F84" s="501"/>
      <c r="G84" s="501"/>
      <c r="H84" s="494"/>
      <c r="I84" s="507"/>
      <c r="J84" s="507"/>
      <c r="K84" s="496"/>
      <c r="L84" s="496"/>
      <c r="M84" s="496"/>
      <c r="N84" s="496"/>
      <c r="O84" s="493"/>
      <c r="P84" s="493"/>
      <c r="Q84" s="493"/>
      <c r="R84" s="496"/>
      <c r="S84" s="496"/>
      <c r="T84" s="496"/>
      <c r="U84" s="496"/>
      <c r="V84" s="499"/>
      <c r="W84" s="568"/>
      <c r="X84" s="493"/>
      <c r="Y84" s="493"/>
      <c r="Z84" s="493"/>
    </row>
    <row r="85" ht="18.75" customHeight="1">
      <c r="A85" s="493"/>
      <c r="B85" s="494"/>
      <c r="C85" s="494"/>
      <c r="D85" s="494"/>
      <c r="E85" s="494"/>
      <c r="F85" s="501"/>
      <c r="G85" s="501"/>
      <c r="H85" s="494"/>
      <c r="I85" s="507"/>
      <c r="J85" s="507"/>
      <c r="K85" s="496"/>
      <c r="L85" s="496"/>
      <c r="M85" s="496"/>
      <c r="N85" s="496"/>
      <c r="O85" s="493"/>
      <c r="P85" s="493"/>
      <c r="Q85" s="493"/>
      <c r="R85" s="496"/>
      <c r="S85" s="496"/>
      <c r="T85" s="496"/>
      <c r="U85" s="496"/>
      <c r="V85" s="499"/>
      <c r="W85" s="568"/>
      <c r="X85" s="493"/>
      <c r="Y85" s="493"/>
      <c r="Z85" s="493"/>
    </row>
    <row r="86" ht="18.75" customHeight="1">
      <c r="A86" s="493"/>
      <c r="B86" s="494"/>
      <c r="C86" s="494"/>
      <c r="D86" s="494"/>
      <c r="E86" s="494"/>
      <c r="F86" s="501"/>
      <c r="G86" s="501"/>
      <c r="H86" s="494"/>
      <c r="I86" s="507"/>
      <c r="J86" s="507"/>
      <c r="K86" s="496"/>
      <c r="L86" s="496"/>
      <c r="M86" s="496"/>
      <c r="N86" s="496"/>
      <c r="O86" s="493"/>
      <c r="P86" s="493"/>
      <c r="Q86" s="493"/>
      <c r="R86" s="496"/>
      <c r="S86" s="496"/>
      <c r="T86" s="496"/>
      <c r="U86" s="496"/>
      <c r="V86" s="499"/>
      <c r="W86" s="568"/>
      <c r="X86" s="493"/>
      <c r="Y86" s="493"/>
      <c r="Z86" s="493"/>
    </row>
    <row r="87" ht="18.75" customHeight="1">
      <c r="A87" s="493"/>
      <c r="B87" s="494"/>
      <c r="C87" s="494"/>
      <c r="D87" s="494"/>
      <c r="E87" s="494"/>
      <c r="F87" s="501"/>
      <c r="G87" s="501"/>
      <c r="H87" s="494"/>
      <c r="I87" s="507"/>
      <c r="J87" s="507"/>
      <c r="K87" s="496"/>
      <c r="L87" s="496"/>
      <c r="M87" s="496"/>
      <c r="N87" s="496"/>
      <c r="O87" s="493"/>
      <c r="P87" s="493"/>
      <c r="Q87" s="493"/>
      <c r="R87" s="496"/>
      <c r="S87" s="496"/>
      <c r="T87" s="496"/>
      <c r="U87" s="496"/>
      <c r="V87" s="499"/>
      <c r="W87" s="568"/>
      <c r="X87" s="493"/>
      <c r="Y87" s="493"/>
      <c r="Z87" s="493"/>
    </row>
    <row r="88" ht="18.75" customHeight="1">
      <c r="A88" s="493"/>
      <c r="B88" s="494"/>
      <c r="C88" s="494"/>
      <c r="D88" s="494"/>
      <c r="E88" s="494"/>
      <c r="F88" s="501"/>
      <c r="G88" s="501"/>
      <c r="H88" s="494"/>
      <c r="I88" s="507"/>
      <c r="J88" s="507"/>
      <c r="K88" s="496"/>
      <c r="L88" s="496"/>
      <c r="M88" s="496"/>
      <c r="N88" s="496"/>
      <c r="O88" s="493"/>
      <c r="P88" s="493"/>
      <c r="Q88" s="493"/>
      <c r="R88" s="496"/>
      <c r="S88" s="496"/>
      <c r="T88" s="496"/>
      <c r="U88" s="496"/>
      <c r="V88" s="499"/>
      <c r="W88" s="568"/>
      <c r="X88" s="493"/>
      <c r="Y88" s="493"/>
      <c r="Z88" s="493"/>
    </row>
    <row r="89" ht="18.75" customHeight="1">
      <c r="A89" s="493"/>
      <c r="B89" s="494"/>
      <c r="C89" s="494"/>
      <c r="D89" s="494"/>
      <c r="E89" s="494"/>
      <c r="F89" s="501"/>
      <c r="G89" s="501"/>
      <c r="H89" s="494"/>
      <c r="I89" s="507"/>
      <c r="J89" s="507"/>
      <c r="K89" s="496"/>
      <c r="L89" s="496"/>
      <c r="M89" s="496"/>
      <c r="N89" s="496"/>
      <c r="O89" s="493"/>
      <c r="P89" s="493"/>
      <c r="Q89" s="493"/>
      <c r="R89" s="496"/>
      <c r="S89" s="496"/>
      <c r="T89" s="496"/>
      <c r="U89" s="496"/>
      <c r="V89" s="499"/>
      <c r="W89" s="568"/>
      <c r="X89" s="493"/>
      <c r="Y89" s="493"/>
      <c r="Z89" s="493"/>
    </row>
    <row r="90" ht="18.75" customHeight="1">
      <c r="A90" s="493"/>
      <c r="B90" s="494"/>
      <c r="C90" s="494"/>
      <c r="D90" s="494"/>
      <c r="E90" s="494"/>
      <c r="F90" s="501"/>
      <c r="G90" s="501"/>
      <c r="H90" s="494"/>
      <c r="I90" s="507"/>
      <c r="J90" s="507"/>
      <c r="K90" s="496"/>
      <c r="L90" s="496"/>
      <c r="M90" s="496"/>
      <c r="N90" s="496"/>
      <c r="O90" s="493"/>
      <c r="P90" s="493"/>
      <c r="Q90" s="493"/>
      <c r="R90" s="496"/>
      <c r="S90" s="496"/>
      <c r="T90" s="496"/>
      <c r="U90" s="496"/>
      <c r="V90" s="499"/>
      <c r="W90" s="568"/>
      <c r="X90" s="493"/>
      <c r="Y90" s="493"/>
      <c r="Z90" s="493"/>
    </row>
    <row r="91" ht="18.75" customHeight="1">
      <c r="A91" s="493"/>
      <c r="B91" s="494"/>
      <c r="C91" s="494"/>
      <c r="D91" s="494"/>
      <c r="E91" s="494"/>
      <c r="F91" s="501"/>
      <c r="G91" s="501"/>
      <c r="H91" s="494"/>
      <c r="I91" s="507"/>
      <c r="J91" s="507"/>
      <c r="K91" s="496"/>
      <c r="L91" s="496"/>
      <c r="M91" s="496"/>
      <c r="N91" s="496"/>
      <c r="O91" s="493"/>
      <c r="P91" s="493"/>
      <c r="Q91" s="493"/>
      <c r="R91" s="496"/>
      <c r="S91" s="496"/>
      <c r="T91" s="496"/>
      <c r="U91" s="496"/>
      <c r="V91" s="499"/>
      <c r="W91" s="568"/>
      <c r="X91" s="493"/>
      <c r="Y91" s="493"/>
      <c r="Z91" s="493"/>
    </row>
    <row r="92" ht="18.75" customHeight="1">
      <c r="A92" s="493"/>
      <c r="B92" s="494"/>
      <c r="C92" s="494"/>
      <c r="D92" s="494"/>
      <c r="E92" s="494"/>
      <c r="F92" s="501"/>
      <c r="G92" s="501"/>
      <c r="H92" s="494"/>
      <c r="I92" s="507"/>
      <c r="J92" s="507"/>
      <c r="K92" s="496"/>
      <c r="L92" s="496"/>
      <c r="M92" s="496"/>
      <c r="N92" s="496"/>
      <c r="O92" s="493"/>
      <c r="P92" s="493"/>
      <c r="Q92" s="493"/>
      <c r="R92" s="496"/>
      <c r="S92" s="496"/>
      <c r="T92" s="496"/>
      <c r="U92" s="496"/>
      <c r="V92" s="499"/>
      <c r="W92" s="568"/>
      <c r="X92" s="493"/>
      <c r="Y92" s="493"/>
      <c r="Z92" s="493"/>
    </row>
    <row r="93" ht="18.75" customHeight="1">
      <c r="A93" s="493"/>
      <c r="B93" s="494"/>
      <c r="C93" s="494"/>
      <c r="D93" s="494"/>
      <c r="E93" s="494"/>
      <c r="F93" s="501"/>
      <c r="G93" s="501"/>
      <c r="H93" s="494"/>
      <c r="I93" s="507"/>
      <c r="J93" s="507"/>
      <c r="K93" s="496"/>
      <c r="L93" s="496"/>
      <c r="M93" s="496"/>
      <c r="N93" s="496"/>
      <c r="O93" s="493"/>
      <c r="P93" s="493"/>
      <c r="Q93" s="493"/>
      <c r="R93" s="496"/>
      <c r="S93" s="496"/>
      <c r="T93" s="496"/>
      <c r="U93" s="496"/>
      <c r="V93" s="499"/>
      <c r="W93" s="568"/>
      <c r="X93" s="493"/>
      <c r="Y93" s="493"/>
      <c r="Z93" s="493"/>
    </row>
    <row r="94" ht="18.75" customHeight="1">
      <c r="A94" s="493"/>
      <c r="B94" s="494"/>
      <c r="C94" s="494"/>
      <c r="D94" s="494"/>
      <c r="E94" s="494"/>
      <c r="F94" s="501"/>
      <c r="G94" s="501"/>
      <c r="H94" s="494"/>
      <c r="I94" s="507"/>
      <c r="J94" s="507"/>
      <c r="K94" s="496"/>
      <c r="L94" s="496"/>
      <c r="M94" s="496"/>
      <c r="N94" s="496"/>
      <c r="O94" s="493"/>
      <c r="P94" s="493"/>
      <c r="Q94" s="493"/>
      <c r="R94" s="496"/>
      <c r="S94" s="496"/>
      <c r="T94" s="496"/>
      <c r="U94" s="496"/>
      <c r="V94" s="499"/>
      <c r="W94" s="568"/>
      <c r="X94" s="493"/>
      <c r="Y94" s="493"/>
      <c r="Z94" s="493"/>
    </row>
    <row r="95" ht="18.75" customHeight="1">
      <c r="A95" s="493"/>
      <c r="B95" s="494"/>
      <c r="C95" s="494"/>
      <c r="D95" s="494"/>
      <c r="E95" s="494"/>
      <c r="F95" s="501"/>
      <c r="G95" s="501"/>
      <c r="H95" s="494"/>
      <c r="I95" s="507"/>
      <c r="J95" s="507"/>
      <c r="K95" s="496"/>
      <c r="L95" s="496"/>
      <c r="M95" s="496"/>
      <c r="N95" s="496"/>
      <c r="O95" s="493"/>
      <c r="P95" s="493"/>
      <c r="Q95" s="493"/>
      <c r="R95" s="496"/>
      <c r="S95" s="496"/>
      <c r="T95" s="496"/>
      <c r="U95" s="496"/>
      <c r="V95" s="499"/>
      <c r="W95" s="568"/>
      <c r="X95" s="493"/>
      <c r="Y95" s="493"/>
      <c r="Z95" s="493"/>
    </row>
    <row r="96" ht="18.75" customHeight="1">
      <c r="A96" s="493"/>
      <c r="B96" s="494"/>
      <c r="C96" s="494"/>
      <c r="D96" s="494"/>
      <c r="E96" s="494"/>
      <c r="F96" s="501"/>
      <c r="G96" s="501"/>
      <c r="H96" s="494"/>
      <c r="I96" s="507"/>
      <c r="J96" s="507"/>
      <c r="K96" s="496"/>
      <c r="L96" s="496"/>
      <c r="M96" s="496"/>
      <c r="N96" s="496"/>
      <c r="O96" s="493"/>
      <c r="P96" s="493"/>
      <c r="Q96" s="493"/>
      <c r="R96" s="496"/>
      <c r="S96" s="496"/>
      <c r="T96" s="496"/>
      <c r="U96" s="496"/>
      <c r="V96" s="499"/>
      <c r="W96" s="568"/>
      <c r="X96" s="493"/>
      <c r="Y96" s="493"/>
      <c r="Z96" s="493"/>
    </row>
    <row r="97" ht="18.75" customHeight="1">
      <c r="A97" s="493"/>
      <c r="B97" s="494"/>
      <c r="C97" s="494"/>
      <c r="D97" s="494"/>
      <c r="E97" s="494"/>
      <c r="F97" s="501"/>
      <c r="G97" s="501"/>
      <c r="H97" s="494"/>
      <c r="I97" s="507"/>
      <c r="J97" s="507"/>
      <c r="K97" s="496"/>
      <c r="L97" s="496"/>
      <c r="M97" s="496"/>
      <c r="N97" s="496"/>
      <c r="O97" s="493"/>
      <c r="P97" s="493"/>
      <c r="Q97" s="493"/>
      <c r="R97" s="496"/>
      <c r="S97" s="496"/>
      <c r="T97" s="496"/>
      <c r="U97" s="496"/>
      <c r="V97" s="499"/>
      <c r="W97" s="568"/>
      <c r="X97" s="493"/>
      <c r="Y97" s="493"/>
      <c r="Z97" s="493"/>
    </row>
    <row r="98" ht="18.75" customHeight="1">
      <c r="A98" s="493"/>
      <c r="B98" s="494"/>
      <c r="C98" s="494"/>
      <c r="D98" s="494"/>
      <c r="E98" s="494"/>
      <c r="F98" s="501"/>
      <c r="G98" s="501"/>
      <c r="H98" s="494"/>
      <c r="I98" s="507"/>
      <c r="J98" s="507"/>
      <c r="K98" s="496"/>
      <c r="L98" s="496"/>
      <c r="M98" s="496"/>
      <c r="N98" s="496"/>
      <c r="O98" s="493"/>
      <c r="P98" s="493"/>
      <c r="Q98" s="493"/>
      <c r="R98" s="496"/>
      <c r="S98" s="496"/>
      <c r="T98" s="496"/>
      <c r="U98" s="496"/>
      <c r="V98" s="499"/>
      <c r="W98" s="568"/>
      <c r="X98" s="493"/>
      <c r="Y98" s="493"/>
      <c r="Z98" s="493"/>
    </row>
    <row r="99" ht="18.75" customHeight="1">
      <c r="A99" s="493"/>
      <c r="B99" s="494"/>
      <c r="C99" s="494"/>
      <c r="D99" s="494"/>
      <c r="E99" s="494"/>
      <c r="F99" s="501"/>
      <c r="G99" s="501"/>
      <c r="H99" s="494"/>
      <c r="I99" s="507"/>
      <c r="J99" s="507"/>
      <c r="K99" s="496"/>
      <c r="L99" s="496"/>
      <c r="M99" s="496"/>
      <c r="N99" s="496"/>
      <c r="O99" s="493"/>
      <c r="P99" s="493"/>
      <c r="Q99" s="493"/>
      <c r="R99" s="496"/>
      <c r="S99" s="496"/>
      <c r="T99" s="496"/>
      <c r="U99" s="496"/>
      <c r="V99" s="499"/>
      <c r="W99" s="568"/>
      <c r="X99" s="493"/>
      <c r="Y99" s="493"/>
      <c r="Z99" s="493"/>
    </row>
    <row r="100" ht="18.75" customHeight="1">
      <c r="A100" s="493"/>
      <c r="B100" s="494"/>
      <c r="C100" s="494"/>
      <c r="D100" s="494"/>
      <c r="E100" s="494"/>
      <c r="F100" s="501"/>
      <c r="G100" s="501"/>
      <c r="H100" s="494"/>
      <c r="I100" s="507"/>
      <c r="J100" s="507"/>
      <c r="K100" s="496"/>
      <c r="L100" s="496"/>
      <c r="M100" s="496"/>
      <c r="N100" s="496"/>
      <c r="O100" s="493"/>
      <c r="P100" s="493"/>
      <c r="Q100" s="493"/>
      <c r="R100" s="496"/>
      <c r="S100" s="496"/>
      <c r="T100" s="496"/>
      <c r="U100" s="496"/>
      <c r="V100" s="499"/>
      <c r="W100" s="568"/>
      <c r="X100" s="493"/>
      <c r="Y100" s="493"/>
      <c r="Z100" s="493"/>
    </row>
    <row r="101" ht="18.75" customHeight="1">
      <c r="A101" s="493"/>
      <c r="B101" s="494"/>
      <c r="C101" s="494"/>
      <c r="D101" s="494"/>
      <c r="E101" s="494"/>
      <c r="F101" s="501"/>
      <c r="G101" s="501"/>
      <c r="H101" s="494"/>
      <c r="I101" s="507"/>
      <c r="J101" s="507"/>
      <c r="K101" s="496"/>
      <c r="L101" s="496"/>
      <c r="M101" s="496"/>
      <c r="N101" s="496"/>
      <c r="O101" s="493"/>
      <c r="P101" s="493"/>
      <c r="Q101" s="493"/>
      <c r="R101" s="496"/>
      <c r="S101" s="496"/>
      <c r="T101" s="496"/>
      <c r="U101" s="496"/>
      <c r="V101" s="499"/>
      <c r="W101" s="568"/>
      <c r="X101" s="493"/>
      <c r="Y101" s="493"/>
      <c r="Z101" s="493"/>
    </row>
    <row r="102" ht="18.75" customHeight="1">
      <c r="A102" s="493"/>
      <c r="B102" s="494"/>
      <c r="C102" s="494"/>
      <c r="D102" s="494"/>
      <c r="E102" s="494"/>
      <c r="F102" s="501"/>
      <c r="G102" s="501"/>
      <c r="H102" s="494"/>
      <c r="I102" s="507"/>
      <c r="J102" s="507"/>
      <c r="K102" s="496"/>
      <c r="L102" s="496"/>
      <c r="M102" s="496"/>
      <c r="N102" s="496"/>
      <c r="O102" s="493"/>
      <c r="P102" s="493"/>
      <c r="Q102" s="493"/>
      <c r="R102" s="496"/>
      <c r="S102" s="496"/>
      <c r="T102" s="496"/>
      <c r="U102" s="496"/>
      <c r="V102" s="499"/>
      <c r="W102" s="568"/>
      <c r="X102" s="493"/>
      <c r="Y102" s="493"/>
      <c r="Z102" s="493"/>
    </row>
    <row r="103" ht="18.75" customHeight="1">
      <c r="A103" s="493"/>
      <c r="B103" s="494"/>
      <c r="C103" s="494"/>
      <c r="D103" s="494"/>
      <c r="E103" s="494"/>
      <c r="F103" s="501"/>
      <c r="G103" s="501"/>
      <c r="H103" s="494"/>
      <c r="I103" s="507"/>
      <c r="J103" s="507"/>
      <c r="K103" s="496"/>
      <c r="L103" s="496"/>
      <c r="M103" s="496"/>
      <c r="N103" s="496"/>
      <c r="O103" s="493"/>
      <c r="P103" s="493"/>
      <c r="Q103" s="493"/>
      <c r="R103" s="496"/>
      <c r="S103" s="496"/>
      <c r="T103" s="496"/>
      <c r="U103" s="496"/>
      <c r="V103" s="499"/>
      <c r="W103" s="568"/>
      <c r="X103" s="493"/>
      <c r="Y103" s="493"/>
      <c r="Z103" s="493"/>
    </row>
    <row r="104" ht="18.75" customHeight="1">
      <c r="A104" s="493"/>
      <c r="B104" s="494"/>
      <c r="C104" s="494"/>
      <c r="D104" s="494"/>
      <c r="E104" s="494"/>
      <c r="F104" s="501"/>
      <c r="G104" s="501"/>
      <c r="H104" s="494"/>
      <c r="I104" s="507"/>
      <c r="J104" s="507"/>
      <c r="K104" s="496"/>
      <c r="L104" s="496"/>
      <c r="M104" s="496"/>
      <c r="N104" s="496"/>
      <c r="O104" s="493"/>
      <c r="P104" s="493"/>
      <c r="Q104" s="493"/>
      <c r="R104" s="496"/>
      <c r="S104" s="496"/>
      <c r="T104" s="496"/>
      <c r="U104" s="496"/>
      <c r="V104" s="499"/>
      <c r="W104" s="568"/>
      <c r="X104" s="493"/>
      <c r="Y104" s="493"/>
      <c r="Z104" s="493"/>
    </row>
    <row r="105" ht="18.75" customHeight="1">
      <c r="A105" s="493"/>
      <c r="B105" s="494"/>
      <c r="C105" s="494"/>
      <c r="D105" s="494"/>
      <c r="E105" s="494"/>
      <c r="F105" s="501"/>
      <c r="G105" s="501"/>
      <c r="H105" s="494"/>
      <c r="I105" s="507"/>
      <c r="J105" s="507"/>
      <c r="K105" s="496"/>
      <c r="L105" s="496"/>
      <c r="M105" s="496"/>
      <c r="N105" s="496"/>
      <c r="O105" s="493"/>
      <c r="P105" s="493"/>
      <c r="Q105" s="493"/>
      <c r="R105" s="496"/>
      <c r="S105" s="496"/>
      <c r="T105" s="496"/>
      <c r="U105" s="496"/>
      <c r="V105" s="499"/>
      <c r="W105" s="568"/>
      <c r="X105" s="493"/>
      <c r="Y105" s="493"/>
      <c r="Z105" s="493"/>
    </row>
    <row r="106" ht="18.75" customHeight="1">
      <c r="A106" s="493"/>
      <c r="B106" s="494"/>
      <c r="C106" s="494"/>
      <c r="D106" s="494"/>
      <c r="E106" s="494"/>
      <c r="F106" s="501"/>
      <c r="G106" s="501"/>
      <c r="H106" s="494"/>
      <c r="I106" s="507"/>
      <c r="J106" s="507"/>
      <c r="K106" s="496"/>
      <c r="L106" s="496"/>
      <c r="M106" s="496"/>
      <c r="N106" s="496"/>
      <c r="O106" s="493"/>
      <c r="P106" s="493"/>
      <c r="Q106" s="493"/>
      <c r="R106" s="496"/>
      <c r="S106" s="496"/>
      <c r="T106" s="496"/>
      <c r="U106" s="496"/>
      <c r="V106" s="499"/>
      <c r="W106" s="568"/>
      <c r="X106" s="493"/>
      <c r="Y106" s="493"/>
      <c r="Z106" s="493"/>
    </row>
    <row r="107" ht="18.75" customHeight="1">
      <c r="A107" s="493"/>
      <c r="B107" s="494"/>
      <c r="C107" s="494"/>
      <c r="D107" s="494"/>
      <c r="E107" s="494"/>
      <c r="F107" s="501"/>
      <c r="G107" s="501"/>
      <c r="H107" s="494"/>
      <c r="I107" s="507"/>
      <c r="J107" s="507"/>
      <c r="K107" s="496"/>
      <c r="L107" s="496"/>
      <c r="M107" s="496"/>
      <c r="N107" s="496"/>
      <c r="O107" s="493"/>
      <c r="P107" s="493"/>
      <c r="Q107" s="493"/>
      <c r="R107" s="496"/>
      <c r="S107" s="496"/>
      <c r="T107" s="496"/>
      <c r="U107" s="496"/>
      <c r="V107" s="499"/>
      <c r="W107" s="568"/>
      <c r="X107" s="493"/>
      <c r="Y107" s="493"/>
      <c r="Z107" s="493"/>
    </row>
    <row r="108" ht="18.75" customHeight="1">
      <c r="A108" s="493"/>
      <c r="B108" s="494"/>
      <c r="C108" s="494"/>
      <c r="D108" s="494"/>
      <c r="E108" s="494"/>
      <c r="F108" s="501"/>
      <c r="G108" s="501"/>
      <c r="H108" s="494"/>
      <c r="I108" s="507"/>
      <c r="J108" s="507"/>
      <c r="K108" s="496"/>
      <c r="L108" s="496"/>
      <c r="M108" s="496"/>
      <c r="N108" s="496"/>
      <c r="O108" s="493"/>
      <c r="P108" s="493"/>
      <c r="Q108" s="493"/>
      <c r="R108" s="496"/>
      <c r="S108" s="496"/>
      <c r="T108" s="496"/>
      <c r="U108" s="496"/>
      <c r="V108" s="499"/>
      <c r="W108" s="568"/>
      <c r="X108" s="493"/>
      <c r="Y108" s="493"/>
      <c r="Z108" s="493"/>
    </row>
    <row r="109" ht="18.75" customHeight="1">
      <c r="A109" s="493"/>
      <c r="B109" s="494"/>
      <c r="C109" s="494"/>
      <c r="D109" s="494"/>
      <c r="E109" s="494"/>
      <c r="F109" s="501"/>
      <c r="G109" s="501"/>
      <c r="H109" s="494"/>
      <c r="I109" s="507"/>
      <c r="J109" s="507"/>
      <c r="K109" s="496"/>
      <c r="L109" s="496"/>
      <c r="M109" s="496"/>
      <c r="N109" s="496"/>
      <c r="O109" s="493"/>
      <c r="P109" s="493"/>
      <c r="Q109" s="493"/>
      <c r="R109" s="496"/>
      <c r="S109" s="496"/>
      <c r="T109" s="496"/>
      <c r="U109" s="496"/>
      <c r="V109" s="499"/>
      <c r="W109" s="568"/>
      <c r="X109" s="493"/>
      <c r="Y109" s="493"/>
      <c r="Z109" s="493"/>
    </row>
    <row r="110" ht="18.75" customHeight="1">
      <c r="A110" s="493"/>
      <c r="B110" s="494"/>
      <c r="C110" s="494"/>
      <c r="D110" s="494"/>
      <c r="E110" s="494"/>
      <c r="F110" s="501"/>
      <c r="G110" s="501"/>
      <c r="H110" s="494"/>
      <c r="I110" s="507"/>
      <c r="J110" s="507"/>
      <c r="K110" s="496"/>
      <c r="L110" s="496"/>
      <c r="M110" s="496"/>
      <c r="N110" s="496"/>
      <c r="O110" s="493"/>
      <c r="P110" s="493"/>
      <c r="Q110" s="493"/>
      <c r="R110" s="496"/>
      <c r="S110" s="496"/>
      <c r="T110" s="496"/>
      <c r="U110" s="496"/>
      <c r="V110" s="499"/>
      <c r="W110" s="568"/>
      <c r="X110" s="493"/>
      <c r="Y110" s="493"/>
      <c r="Z110" s="493"/>
    </row>
    <row r="111" ht="18.75" customHeight="1">
      <c r="A111" s="493"/>
      <c r="B111" s="494"/>
      <c r="C111" s="494"/>
      <c r="D111" s="494"/>
      <c r="E111" s="494"/>
      <c r="F111" s="501"/>
      <c r="G111" s="501"/>
      <c r="H111" s="494"/>
      <c r="I111" s="507"/>
      <c r="J111" s="507"/>
      <c r="K111" s="496"/>
      <c r="L111" s="496"/>
      <c r="M111" s="496"/>
      <c r="N111" s="496"/>
      <c r="O111" s="493"/>
      <c r="P111" s="493"/>
      <c r="Q111" s="493"/>
      <c r="R111" s="496"/>
      <c r="S111" s="496"/>
      <c r="T111" s="496"/>
      <c r="U111" s="496"/>
      <c r="V111" s="499"/>
      <c r="W111" s="568"/>
      <c r="X111" s="493"/>
      <c r="Y111" s="493"/>
      <c r="Z111" s="493"/>
    </row>
    <row r="112" ht="18.75" customHeight="1">
      <c r="A112" s="493"/>
      <c r="B112" s="494"/>
      <c r="C112" s="494"/>
      <c r="D112" s="494"/>
      <c r="E112" s="494"/>
      <c r="F112" s="501"/>
      <c r="G112" s="501"/>
      <c r="H112" s="494"/>
      <c r="I112" s="507"/>
      <c r="J112" s="507"/>
      <c r="K112" s="496"/>
      <c r="L112" s="496"/>
      <c r="M112" s="496"/>
      <c r="N112" s="496"/>
      <c r="O112" s="493"/>
      <c r="P112" s="493"/>
      <c r="Q112" s="493"/>
      <c r="R112" s="496"/>
      <c r="S112" s="496"/>
      <c r="T112" s="496"/>
      <c r="U112" s="496"/>
      <c r="V112" s="499"/>
      <c r="W112" s="568"/>
      <c r="X112" s="493"/>
      <c r="Y112" s="493"/>
      <c r="Z112" s="493"/>
    </row>
    <row r="113" ht="18.75" customHeight="1">
      <c r="A113" s="493"/>
      <c r="B113" s="494"/>
      <c r="C113" s="494"/>
      <c r="D113" s="494"/>
      <c r="E113" s="494"/>
      <c r="F113" s="501"/>
      <c r="G113" s="501"/>
      <c r="H113" s="494"/>
      <c r="I113" s="507"/>
      <c r="J113" s="507"/>
      <c r="K113" s="496"/>
      <c r="L113" s="496"/>
      <c r="M113" s="496"/>
      <c r="N113" s="496"/>
      <c r="O113" s="493"/>
      <c r="P113" s="493"/>
      <c r="Q113" s="493"/>
      <c r="R113" s="496"/>
      <c r="S113" s="496"/>
      <c r="T113" s="496"/>
      <c r="U113" s="496"/>
      <c r="V113" s="499"/>
      <c r="W113" s="568"/>
      <c r="X113" s="493"/>
      <c r="Y113" s="493"/>
      <c r="Z113" s="493"/>
    </row>
    <row r="114" ht="18.75" customHeight="1">
      <c r="A114" s="493"/>
      <c r="B114" s="494"/>
      <c r="C114" s="494"/>
      <c r="D114" s="494"/>
      <c r="E114" s="494"/>
      <c r="F114" s="501"/>
      <c r="G114" s="501"/>
      <c r="H114" s="494"/>
      <c r="I114" s="507"/>
      <c r="J114" s="507"/>
      <c r="K114" s="496"/>
      <c r="L114" s="496"/>
      <c r="M114" s="496"/>
      <c r="N114" s="496"/>
      <c r="O114" s="493"/>
      <c r="P114" s="493"/>
      <c r="Q114" s="493"/>
      <c r="R114" s="496"/>
      <c r="S114" s="496"/>
      <c r="T114" s="496"/>
      <c r="U114" s="496"/>
      <c r="V114" s="499"/>
      <c r="W114" s="568"/>
      <c r="X114" s="493"/>
      <c r="Y114" s="493"/>
      <c r="Z114" s="493"/>
    </row>
    <row r="115" ht="18.75" customHeight="1">
      <c r="A115" s="493"/>
      <c r="B115" s="494"/>
      <c r="C115" s="494"/>
      <c r="D115" s="494"/>
      <c r="E115" s="494"/>
      <c r="F115" s="501"/>
      <c r="G115" s="501"/>
      <c r="H115" s="494"/>
      <c r="I115" s="507"/>
      <c r="J115" s="507"/>
      <c r="K115" s="496"/>
      <c r="L115" s="496"/>
      <c r="M115" s="496"/>
      <c r="N115" s="496"/>
      <c r="O115" s="493"/>
      <c r="P115" s="493"/>
      <c r="Q115" s="493"/>
      <c r="R115" s="496"/>
      <c r="S115" s="496"/>
      <c r="T115" s="496"/>
      <c r="U115" s="496"/>
      <c r="V115" s="499"/>
      <c r="W115" s="568"/>
      <c r="X115" s="493"/>
      <c r="Y115" s="493"/>
      <c r="Z115" s="493"/>
    </row>
    <row r="116" ht="18.75" customHeight="1">
      <c r="A116" s="493"/>
      <c r="B116" s="494"/>
      <c r="C116" s="494"/>
      <c r="D116" s="494"/>
      <c r="E116" s="494"/>
      <c r="F116" s="501"/>
      <c r="G116" s="501"/>
      <c r="H116" s="494"/>
      <c r="I116" s="507"/>
      <c r="J116" s="507"/>
      <c r="K116" s="496"/>
      <c r="L116" s="496"/>
      <c r="M116" s="496"/>
      <c r="N116" s="496"/>
      <c r="O116" s="493"/>
      <c r="P116" s="493"/>
      <c r="Q116" s="493"/>
      <c r="R116" s="496"/>
      <c r="S116" s="496"/>
      <c r="T116" s="496"/>
      <c r="U116" s="496"/>
      <c r="V116" s="499"/>
      <c r="W116" s="568"/>
      <c r="X116" s="493"/>
      <c r="Y116" s="493"/>
      <c r="Z116" s="493"/>
    </row>
    <row r="117" ht="18.75" customHeight="1">
      <c r="A117" s="493"/>
      <c r="B117" s="494"/>
      <c r="C117" s="494"/>
      <c r="D117" s="494"/>
      <c r="E117" s="494"/>
      <c r="F117" s="501"/>
      <c r="G117" s="501"/>
      <c r="H117" s="494"/>
      <c r="I117" s="507"/>
      <c r="J117" s="507"/>
      <c r="K117" s="496"/>
      <c r="L117" s="496"/>
      <c r="M117" s="496"/>
      <c r="N117" s="496"/>
      <c r="O117" s="493"/>
      <c r="P117" s="493"/>
      <c r="Q117" s="493"/>
      <c r="R117" s="496"/>
      <c r="S117" s="496"/>
      <c r="T117" s="496"/>
      <c r="U117" s="496"/>
      <c r="V117" s="499"/>
      <c r="W117" s="568"/>
      <c r="X117" s="493"/>
      <c r="Y117" s="493"/>
      <c r="Z117" s="493"/>
    </row>
    <row r="118" ht="18.75" customHeight="1">
      <c r="A118" s="493"/>
      <c r="B118" s="494"/>
      <c r="C118" s="494"/>
      <c r="D118" s="494"/>
      <c r="E118" s="494"/>
      <c r="F118" s="501"/>
      <c r="G118" s="501"/>
      <c r="H118" s="494"/>
      <c r="I118" s="507"/>
      <c r="J118" s="507"/>
      <c r="K118" s="496"/>
      <c r="L118" s="496"/>
      <c r="M118" s="496"/>
      <c r="N118" s="496"/>
      <c r="O118" s="493"/>
      <c r="P118" s="493"/>
      <c r="Q118" s="493"/>
      <c r="R118" s="496"/>
      <c r="S118" s="496"/>
      <c r="T118" s="496"/>
      <c r="U118" s="496"/>
      <c r="V118" s="499"/>
      <c r="W118" s="568"/>
      <c r="X118" s="493"/>
      <c r="Y118" s="493"/>
      <c r="Z118" s="493"/>
    </row>
    <row r="119" ht="18.75" customHeight="1">
      <c r="A119" s="493"/>
      <c r="B119" s="494"/>
      <c r="C119" s="494"/>
      <c r="D119" s="494"/>
      <c r="E119" s="494"/>
      <c r="F119" s="501"/>
      <c r="G119" s="501"/>
      <c r="H119" s="494"/>
      <c r="I119" s="507"/>
      <c r="J119" s="507"/>
      <c r="K119" s="496"/>
      <c r="L119" s="496"/>
      <c r="M119" s="496"/>
      <c r="N119" s="496"/>
      <c r="O119" s="493"/>
      <c r="P119" s="493"/>
      <c r="Q119" s="493"/>
      <c r="R119" s="496"/>
      <c r="S119" s="496"/>
      <c r="T119" s="496"/>
      <c r="U119" s="496"/>
      <c r="V119" s="499"/>
      <c r="W119" s="568"/>
      <c r="X119" s="493"/>
      <c r="Y119" s="493"/>
      <c r="Z119" s="493"/>
    </row>
    <row r="120" ht="18.75" customHeight="1">
      <c r="A120" s="493"/>
      <c r="B120" s="494"/>
      <c r="C120" s="494"/>
      <c r="D120" s="494"/>
      <c r="E120" s="494"/>
      <c r="F120" s="501"/>
      <c r="G120" s="501"/>
      <c r="H120" s="494"/>
      <c r="I120" s="507"/>
      <c r="J120" s="507"/>
      <c r="K120" s="496"/>
      <c r="L120" s="496"/>
      <c r="M120" s="496"/>
      <c r="N120" s="496"/>
      <c r="O120" s="493"/>
      <c r="P120" s="493"/>
      <c r="Q120" s="493"/>
      <c r="R120" s="496"/>
      <c r="S120" s="496"/>
      <c r="T120" s="496"/>
      <c r="U120" s="496"/>
      <c r="V120" s="499"/>
      <c r="W120" s="568"/>
      <c r="X120" s="493"/>
      <c r="Y120" s="493"/>
      <c r="Z120" s="493"/>
    </row>
    <row r="121" ht="18.75" customHeight="1">
      <c r="A121" s="493"/>
      <c r="B121" s="494"/>
      <c r="C121" s="494"/>
      <c r="D121" s="494"/>
      <c r="E121" s="494"/>
      <c r="F121" s="501"/>
      <c r="G121" s="501"/>
      <c r="H121" s="494"/>
      <c r="I121" s="507"/>
      <c r="J121" s="507"/>
      <c r="K121" s="496"/>
      <c r="L121" s="496"/>
      <c r="M121" s="496"/>
      <c r="N121" s="496"/>
      <c r="O121" s="493"/>
      <c r="P121" s="493"/>
      <c r="Q121" s="493"/>
      <c r="R121" s="496"/>
      <c r="S121" s="496"/>
      <c r="T121" s="496"/>
      <c r="U121" s="496"/>
      <c r="V121" s="499"/>
      <c r="W121" s="568"/>
      <c r="X121" s="493"/>
      <c r="Y121" s="493"/>
      <c r="Z121" s="493"/>
    </row>
    <row r="122" ht="18.75" customHeight="1">
      <c r="A122" s="493"/>
      <c r="B122" s="494"/>
      <c r="C122" s="494"/>
      <c r="D122" s="494"/>
      <c r="E122" s="494"/>
      <c r="F122" s="501"/>
      <c r="G122" s="501"/>
      <c r="H122" s="494"/>
      <c r="I122" s="507"/>
      <c r="J122" s="507"/>
      <c r="K122" s="496"/>
      <c r="L122" s="496"/>
      <c r="M122" s="496"/>
      <c r="N122" s="496"/>
      <c r="O122" s="493"/>
      <c r="P122" s="493"/>
      <c r="Q122" s="493"/>
      <c r="R122" s="496"/>
      <c r="S122" s="496"/>
      <c r="T122" s="496"/>
      <c r="U122" s="496"/>
      <c r="V122" s="499"/>
      <c r="W122" s="568"/>
      <c r="X122" s="493"/>
      <c r="Y122" s="493"/>
      <c r="Z122" s="493"/>
    </row>
    <row r="123" ht="18.75" customHeight="1">
      <c r="A123" s="493"/>
      <c r="B123" s="494"/>
      <c r="C123" s="494"/>
      <c r="D123" s="494"/>
      <c r="E123" s="494"/>
      <c r="F123" s="501"/>
      <c r="G123" s="501"/>
      <c r="H123" s="494"/>
      <c r="I123" s="507"/>
      <c r="J123" s="507"/>
      <c r="K123" s="496"/>
      <c r="L123" s="496"/>
      <c r="M123" s="496"/>
      <c r="N123" s="496"/>
      <c r="O123" s="493"/>
      <c r="P123" s="493"/>
      <c r="Q123" s="493"/>
      <c r="R123" s="496"/>
      <c r="S123" s="496"/>
      <c r="T123" s="496"/>
      <c r="U123" s="496"/>
      <c r="V123" s="499"/>
      <c r="W123" s="568"/>
      <c r="X123" s="493"/>
      <c r="Y123" s="493"/>
      <c r="Z123" s="493"/>
    </row>
    <row r="124" ht="18.75" customHeight="1">
      <c r="A124" s="493"/>
      <c r="B124" s="494"/>
      <c r="C124" s="494"/>
      <c r="D124" s="494"/>
      <c r="E124" s="494"/>
      <c r="F124" s="501"/>
      <c r="G124" s="501"/>
      <c r="H124" s="494"/>
      <c r="I124" s="507"/>
      <c r="J124" s="507"/>
      <c r="K124" s="496"/>
      <c r="L124" s="496"/>
      <c r="M124" s="496"/>
      <c r="N124" s="496"/>
      <c r="O124" s="493"/>
      <c r="P124" s="493"/>
      <c r="Q124" s="493"/>
      <c r="R124" s="496"/>
      <c r="S124" s="496"/>
      <c r="T124" s="496"/>
      <c r="U124" s="496"/>
      <c r="V124" s="499"/>
      <c r="W124" s="568"/>
      <c r="X124" s="493"/>
      <c r="Y124" s="493"/>
      <c r="Z124" s="493"/>
    </row>
    <row r="125" ht="18.75" customHeight="1">
      <c r="A125" s="493"/>
      <c r="B125" s="494"/>
      <c r="C125" s="494"/>
      <c r="D125" s="494"/>
      <c r="E125" s="494"/>
      <c r="F125" s="501"/>
      <c r="G125" s="501"/>
      <c r="H125" s="494"/>
      <c r="I125" s="507"/>
      <c r="J125" s="507"/>
      <c r="K125" s="496"/>
      <c r="L125" s="496"/>
      <c r="M125" s="496"/>
      <c r="N125" s="496"/>
      <c r="O125" s="493"/>
      <c r="P125" s="493"/>
      <c r="Q125" s="493"/>
      <c r="R125" s="496"/>
      <c r="S125" s="496"/>
      <c r="T125" s="496"/>
      <c r="U125" s="496"/>
      <c r="V125" s="499"/>
      <c r="W125" s="568"/>
      <c r="X125" s="493"/>
      <c r="Y125" s="493"/>
      <c r="Z125" s="493"/>
    </row>
    <row r="126" ht="18.75" customHeight="1">
      <c r="A126" s="493"/>
      <c r="B126" s="494"/>
      <c r="C126" s="494"/>
      <c r="D126" s="494"/>
      <c r="E126" s="494"/>
      <c r="F126" s="501"/>
      <c r="G126" s="501"/>
      <c r="H126" s="494"/>
      <c r="I126" s="507"/>
      <c r="J126" s="507"/>
      <c r="K126" s="496"/>
      <c r="L126" s="496"/>
      <c r="M126" s="496"/>
      <c r="N126" s="496"/>
      <c r="O126" s="493"/>
      <c r="P126" s="493"/>
      <c r="Q126" s="493"/>
      <c r="R126" s="496"/>
      <c r="S126" s="496"/>
      <c r="T126" s="496"/>
      <c r="U126" s="496"/>
      <c r="V126" s="499"/>
      <c r="W126" s="568"/>
      <c r="X126" s="493"/>
      <c r="Y126" s="493"/>
      <c r="Z126" s="493"/>
    </row>
    <row r="127" ht="18.75" customHeight="1">
      <c r="A127" s="493"/>
      <c r="B127" s="494"/>
      <c r="C127" s="494"/>
      <c r="D127" s="494"/>
      <c r="E127" s="494"/>
      <c r="F127" s="501"/>
      <c r="G127" s="501"/>
      <c r="H127" s="494"/>
      <c r="I127" s="507"/>
      <c r="J127" s="507"/>
      <c r="K127" s="496"/>
      <c r="L127" s="496"/>
      <c r="M127" s="496"/>
      <c r="N127" s="496"/>
      <c r="O127" s="493"/>
      <c r="P127" s="493"/>
      <c r="Q127" s="493"/>
      <c r="R127" s="496"/>
      <c r="S127" s="496"/>
      <c r="T127" s="496"/>
      <c r="U127" s="496"/>
      <c r="V127" s="499"/>
      <c r="W127" s="568"/>
      <c r="X127" s="493"/>
      <c r="Y127" s="493"/>
      <c r="Z127" s="493"/>
    </row>
    <row r="128" ht="18.75" customHeight="1">
      <c r="A128" s="493"/>
      <c r="B128" s="494"/>
      <c r="C128" s="494"/>
      <c r="D128" s="494"/>
      <c r="E128" s="494"/>
      <c r="F128" s="501"/>
      <c r="G128" s="501"/>
      <c r="H128" s="494"/>
      <c r="I128" s="507"/>
      <c r="J128" s="507"/>
      <c r="K128" s="496"/>
      <c r="L128" s="496"/>
      <c r="M128" s="496"/>
      <c r="N128" s="496"/>
      <c r="O128" s="493"/>
      <c r="P128" s="493"/>
      <c r="Q128" s="493"/>
      <c r="R128" s="496"/>
      <c r="S128" s="496"/>
      <c r="T128" s="496"/>
      <c r="U128" s="496"/>
      <c r="V128" s="499"/>
      <c r="W128" s="568"/>
      <c r="X128" s="493"/>
      <c r="Y128" s="493"/>
      <c r="Z128" s="493"/>
    </row>
    <row r="129" ht="18.75" customHeight="1">
      <c r="A129" s="493"/>
      <c r="B129" s="494"/>
      <c r="C129" s="494"/>
      <c r="D129" s="494"/>
      <c r="E129" s="494"/>
      <c r="F129" s="501"/>
      <c r="G129" s="501"/>
      <c r="H129" s="494"/>
      <c r="I129" s="507"/>
      <c r="J129" s="507"/>
      <c r="K129" s="496"/>
      <c r="L129" s="496"/>
      <c r="M129" s="496"/>
      <c r="N129" s="496"/>
      <c r="O129" s="493"/>
      <c r="P129" s="493"/>
      <c r="Q129" s="493"/>
      <c r="R129" s="496"/>
      <c r="S129" s="496"/>
      <c r="T129" s="496"/>
      <c r="U129" s="496"/>
      <c r="V129" s="499"/>
      <c r="W129" s="568"/>
      <c r="X129" s="493"/>
      <c r="Y129" s="493"/>
      <c r="Z129" s="493"/>
    </row>
    <row r="130" ht="18.75" customHeight="1">
      <c r="A130" s="493"/>
      <c r="B130" s="494"/>
      <c r="C130" s="494"/>
      <c r="D130" s="494"/>
      <c r="E130" s="494"/>
      <c r="F130" s="501"/>
      <c r="G130" s="501"/>
      <c r="H130" s="494"/>
      <c r="I130" s="507"/>
      <c r="J130" s="507"/>
      <c r="K130" s="496"/>
      <c r="L130" s="496"/>
      <c r="M130" s="496"/>
      <c r="N130" s="496"/>
      <c r="O130" s="493"/>
      <c r="P130" s="493"/>
      <c r="Q130" s="493"/>
      <c r="R130" s="496"/>
      <c r="S130" s="496"/>
      <c r="T130" s="496"/>
      <c r="U130" s="496"/>
      <c r="V130" s="499"/>
      <c r="W130" s="568"/>
      <c r="X130" s="493"/>
      <c r="Y130" s="493"/>
      <c r="Z130" s="493"/>
    </row>
    <row r="131" ht="18.75" customHeight="1">
      <c r="A131" s="493"/>
      <c r="B131" s="494"/>
      <c r="C131" s="494"/>
      <c r="D131" s="494"/>
      <c r="E131" s="494"/>
      <c r="F131" s="501"/>
      <c r="G131" s="501"/>
      <c r="H131" s="494"/>
      <c r="I131" s="507"/>
      <c r="J131" s="507"/>
      <c r="K131" s="496"/>
      <c r="L131" s="496"/>
      <c r="M131" s="496"/>
      <c r="N131" s="496"/>
      <c r="O131" s="493"/>
      <c r="P131" s="493"/>
      <c r="Q131" s="493"/>
      <c r="R131" s="496"/>
      <c r="S131" s="496"/>
      <c r="T131" s="496"/>
      <c r="U131" s="496"/>
      <c r="V131" s="499"/>
      <c r="W131" s="568"/>
      <c r="X131" s="493"/>
      <c r="Y131" s="493"/>
      <c r="Z131" s="493"/>
    </row>
    <row r="132" ht="18.75" customHeight="1">
      <c r="A132" s="493"/>
      <c r="B132" s="494"/>
      <c r="C132" s="494"/>
      <c r="D132" s="494"/>
      <c r="E132" s="494"/>
      <c r="F132" s="501"/>
      <c r="G132" s="501"/>
      <c r="H132" s="494"/>
      <c r="I132" s="507"/>
      <c r="J132" s="507"/>
      <c r="K132" s="496"/>
      <c r="L132" s="496"/>
      <c r="M132" s="496"/>
      <c r="N132" s="496"/>
      <c r="O132" s="493"/>
      <c r="P132" s="493"/>
      <c r="Q132" s="493"/>
      <c r="R132" s="496"/>
      <c r="S132" s="496"/>
      <c r="T132" s="496"/>
      <c r="U132" s="496"/>
      <c r="V132" s="499"/>
      <c r="W132" s="568"/>
      <c r="X132" s="493"/>
      <c r="Y132" s="493"/>
      <c r="Z132" s="493"/>
    </row>
    <row r="133" ht="18.75" customHeight="1">
      <c r="A133" s="493"/>
      <c r="B133" s="494"/>
      <c r="C133" s="494"/>
      <c r="D133" s="494"/>
      <c r="E133" s="494"/>
      <c r="F133" s="501"/>
      <c r="G133" s="501"/>
      <c r="H133" s="494"/>
      <c r="I133" s="507"/>
      <c r="J133" s="507"/>
      <c r="K133" s="496"/>
      <c r="L133" s="496"/>
      <c r="M133" s="496"/>
      <c r="N133" s="496"/>
      <c r="O133" s="493"/>
      <c r="P133" s="493"/>
      <c r="Q133" s="493"/>
      <c r="R133" s="496"/>
      <c r="S133" s="496"/>
      <c r="T133" s="496"/>
      <c r="U133" s="496"/>
      <c r="V133" s="499"/>
      <c r="W133" s="568"/>
      <c r="X133" s="493"/>
      <c r="Y133" s="493"/>
      <c r="Z133" s="493"/>
    </row>
    <row r="134" ht="18.75" customHeight="1">
      <c r="A134" s="493"/>
      <c r="B134" s="494"/>
      <c r="C134" s="494"/>
      <c r="D134" s="494"/>
      <c r="E134" s="494"/>
      <c r="F134" s="501"/>
      <c r="G134" s="501"/>
      <c r="H134" s="494"/>
      <c r="I134" s="507"/>
      <c r="J134" s="507"/>
      <c r="K134" s="496"/>
      <c r="L134" s="496"/>
      <c r="M134" s="496"/>
      <c r="N134" s="496"/>
      <c r="O134" s="493"/>
      <c r="P134" s="493"/>
      <c r="Q134" s="493"/>
      <c r="R134" s="496"/>
      <c r="S134" s="496"/>
      <c r="T134" s="496"/>
      <c r="U134" s="496"/>
      <c r="V134" s="499"/>
      <c r="W134" s="568"/>
      <c r="X134" s="493"/>
      <c r="Y134" s="493"/>
      <c r="Z134" s="493"/>
    </row>
    <row r="135" ht="18.75" customHeight="1">
      <c r="A135" s="493"/>
      <c r="B135" s="494"/>
      <c r="C135" s="494"/>
      <c r="D135" s="494"/>
      <c r="E135" s="494"/>
      <c r="F135" s="501"/>
      <c r="G135" s="501"/>
      <c r="H135" s="494"/>
      <c r="I135" s="507"/>
      <c r="J135" s="507"/>
      <c r="K135" s="496"/>
      <c r="L135" s="496"/>
      <c r="M135" s="496"/>
      <c r="N135" s="496"/>
      <c r="O135" s="493"/>
      <c r="P135" s="493"/>
      <c r="Q135" s="493"/>
      <c r="R135" s="496"/>
      <c r="S135" s="496"/>
      <c r="T135" s="496"/>
      <c r="U135" s="496"/>
      <c r="V135" s="499"/>
      <c r="W135" s="568"/>
      <c r="X135" s="493"/>
      <c r="Y135" s="493"/>
      <c r="Z135" s="493"/>
    </row>
    <row r="136" ht="18.75" customHeight="1">
      <c r="A136" s="493"/>
      <c r="B136" s="494"/>
      <c r="C136" s="494"/>
      <c r="D136" s="494"/>
      <c r="E136" s="494"/>
      <c r="F136" s="501"/>
      <c r="G136" s="501"/>
      <c r="H136" s="494"/>
      <c r="I136" s="507"/>
      <c r="J136" s="507"/>
      <c r="K136" s="496"/>
      <c r="L136" s="496"/>
      <c r="M136" s="496"/>
      <c r="N136" s="496"/>
      <c r="O136" s="493"/>
      <c r="P136" s="493"/>
      <c r="Q136" s="493"/>
      <c r="R136" s="496"/>
      <c r="S136" s="496"/>
      <c r="T136" s="496"/>
      <c r="U136" s="496"/>
      <c r="V136" s="499"/>
      <c r="W136" s="568"/>
      <c r="X136" s="493"/>
      <c r="Y136" s="493"/>
      <c r="Z136" s="493"/>
    </row>
    <row r="137" ht="18.75" customHeight="1">
      <c r="A137" s="493"/>
      <c r="B137" s="494"/>
      <c r="C137" s="494"/>
      <c r="D137" s="494"/>
      <c r="E137" s="494"/>
      <c r="F137" s="501"/>
      <c r="G137" s="501"/>
      <c r="H137" s="494"/>
      <c r="I137" s="507"/>
      <c r="J137" s="507"/>
      <c r="K137" s="496"/>
      <c r="L137" s="496"/>
      <c r="M137" s="496"/>
      <c r="N137" s="496"/>
      <c r="O137" s="493"/>
      <c r="P137" s="493"/>
      <c r="Q137" s="493"/>
      <c r="R137" s="496"/>
      <c r="S137" s="496"/>
      <c r="T137" s="496"/>
      <c r="U137" s="496"/>
      <c r="V137" s="499"/>
      <c r="W137" s="568"/>
      <c r="X137" s="493"/>
      <c r="Y137" s="493"/>
      <c r="Z137" s="493"/>
    </row>
    <row r="138" ht="18.75" customHeight="1">
      <c r="A138" s="493"/>
      <c r="B138" s="494"/>
      <c r="C138" s="494"/>
      <c r="D138" s="494"/>
      <c r="E138" s="494"/>
      <c r="F138" s="501"/>
      <c r="G138" s="501"/>
      <c r="H138" s="494"/>
      <c r="I138" s="507"/>
      <c r="J138" s="507"/>
      <c r="K138" s="496"/>
      <c r="L138" s="496"/>
      <c r="M138" s="496"/>
      <c r="N138" s="496"/>
      <c r="O138" s="493"/>
      <c r="P138" s="493"/>
      <c r="Q138" s="493"/>
      <c r="R138" s="496"/>
      <c r="S138" s="496"/>
      <c r="T138" s="496"/>
      <c r="U138" s="496"/>
      <c r="V138" s="499"/>
      <c r="W138" s="568"/>
      <c r="X138" s="493"/>
      <c r="Y138" s="493"/>
      <c r="Z138" s="493"/>
    </row>
    <row r="139" ht="18.75" customHeight="1">
      <c r="A139" s="493"/>
      <c r="B139" s="494"/>
      <c r="C139" s="494"/>
      <c r="D139" s="494"/>
      <c r="E139" s="494"/>
      <c r="F139" s="501"/>
      <c r="G139" s="501"/>
      <c r="H139" s="494"/>
      <c r="I139" s="507"/>
      <c r="J139" s="507"/>
      <c r="K139" s="496"/>
      <c r="L139" s="496"/>
      <c r="M139" s="496"/>
      <c r="N139" s="496"/>
      <c r="O139" s="493"/>
      <c r="P139" s="493"/>
      <c r="Q139" s="493"/>
      <c r="R139" s="496"/>
      <c r="S139" s="496"/>
      <c r="T139" s="496"/>
      <c r="U139" s="496"/>
      <c r="V139" s="499"/>
      <c r="W139" s="568"/>
      <c r="X139" s="493"/>
      <c r="Y139" s="493"/>
      <c r="Z139" s="493"/>
    </row>
    <row r="140" ht="18.75" customHeight="1">
      <c r="A140" s="493"/>
      <c r="B140" s="494"/>
      <c r="C140" s="494"/>
      <c r="D140" s="494"/>
      <c r="E140" s="494"/>
      <c r="F140" s="501"/>
      <c r="G140" s="501"/>
      <c r="H140" s="494"/>
      <c r="I140" s="507"/>
      <c r="J140" s="507"/>
      <c r="K140" s="496"/>
      <c r="L140" s="496"/>
      <c r="M140" s="496"/>
      <c r="N140" s="496"/>
      <c r="O140" s="493"/>
      <c r="P140" s="493"/>
      <c r="Q140" s="493"/>
      <c r="R140" s="496"/>
      <c r="S140" s="496"/>
      <c r="T140" s="496"/>
      <c r="U140" s="496"/>
      <c r="V140" s="499"/>
      <c r="W140" s="568"/>
      <c r="X140" s="493"/>
      <c r="Y140" s="493"/>
      <c r="Z140" s="493"/>
    </row>
    <row r="141" ht="18.75" customHeight="1">
      <c r="A141" s="493"/>
      <c r="B141" s="494"/>
      <c r="C141" s="494"/>
      <c r="D141" s="494"/>
      <c r="E141" s="494"/>
      <c r="F141" s="501"/>
      <c r="G141" s="501"/>
      <c r="H141" s="494"/>
      <c r="I141" s="507"/>
      <c r="J141" s="507"/>
      <c r="K141" s="496"/>
      <c r="L141" s="496"/>
      <c r="M141" s="496"/>
      <c r="N141" s="496"/>
      <c r="O141" s="493"/>
      <c r="P141" s="493"/>
      <c r="Q141" s="493"/>
      <c r="R141" s="496"/>
      <c r="S141" s="496"/>
      <c r="T141" s="496"/>
      <c r="U141" s="496"/>
      <c r="V141" s="499"/>
      <c r="W141" s="568"/>
      <c r="X141" s="493"/>
      <c r="Y141" s="493"/>
      <c r="Z141" s="493"/>
    </row>
    <row r="142" ht="18.75" customHeight="1">
      <c r="A142" s="493"/>
      <c r="B142" s="494"/>
      <c r="C142" s="494"/>
      <c r="D142" s="494"/>
      <c r="E142" s="494"/>
      <c r="F142" s="501"/>
      <c r="G142" s="501"/>
      <c r="H142" s="494"/>
      <c r="I142" s="507"/>
      <c r="J142" s="507"/>
      <c r="K142" s="496"/>
      <c r="L142" s="496"/>
      <c r="M142" s="496"/>
      <c r="N142" s="496"/>
      <c r="O142" s="493"/>
      <c r="P142" s="493"/>
      <c r="Q142" s="493"/>
      <c r="R142" s="496"/>
      <c r="S142" s="496"/>
      <c r="T142" s="496"/>
      <c r="U142" s="496"/>
      <c r="V142" s="499"/>
      <c r="W142" s="568"/>
      <c r="X142" s="493"/>
      <c r="Y142" s="493"/>
      <c r="Z142" s="493"/>
    </row>
    <row r="143" ht="18.75" customHeight="1">
      <c r="A143" s="493"/>
      <c r="B143" s="494"/>
      <c r="C143" s="494"/>
      <c r="D143" s="494"/>
      <c r="E143" s="494"/>
      <c r="F143" s="501"/>
      <c r="G143" s="501"/>
      <c r="H143" s="494"/>
      <c r="I143" s="507"/>
      <c r="J143" s="507"/>
      <c r="K143" s="496"/>
      <c r="L143" s="496"/>
      <c r="M143" s="496"/>
      <c r="N143" s="496"/>
      <c r="O143" s="493"/>
      <c r="P143" s="493"/>
      <c r="Q143" s="493"/>
      <c r="R143" s="496"/>
      <c r="S143" s="496"/>
      <c r="T143" s="496"/>
      <c r="U143" s="496"/>
      <c r="V143" s="499"/>
      <c r="W143" s="568"/>
      <c r="X143" s="493"/>
      <c r="Y143" s="493"/>
      <c r="Z143" s="493"/>
    </row>
    <row r="144" ht="18.75" customHeight="1">
      <c r="A144" s="493"/>
      <c r="B144" s="494"/>
      <c r="C144" s="494"/>
      <c r="D144" s="494"/>
      <c r="E144" s="494"/>
      <c r="F144" s="501"/>
      <c r="G144" s="501"/>
      <c r="H144" s="494"/>
      <c r="I144" s="507"/>
      <c r="J144" s="507"/>
      <c r="K144" s="496"/>
      <c r="L144" s="496"/>
      <c r="M144" s="496"/>
      <c r="N144" s="496"/>
      <c r="O144" s="493"/>
      <c r="P144" s="493"/>
      <c r="Q144" s="493"/>
      <c r="R144" s="496"/>
      <c r="S144" s="496"/>
      <c r="T144" s="496"/>
      <c r="U144" s="496"/>
      <c r="V144" s="499"/>
      <c r="W144" s="568"/>
      <c r="X144" s="493"/>
      <c r="Y144" s="493"/>
      <c r="Z144" s="493"/>
    </row>
    <row r="145" ht="18.75" customHeight="1">
      <c r="A145" s="493"/>
      <c r="B145" s="494"/>
      <c r="C145" s="494"/>
      <c r="D145" s="494"/>
      <c r="E145" s="494"/>
      <c r="F145" s="501"/>
      <c r="G145" s="501"/>
      <c r="H145" s="494"/>
      <c r="I145" s="507"/>
      <c r="J145" s="507"/>
      <c r="K145" s="496"/>
      <c r="L145" s="496"/>
      <c r="M145" s="496"/>
      <c r="N145" s="496"/>
      <c r="O145" s="493"/>
      <c r="P145" s="493"/>
      <c r="Q145" s="493"/>
      <c r="R145" s="496"/>
      <c r="S145" s="496"/>
      <c r="T145" s="496"/>
      <c r="U145" s="496"/>
      <c r="V145" s="499"/>
      <c r="W145" s="568"/>
      <c r="X145" s="493"/>
      <c r="Y145" s="493"/>
      <c r="Z145" s="493"/>
    </row>
    <row r="146" ht="18.75" customHeight="1">
      <c r="A146" s="493"/>
      <c r="B146" s="494"/>
      <c r="C146" s="494"/>
      <c r="D146" s="494"/>
      <c r="E146" s="494"/>
      <c r="F146" s="501"/>
      <c r="G146" s="501"/>
      <c r="H146" s="494"/>
      <c r="I146" s="507"/>
      <c r="J146" s="507"/>
      <c r="K146" s="496"/>
      <c r="L146" s="496"/>
      <c r="M146" s="496"/>
      <c r="N146" s="496"/>
      <c r="O146" s="493"/>
      <c r="P146" s="493"/>
      <c r="Q146" s="493"/>
      <c r="R146" s="496"/>
      <c r="S146" s="496"/>
      <c r="T146" s="496"/>
      <c r="U146" s="496"/>
      <c r="V146" s="499"/>
      <c r="W146" s="568"/>
      <c r="X146" s="493"/>
      <c r="Y146" s="493"/>
      <c r="Z146" s="493"/>
    </row>
    <row r="147" ht="18.75" customHeight="1">
      <c r="A147" s="493"/>
      <c r="B147" s="494"/>
      <c r="C147" s="494"/>
      <c r="D147" s="494"/>
      <c r="E147" s="494"/>
      <c r="F147" s="501"/>
      <c r="G147" s="501"/>
      <c r="H147" s="494"/>
      <c r="I147" s="507"/>
      <c r="J147" s="507"/>
      <c r="K147" s="496"/>
      <c r="L147" s="496"/>
      <c r="M147" s="496"/>
      <c r="N147" s="496"/>
      <c r="O147" s="493"/>
      <c r="P147" s="493"/>
      <c r="Q147" s="493"/>
      <c r="R147" s="496"/>
      <c r="S147" s="496"/>
      <c r="T147" s="496"/>
      <c r="U147" s="496"/>
      <c r="V147" s="499"/>
      <c r="W147" s="568"/>
      <c r="X147" s="493"/>
      <c r="Y147" s="493"/>
      <c r="Z147" s="493"/>
    </row>
    <row r="148" ht="18.75" customHeight="1">
      <c r="A148" s="493"/>
      <c r="B148" s="494"/>
      <c r="C148" s="494"/>
      <c r="D148" s="494"/>
      <c r="E148" s="494"/>
      <c r="F148" s="501"/>
      <c r="G148" s="501"/>
      <c r="H148" s="494"/>
      <c r="I148" s="507"/>
      <c r="J148" s="507"/>
      <c r="K148" s="496"/>
      <c r="L148" s="496"/>
      <c r="M148" s="496"/>
      <c r="N148" s="496"/>
      <c r="O148" s="493"/>
      <c r="P148" s="493"/>
      <c r="Q148" s="493"/>
      <c r="R148" s="496"/>
      <c r="S148" s="496"/>
      <c r="T148" s="496"/>
      <c r="U148" s="496"/>
      <c r="V148" s="499"/>
      <c r="W148" s="568"/>
      <c r="X148" s="493"/>
      <c r="Y148" s="493"/>
      <c r="Z148" s="493"/>
    </row>
    <row r="149" ht="18.75" customHeight="1">
      <c r="A149" s="493"/>
      <c r="B149" s="494"/>
      <c r="C149" s="494"/>
      <c r="D149" s="494"/>
      <c r="E149" s="494"/>
      <c r="F149" s="501"/>
      <c r="G149" s="501"/>
      <c r="H149" s="494"/>
      <c r="I149" s="507"/>
      <c r="J149" s="507"/>
      <c r="K149" s="496"/>
      <c r="L149" s="496"/>
      <c r="M149" s="496"/>
      <c r="N149" s="496"/>
      <c r="O149" s="493"/>
      <c r="P149" s="493"/>
      <c r="Q149" s="493"/>
      <c r="R149" s="496"/>
      <c r="S149" s="496"/>
      <c r="T149" s="496"/>
      <c r="U149" s="496"/>
      <c r="V149" s="499"/>
      <c r="W149" s="568"/>
      <c r="X149" s="493"/>
      <c r="Y149" s="493"/>
      <c r="Z149" s="493"/>
    </row>
    <row r="150" ht="18.75" customHeight="1">
      <c r="A150" s="493"/>
      <c r="B150" s="494"/>
      <c r="C150" s="494"/>
      <c r="D150" s="494"/>
      <c r="E150" s="494"/>
      <c r="F150" s="501"/>
      <c r="G150" s="501"/>
      <c r="H150" s="494"/>
      <c r="I150" s="507"/>
      <c r="J150" s="507"/>
      <c r="K150" s="496"/>
      <c r="L150" s="496"/>
      <c r="M150" s="496"/>
      <c r="N150" s="496"/>
      <c r="O150" s="493"/>
      <c r="P150" s="493"/>
      <c r="Q150" s="493"/>
      <c r="R150" s="496"/>
      <c r="S150" s="496"/>
      <c r="T150" s="496"/>
      <c r="U150" s="496"/>
      <c r="V150" s="499"/>
      <c r="W150" s="568"/>
      <c r="X150" s="493"/>
      <c r="Y150" s="493"/>
      <c r="Z150" s="493"/>
    </row>
    <row r="151" ht="18.75" customHeight="1">
      <c r="A151" s="493"/>
      <c r="B151" s="494"/>
      <c r="C151" s="494"/>
      <c r="D151" s="494"/>
      <c r="E151" s="494"/>
      <c r="F151" s="501"/>
      <c r="G151" s="501"/>
      <c r="H151" s="494"/>
      <c r="I151" s="507"/>
      <c r="J151" s="507"/>
      <c r="K151" s="496"/>
      <c r="L151" s="496"/>
      <c r="M151" s="496"/>
      <c r="N151" s="496"/>
      <c r="O151" s="493"/>
      <c r="P151" s="493"/>
      <c r="Q151" s="493"/>
      <c r="R151" s="496"/>
      <c r="S151" s="496"/>
      <c r="T151" s="496"/>
      <c r="U151" s="496"/>
      <c r="V151" s="499"/>
      <c r="W151" s="568"/>
      <c r="X151" s="493"/>
      <c r="Y151" s="493"/>
      <c r="Z151" s="493"/>
    </row>
    <row r="152" ht="18.75" customHeight="1">
      <c r="A152" s="493"/>
      <c r="B152" s="494"/>
      <c r="C152" s="494"/>
      <c r="D152" s="494"/>
      <c r="E152" s="494"/>
      <c r="F152" s="501"/>
      <c r="G152" s="501"/>
      <c r="H152" s="494"/>
      <c r="I152" s="507"/>
      <c r="J152" s="507"/>
      <c r="K152" s="496"/>
      <c r="L152" s="496"/>
      <c r="M152" s="496"/>
      <c r="N152" s="496"/>
      <c r="O152" s="493"/>
      <c r="P152" s="493"/>
      <c r="Q152" s="493"/>
      <c r="R152" s="496"/>
      <c r="S152" s="496"/>
      <c r="T152" s="496"/>
      <c r="U152" s="496"/>
      <c r="V152" s="499"/>
      <c r="W152" s="568"/>
      <c r="X152" s="493"/>
      <c r="Y152" s="493"/>
      <c r="Z152" s="493"/>
    </row>
    <row r="153" ht="18.75" customHeight="1">
      <c r="A153" s="493"/>
      <c r="B153" s="494"/>
      <c r="C153" s="494"/>
      <c r="D153" s="494"/>
      <c r="E153" s="494"/>
      <c r="F153" s="501"/>
      <c r="G153" s="501"/>
      <c r="H153" s="494"/>
      <c r="I153" s="507"/>
      <c r="J153" s="507"/>
      <c r="K153" s="496"/>
      <c r="L153" s="496"/>
      <c r="M153" s="496"/>
      <c r="N153" s="496"/>
      <c r="O153" s="493"/>
      <c r="P153" s="493"/>
      <c r="Q153" s="493"/>
      <c r="R153" s="496"/>
      <c r="S153" s="496"/>
      <c r="T153" s="496"/>
      <c r="U153" s="496"/>
      <c r="V153" s="499"/>
      <c r="W153" s="568"/>
      <c r="X153" s="493"/>
      <c r="Y153" s="493"/>
      <c r="Z153" s="493"/>
    </row>
    <row r="154" ht="18.75" customHeight="1">
      <c r="A154" s="493"/>
      <c r="B154" s="494"/>
      <c r="C154" s="494"/>
      <c r="D154" s="494"/>
      <c r="E154" s="494"/>
      <c r="F154" s="501"/>
      <c r="G154" s="501"/>
      <c r="H154" s="494"/>
      <c r="I154" s="507"/>
      <c r="J154" s="507"/>
      <c r="K154" s="496"/>
      <c r="L154" s="496"/>
      <c r="M154" s="496"/>
      <c r="N154" s="496"/>
      <c r="O154" s="493"/>
      <c r="P154" s="493"/>
      <c r="Q154" s="493"/>
      <c r="R154" s="496"/>
      <c r="S154" s="496"/>
      <c r="T154" s="496"/>
      <c r="U154" s="496"/>
      <c r="V154" s="499"/>
      <c r="W154" s="568"/>
      <c r="X154" s="493"/>
      <c r="Y154" s="493"/>
      <c r="Z154" s="493"/>
    </row>
    <row r="155" ht="18.75" customHeight="1">
      <c r="A155" s="493"/>
      <c r="B155" s="494"/>
      <c r="C155" s="494"/>
      <c r="D155" s="494"/>
      <c r="E155" s="494"/>
      <c r="F155" s="501"/>
      <c r="G155" s="501"/>
      <c r="H155" s="494"/>
      <c r="I155" s="507"/>
      <c r="J155" s="507"/>
      <c r="K155" s="496"/>
      <c r="L155" s="496"/>
      <c r="M155" s="496"/>
      <c r="N155" s="496"/>
      <c r="O155" s="493"/>
      <c r="P155" s="493"/>
      <c r="Q155" s="493"/>
      <c r="R155" s="496"/>
      <c r="S155" s="496"/>
      <c r="T155" s="496"/>
      <c r="U155" s="496"/>
      <c r="V155" s="499"/>
      <c r="W155" s="568"/>
      <c r="X155" s="493"/>
      <c r="Y155" s="493"/>
      <c r="Z155" s="493"/>
    </row>
    <row r="156" ht="18.75" customHeight="1">
      <c r="A156" s="493"/>
      <c r="B156" s="494"/>
      <c r="C156" s="494"/>
      <c r="D156" s="494"/>
      <c r="E156" s="494"/>
      <c r="F156" s="501"/>
      <c r="G156" s="501"/>
      <c r="H156" s="494"/>
      <c r="I156" s="507"/>
      <c r="J156" s="507"/>
      <c r="K156" s="496"/>
      <c r="L156" s="496"/>
      <c r="M156" s="496"/>
      <c r="N156" s="496"/>
      <c r="O156" s="493"/>
      <c r="P156" s="493"/>
      <c r="Q156" s="493"/>
      <c r="R156" s="496"/>
      <c r="S156" s="496"/>
      <c r="T156" s="496"/>
      <c r="U156" s="496"/>
      <c r="V156" s="499"/>
      <c r="W156" s="568"/>
      <c r="X156" s="493"/>
      <c r="Y156" s="493"/>
      <c r="Z156" s="493"/>
    </row>
    <row r="157" ht="18.75" customHeight="1">
      <c r="A157" s="493"/>
      <c r="B157" s="494"/>
      <c r="C157" s="494"/>
      <c r="D157" s="494"/>
      <c r="E157" s="494"/>
      <c r="F157" s="501"/>
      <c r="G157" s="501"/>
      <c r="H157" s="494"/>
      <c r="I157" s="507"/>
      <c r="J157" s="507"/>
      <c r="K157" s="496"/>
      <c r="L157" s="496"/>
      <c r="M157" s="496"/>
      <c r="N157" s="496"/>
      <c r="O157" s="493"/>
      <c r="P157" s="493"/>
      <c r="Q157" s="493"/>
      <c r="R157" s="496"/>
      <c r="S157" s="496"/>
      <c r="T157" s="496"/>
      <c r="U157" s="496"/>
      <c r="V157" s="499"/>
      <c r="W157" s="568"/>
      <c r="X157" s="493"/>
      <c r="Y157" s="493"/>
      <c r="Z157" s="493"/>
    </row>
    <row r="158" ht="18.75" customHeight="1">
      <c r="A158" s="493"/>
      <c r="B158" s="494"/>
      <c r="C158" s="494"/>
      <c r="D158" s="494"/>
      <c r="E158" s="494"/>
      <c r="F158" s="501"/>
      <c r="G158" s="501"/>
      <c r="H158" s="494"/>
      <c r="I158" s="507"/>
      <c r="J158" s="507"/>
      <c r="K158" s="496"/>
      <c r="L158" s="496"/>
      <c r="M158" s="496"/>
      <c r="N158" s="496"/>
      <c r="O158" s="493"/>
      <c r="P158" s="493"/>
      <c r="Q158" s="493"/>
      <c r="R158" s="496"/>
      <c r="S158" s="496"/>
      <c r="T158" s="496"/>
      <c r="U158" s="496"/>
      <c r="V158" s="499"/>
      <c r="W158" s="568"/>
      <c r="X158" s="493"/>
      <c r="Y158" s="493"/>
      <c r="Z158" s="493"/>
    </row>
    <row r="159" ht="18.75" customHeight="1">
      <c r="A159" s="493"/>
      <c r="B159" s="494"/>
      <c r="C159" s="494"/>
      <c r="D159" s="494"/>
      <c r="E159" s="494"/>
      <c r="F159" s="501"/>
      <c r="G159" s="501"/>
      <c r="H159" s="494"/>
      <c r="I159" s="507"/>
      <c r="J159" s="507"/>
      <c r="K159" s="496"/>
      <c r="L159" s="496"/>
      <c r="M159" s="496"/>
      <c r="N159" s="496"/>
      <c r="O159" s="493"/>
      <c r="P159" s="493"/>
      <c r="Q159" s="493"/>
      <c r="R159" s="496"/>
      <c r="S159" s="496"/>
      <c r="T159" s="496"/>
      <c r="U159" s="496"/>
      <c r="V159" s="499"/>
      <c r="W159" s="568"/>
      <c r="X159" s="493"/>
      <c r="Y159" s="493"/>
      <c r="Z159" s="493"/>
    </row>
    <row r="160" ht="18.75" customHeight="1">
      <c r="A160" s="493"/>
      <c r="B160" s="494"/>
      <c r="C160" s="494"/>
      <c r="D160" s="494"/>
      <c r="E160" s="494"/>
      <c r="F160" s="501"/>
      <c r="G160" s="501"/>
      <c r="H160" s="494"/>
      <c r="I160" s="507"/>
      <c r="J160" s="507"/>
      <c r="K160" s="496"/>
      <c r="L160" s="496"/>
      <c r="M160" s="496"/>
      <c r="N160" s="496"/>
      <c r="O160" s="493"/>
      <c r="P160" s="493"/>
      <c r="Q160" s="493"/>
      <c r="R160" s="496"/>
      <c r="S160" s="496"/>
      <c r="T160" s="496"/>
      <c r="U160" s="496"/>
      <c r="V160" s="499"/>
      <c r="W160" s="568"/>
      <c r="X160" s="493"/>
      <c r="Y160" s="493"/>
      <c r="Z160" s="493"/>
    </row>
    <row r="161" ht="18.75" customHeight="1">
      <c r="A161" s="493"/>
      <c r="B161" s="494"/>
      <c r="C161" s="494"/>
      <c r="D161" s="494"/>
      <c r="E161" s="494"/>
      <c r="F161" s="501"/>
      <c r="G161" s="501"/>
      <c r="H161" s="494"/>
      <c r="I161" s="507"/>
      <c r="J161" s="507"/>
      <c r="K161" s="496"/>
      <c r="L161" s="496"/>
      <c r="M161" s="496"/>
      <c r="N161" s="496"/>
      <c r="O161" s="493"/>
      <c r="P161" s="493"/>
      <c r="Q161" s="493"/>
      <c r="R161" s="496"/>
      <c r="S161" s="496"/>
      <c r="T161" s="496"/>
      <c r="U161" s="496"/>
      <c r="V161" s="499"/>
      <c r="W161" s="568"/>
      <c r="X161" s="493"/>
      <c r="Y161" s="493"/>
      <c r="Z161" s="493"/>
    </row>
    <row r="162" ht="18.75" customHeight="1">
      <c r="A162" s="493"/>
      <c r="B162" s="494"/>
      <c r="C162" s="494"/>
      <c r="D162" s="494"/>
      <c r="E162" s="494"/>
      <c r="F162" s="501"/>
      <c r="G162" s="501"/>
      <c r="H162" s="494"/>
      <c r="I162" s="507"/>
      <c r="J162" s="507"/>
      <c r="K162" s="496"/>
      <c r="L162" s="496"/>
      <c r="M162" s="496"/>
      <c r="N162" s="496"/>
      <c r="O162" s="493"/>
      <c r="P162" s="493"/>
      <c r="Q162" s="493"/>
      <c r="R162" s="496"/>
      <c r="S162" s="496"/>
      <c r="T162" s="496"/>
      <c r="U162" s="496"/>
      <c r="V162" s="499"/>
      <c r="W162" s="568"/>
      <c r="X162" s="493"/>
      <c r="Y162" s="493"/>
      <c r="Z162" s="493"/>
    </row>
    <row r="163" ht="18.75" customHeight="1">
      <c r="A163" s="493"/>
      <c r="B163" s="494"/>
      <c r="C163" s="494"/>
      <c r="D163" s="494"/>
      <c r="E163" s="494"/>
      <c r="F163" s="501"/>
      <c r="G163" s="501"/>
      <c r="H163" s="494"/>
      <c r="I163" s="507"/>
      <c r="J163" s="507"/>
      <c r="K163" s="496"/>
      <c r="L163" s="496"/>
      <c r="M163" s="496"/>
      <c r="N163" s="496"/>
      <c r="O163" s="493"/>
      <c r="P163" s="493"/>
      <c r="Q163" s="493"/>
      <c r="R163" s="496"/>
      <c r="S163" s="496"/>
      <c r="T163" s="496"/>
      <c r="U163" s="496"/>
      <c r="V163" s="499"/>
      <c r="W163" s="568"/>
      <c r="X163" s="493"/>
      <c r="Y163" s="493"/>
      <c r="Z163" s="493"/>
    </row>
    <row r="164" ht="18.75" customHeight="1">
      <c r="A164" s="493"/>
      <c r="B164" s="494"/>
      <c r="C164" s="494"/>
      <c r="D164" s="494"/>
      <c r="E164" s="494"/>
      <c r="F164" s="501"/>
      <c r="G164" s="501"/>
      <c r="H164" s="494"/>
      <c r="I164" s="507"/>
      <c r="J164" s="507"/>
      <c r="K164" s="496"/>
      <c r="L164" s="496"/>
      <c r="M164" s="496"/>
      <c r="N164" s="496"/>
      <c r="O164" s="493"/>
      <c r="P164" s="493"/>
      <c r="Q164" s="493"/>
      <c r="R164" s="496"/>
      <c r="S164" s="496"/>
      <c r="T164" s="496"/>
      <c r="U164" s="496"/>
      <c r="V164" s="499"/>
      <c r="W164" s="568"/>
      <c r="X164" s="493"/>
      <c r="Y164" s="493"/>
      <c r="Z164" s="493"/>
    </row>
    <row r="165" ht="18.75" customHeight="1">
      <c r="A165" s="493"/>
      <c r="B165" s="494"/>
      <c r="C165" s="494"/>
      <c r="D165" s="494"/>
      <c r="E165" s="494"/>
      <c r="F165" s="501"/>
      <c r="G165" s="501"/>
      <c r="H165" s="494"/>
      <c r="I165" s="507"/>
      <c r="J165" s="507"/>
      <c r="K165" s="496"/>
      <c r="L165" s="496"/>
      <c r="M165" s="496"/>
      <c r="N165" s="496"/>
      <c r="O165" s="493"/>
      <c r="P165" s="493"/>
      <c r="Q165" s="493"/>
      <c r="R165" s="496"/>
      <c r="S165" s="496"/>
      <c r="T165" s="496"/>
      <c r="U165" s="496"/>
      <c r="V165" s="499"/>
      <c r="W165" s="568"/>
      <c r="X165" s="493"/>
      <c r="Y165" s="493"/>
      <c r="Z165" s="493"/>
    </row>
    <row r="166" ht="18.75" customHeight="1">
      <c r="A166" s="493"/>
      <c r="B166" s="494"/>
      <c r="C166" s="494"/>
      <c r="D166" s="494"/>
      <c r="E166" s="494"/>
      <c r="F166" s="501"/>
      <c r="G166" s="501"/>
      <c r="H166" s="494"/>
      <c r="I166" s="507"/>
      <c r="J166" s="507"/>
      <c r="K166" s="496"/>
      <c r="L166" s="496"/>
      <c r="M166" s="496"/>
      <c r="N166" s="496"/>
      <c r="O166" s="493"/>
      <c r="P166" s="493"/>
      <c r="Q166" s="493"/>
      <c r="R166" s="496"/>
      <c r="S166" s="496"/>
      <c r="T166" s="496"/>
      <c r="U166" s="496"/>
      <c r="V166" s="499"/>
      <c r="W166" s="568"/>
      <c r="X166" s="493"/>
      <c r="Y166" s="493"/>
      <c r="Z166" s="493"/>
    </row>
    <row r="167" ht="18.75" customHeight="1">
      <c r="A167" s="493"/>
      <c r="B167" s="494"/>
      <c r="C167" s="494"/>
      <c r="D167" s="494"/>
      <c r="E167" s="494"/>
      <c r="F167" s="501"/>
      <c r="G167" s="501"/>
      <c r="H167" s="494"/>
      <c r="I167" s="507"/>
      <c r="J167" s="507"/>
      <c r="K167" s="496"/>
      <c r="L167" s="496"/>
      <c r="M167" s="496"/>
      <c r="N167" s="496"/>
      <c r="O167" s="493"/>
      <c r="P167" s="493"/>
      <c r="Q167" s="493"/>
      <c r="R167" s="496"/>
      <c r="S167" s="496"/>
      <c r="T167" s="496"/>
      <c r="U167" s="496"/>
      <c r="V167" s="499"/>
      <c r="W167" s="568"/>
      <c r="X167" s="493"/>
      <c r="Y167" s="493"/>
      <c r="Z167" s="493"/>
    </row>
    <row r="168" ht="18.75" customHeight="1">
      <c r="A168" s="493"/>
      <c r="B168" s="494"/>
      <c r="C168" s="494"/>
      <c r="D168" s="494"/>
      <c r="E168" s="494"/>
      <c r="F168" s="501"/>
      <c r="G168" s="501"/>
      <c r="H168" s="494"/>
      <c r="I168" s="507"/>
      <c r="J168" s="507"/>
      <c r="K168" s="496"/>
      <c r="L168" s="496"/>
      <c r="M168" s="496"/>
      <c r="N168" s="496"/>
      <c r="O168" s="493"/>
      <c r="P168" s="493"/>
      <c r="Q168" s="493"/>
      <c r="R168" s="496"/>
      <c r="S168" s="496"/>
      <c r="T168" s="496"/>
      <c r="U168" s="496"/>
      <c r="V168" s="499"/>
      <c r="W168" s="568"/>
      <c r="X168" s="493"/>
      <c r="Y168" s="493"/>
      <c r="Z168" s="493"/>
    </row>
    <row r="169" ht="18.75" customHeight="1">
      <c r="A169" s="493"/>
      <c r="B169" s="494"/>
      <c r="C169" s="494"/>
      <c r="D169" s="494"/>
      <c r="E169" s="494"/>
      <c r="F169" s="501"/>
      <c r="G169" s="501"/>
      <c r="H169" s="494"/>
      <c r="I169" s="507"/>
      <c r="J169" s="507"/>
      <c r="K169" s="496"/>
      <c r="L169" s="496"/>
      <c r="M169" s="496"/>
      <c r="N169" s="496"/>
      <c r="O169" s="493"/>
      <c r="P169" s="493"/>
      <c r="Q169" s="493"/>
      <c r="R169" s="496"/>
      <c r="S169" s="496"/>
      <c r="T169" s="496"/>
      <c r="U169" s="496"/>
      <c r="V169" s="499"/>
      <c r="W169" s="568"/>
      <c r="X169" s="493"/>
      <c r="Y169" s="493"/>
      <c r="Z169" s="493"/>
    </row>
    <row r="170" ht="18.75" customHeight="1">
      <c r="A170" s="493"/>
      <c r="B170" s="494"/>
      <c r="C170" s="494"/>
      <c r="D170" s="494"/>
      <c r="E170" s="494"/>
      <c r="F170" s="501"/>
      <c r="G170" s="501"/>
      <c r="H170" s="494"/>
      <c r="I170" s="507"/>
      <c r="J170" s="507"/>
      <c r="K170" s="496"/>
      <c r="L170" s="496"/>
      <c r="M170" s="496"/>
      <c r="N170" s="496"/>
      <c r="O170" s="493"/>
      <c r="P170" s="493"/>
      <c r="Q170" s="493"/>
      <c r="R170" s="496"/>
      <c r="S170" s="496"/>
      <c r="T170" s="496"/>
      <c r="U170" s="496"/>
      <c r="V170" s="499"/>
      <c r="W170" s="568"/>
      <c r="X170" s="493"/>
      <c r="Y170" s="493"/>
      <c r="Z170" s="493"/>
    </row>
    <row r="171" ht="18.75" customHeight="1">
      <c r="A171" s="493"/>
      <c r="B171" s="494"/>
      <c r="C171" s="494"/>
      <c r="D171" s="494"/>
      <c r="E171" s="494"/>
      <c r="F171" s="501"/>
      <c r="G171" s="501"/>
      <c r="H171" s="494"/>
      <c r="I171" s="507"/>
      <c r="J171" s="507"/>
      <c r="K171" s="496"/>
      <c r="L171" s="496"/>
      <c r="M171" s="496"/>
      <c r="N171" s="496"/>
      <c r="O171" s="493"/>
      <c r="P171" s="493"/>
      <c r="Q171" s="493"/>
      <c r="R171" s="496"/>
      <c r="S171" s="496"/>
      <c r="T171" s="496"/>
      <c r="U171" s="496"/>
      <c r="V171" s="499"/>
      <c r="W171" s="568"/>
      <c r="X171" s="493"/>
      <c r="Y171" s="493"/>
      <c r="Z171" s="493"/>
    </row>
    <row r="172" ht="18.75" customHeight="1">
      <c r="A172" s="493"/>
      <c r="B172" s="494"/>
      <c r="C172" s="494"/>
      <c r="D172" s="494"/>
      <c r="E172" s="494"/>
      <c r="F172" s="501"/>
      <c r="G172" s="501"/>
      <c r="H172" s="494"/>
      <c r="I172" s="507"/>
      <c r="J172" s="507"/>
      <c r="K172" s="496"/>
      <c r="L172" s="496"/>
      <c r="M172" s="496"/>
      <c r="N172" s="496"/>
      <c r="O172" s="493"/>
      <c r="P172" s="493"/>
      <c r="Q172" s="493"/>
      <c r="R172" s="496"/>
      <c r="S172" s="496"/>
      <c r="T172" s="496"/>
      <c r="U172" s="496"/>
      <c r="V172" s="499"/>
      <c r="W172" s="568"/>
      <c r="X172" s="493"/>
      <c r="Y172" s="493"/>
      <c r="Z172" s="493"/>
    </row>
    <row r="173" ht="18.75" customHeight="1">
      <c r="A173" s="493"/>
      <c r="B173" s="494"/>
      <c r="C173" s="494"/>
      <c r="D173" s="494"/>
      <c r="E173" s="494"/>
      <c r="F173" s="501"/>
      <c r="G173" s="501"/>
      <c r="H173" s="494"/>
      <c r="I173" s="507"/>
      <c r="J173" s="507"/>
      <c r="K173" s="496"/>
      <c r="L173" s="496"/>
      <c r="M173" s="496"/>
      <c r="N173" s="496"/>
      <c r="O173" s="493"/>
      <c r="P173" s="493"/>
      <c r="Q173" s="493"/>
      <c r="R173" s="496"/>
      <c r="S173" s="496"/>
      <c r="T173" s="496"/>
      <c r="U173" s="496"/>
      <c r="V173" s="499"/>
      <c r="W173" s="568"/>
      <c r="X173" s="493"/>
      <c r="Y173" s="493"/>
      <c r="Z173" s="493"/>
    </row>
    <row r="174" ht="18.75" customHeight="1">
      <c r="A174" s="493"/>
      <c r="B174" s="494"/>
      <c r="C174" s="494"/>
      <c r="D174" s="494"/>
      <c r="E174" s="494"/>
      <c r="F174" s="501"/>
      <c r="G174" s="501"/>
      <c r="H174" s="494"/>
      <c r="I174" s="507"/>
      <c r="J174" s="507"/>
      <c r="K174" s="496"/>
      <c r="L174" s="496"/>
      <c r="M174" s="496"/>
      <c r="N174" s="496"/>
      <c r="O174" s="493"/>
      <c r="P174" s="493"/>
      <c r="Q174" s="493"/>
      <c r="R174" s="496"/>
      <c r="S174" s="496"/>
      <c r="T174" s="496"/>
      <c r="U174" s="496"/>
      <c r="V174" s="499"/>
      <c r="W174" s="568"/>
      <c r="X174" s="493"/>
      <c r="Y174" s="493"/>
      <c r="Z174" s="493"/>
    </row>
    <row r="175" ht="18.75" customHeight="1">
      <c r="A175" s="493"/>
      <c r="B175" s="494"/>
      <c r="C175" s="494"/>
      <c r="D175" s="494"/>
      <c r="E175" s="494"/>
      <c r="F175" s="501"/>
      <c r="G175" s="501"/>
      <c r="H175" s="494"/>
      <c r="I175" s="507"/>
      <c r="J175" s="507"/>
      <c r="K175" s="496"/>
      <c r="L175" s="496"/>
      <c r="M175" s="496"/>
      <c r="N175" s="496"/>
      <c r="O175" s="493"/>
      <c r="P175" s="493"/>
      <c r="Q175" s="493"/>
      <c r="R175" s="496"/>
      <c r="S175" s="496"/>
      <c r="T175" s="496"/>
      <c r="U175" s="496"/>
      <c r="V175" s="499"/>
      <c r="W175" s="568"/>
      <c r="X175" s="493"/>
      <c r="Y175" s="493"/>
      <c r="Z175" s="493"/>
    </row>
    <row r="176" ht="18.75" customHeight="1">
      <c r="A176" s="493"/>
      <c r="B176" s="494"/>
      <c r="C176" s="494"/>
      <c r="D176" s="494"/>
      <c r="E176" s="494"/>
      <c r="F176" s="501"/>
      <c r="G176" s="501"/>
      <c r="H176" s="494"/>
      <c r="I176" s="507"/>
      <c r="J176" s="507"/>
      <c r="K176" s="496"/>
      <c r="L176" s="496"/>
      <c r="M176" s="496"/>
      <c r="N176" s="496"/>
      <c r="O176" s="493"/>
      <c r="P176" s="493"/>
      <c r="Q176" s="493"/>
      <c r="R176" s="496"/>
      <c r="S176" s="496"/>
      <c r="T176" s="496"/>
      <c r="U176" s="496"/>
      <c r="V176" s="499"/>
      <c r="W176" s="568"/>
      <c r="X176" s="493"/>
      <c r="Y176" s="493"/>
      <c r="Z176" s="493"/>
    </row>
    <row r="177" ht="18.75" customHeight="1">
      <c r="A177" s="493"/>
      <c r="B177" s="494"/>
      <c r="C177" s="494"/>
      <c r="D177" s="494"/>
      <c r="E177" s="494"/>
      <c r="F177" s="501"/>
      <c r="G177" s="501"/>
      <c r="H177" s="494"/>
      <c r="I177" s="507"/>
      <c r="J177" s="507"/>
      <c r="K177" s="496"/>
      <c r="L177" s="496"/>
      <c r="M177" s="496"/>
      <c r="N177" s="496"/>
      <c r="O177" s="493"/>
      <c r="P177" s="493"/>
      <c r="Q177" s="493"/>
      <c r="R177" s="496"/>
      <c r="S177" s="496"/>
      <c r="T177" s="496"/>
      <c r="U177" s="496"/>
      <c r="V177" s="499"/>
      <c r="W177" s="568"/>
      <c r="X177" s="493"/>
      <c r="Y177" s="493"/>
      <c r="Z177" s="493"/>
    </row>
    <row r="178" ht="18.75" customHeight="1">
      <c r="A178" s="493"/>
      <c r="B178" s="494"/>
      <c r="C178" s="494"/>
      <c r="D178" s="494"/>
      <c r="E178" s="494"/>
      <c r="F178" s="501"/>
      <c r="G178" s="501"/>
      <c r="H178" s="494"/>
      <c r="I178" s="507"/>
      <c r="J178" s="507"/>
      <c r="K178" s="496"/>
      <c r="L178" s="496"/>
      <c r="M178" s="496"/>
      <c r="N178" s="496"/>
      <c r="O178" s="493"/>
      <c r="P178" s="493"/>
      <c r="Q178" s="493"/>
      <c r="R178" s="496"/>
      <c r="S178" s="496"/>
      <c r="T178" s="496"/>
      <c r="U178" s="496"/>
      <c r="V178" s="499"/>
      <c r="W178" s="568"/>
      <c r="X178" s="493"/>
      <c r="Y178" s="493"/>
      <c r="Z178" s="493"/>
    </row>
    <row r="179" ht="18.75" customHeight="1">
      <c r="A179" s="493"/>
      <c r="B179" s="494"/>
      <c r="C179" s="494"/>
      <c r="D179" s="494"/>
      <c r="E179" s="494"/>
      <c r="F179" s="501"/>
      <c r="G179" s="501"/>
      <c r="H179" s="494"/>
      <c r="I179" s="507"/>
      <c r="J179" s="507"/>
      <c r="K179" s="496"/>
      <c r="L179" s="496"/>
      <c r="M179" s="496"/>
      <c r="N179" s="496"/>
      <c r="O179" s="493"/>
      <c r="P179" s="493"/>
      <c r="Q179" s="493"/>
      <c r="R179" s="496"/>
      <c r="S179" s="496"/>
      <c r="T179" s="496"/>
      <c r="U179" s="496"/>
      <c r="V179" s="499"/>
      <c r="W179" s="568"/>
      <c r="X179" s="493"/>
      <c r="Y179" s="493"/>
      <c r="Z179" s="493"/>
    </row>
    <row r="180" ht="18.75" customHeight="1">
      <c r="A180" s="493"/>
      <c r="B180" s="494"/>
      <c r="C180" s="494"/>
      <c r="D180" s="494"/>
      <c r="E180" s="494"/>
      <c r="F180" s="501"/>
      <c r="G180" s="501"/>
      <c r="H180" s="494"/>
      <c r="I180" s="507"/>
      <c r="J180" s="507"/>
      <c r="K180" s="496"/>
      <c r="L180" s="496"/>
      <c r="M180" s="496"/>
      <c r="N180" s="496"/>
      <c r="O180" s="493"/>
      <c r="P180" s="493"/>
      <c r="Q180" s="493"/>
      <c r="R180" s="496"/>
      <c r="S180" s="496"/>
      <c r="T180" s="496"/>
      <c r="U180" s="496"/>
      <c r="V180" s="499"/>
      <c r="W180" s="568"/>
      <c r="X180" s="493"/>
      <c r="Y180" s="493"/>
      <c r="Z180" s="493"/>
    </row>
    <row r="181" ht="18.75" customHeight="1">
      <c r="A181" s="493"/>
      <c r="B181" s="494"/>
      <c r="C181" s="494"/>
      <c r="D181" s="494"/>
      <c r="E181" s="494"/>
      <c r="F181" s="501"/>
      <c r="G181" s="501"/>
      <c r="H181" s="494"/>
      <c r="I181" s="507"/>
      <c r="J181" s="507"/>
      <c r="K181" s="496"/>
      <c r="L181" s="496"/>
      <c r="M181" s="496"/>
      <c r="N181" s="496"/>
      <c r="O181" s="493"/>
      <c r="P181" s="493"/>
      <c r="Q181" s="493"/>
      <c r="R181" s="496"/>
      <c r="S181" s="496"/>
      <c r="T181" s="496"/>
      <c r="U181" s="496"/>
      <c r="V181" s="499"/>
      <c r="W181" s="568"/>
      <c r="X181" s="493"/>
      <c r="Y181" s="493"/>
      <c r="Z181" s="493"/>
    </row>
    <row r="182" ht="18.75" customHeight="1">
      <c r="A182" s="493"/>
      <c r="B182" s="494"/>
      <c r="C182" s="494"/>
      <c r="D182" s="494"/>
      <c r="E182" s="494"/>
      <c r="F182" s="501"/>
      <c r="G182" s="501"/>
      <c r="H182" s="494"/>
      <c r="I182" s="507"/>
      <c r="J182" s="507"/>
      <c r="K182" s="496"/>
      <c r="L182" s="496"/>
      <c r="M182" s="496"/>
      <c r="N182" s="496"/>
      <c r="O182" s="493"/>
      <c r="P182" s="493"/>
      <c r="Q182" s="493"/>
      <c r="R182" s="496"/>
      <c r="S182" s="496"/>
      <c r="T182" s="496"/>
      <c r="U182" s="496"/>
      <c r="V182" s="499"/>
      <c r="W182" s="568"/>
      <c r="X182" s="493"/>
      <c r="Y182" s="493"/>
      <c r="Z182" s="493"/>
    </row>
    <row r="183" ht="18.75" customHeight="1">
      <c r="A183" s="493"/>
      <c r="B183" s="494"/>
      <c r="C183" s="494"/>
      <c r="D183" s="494"/>
      <c r="E183" s="494"/>
      <c r="F183" s="501"/>
      <c r="G183" s="501"/>
      <c r="H183" s="494"/>
      <c r="I183" s="507"/>
      <c r="J183" s="507"/>
      <c r="K183" s="496"/>
      <c r="L183" s="496"/>
      <c r="M183" s="496"/>
      <c r="N183" s="496"/>
      <c r="O183" s="493"/>
      <c r="P183" s="493"/>
      <c r="Q183" s="493"/>
      <c r="R183" s="496"/>
      <c r="S183" s="496"/>
      <c r="T183" s="496"/>
      <c r="U183" s="496"/>
      <c r="V183" s="499"/>
      <c r="W183" s="568"/>
      <c r="X183" s="493"/>
      <c r="Y183" s="493"/>
      <c r="Z183" s="493"/>
    </row>
    <row r="184" ht="18.75" customHeight="1">
      <c r="A184" s="493"/>
      <c r="B184" s="494"/>
      <c r="C184" s="494"/>
      <c r="D184" s="494"/>
      <c r="E184" s="494"/>
      <c r="F184" s="501"/>
      <c r="G184" s="501"/>
      <c r="H184" s="494"/>
      <c r="I184" s="507"/>
      <c r="J184" s="507"/>
      <c r="K184" s="496"/>
      <c r="L184" s="496"/>
      <c r="M184" s="496"/>
      <c r="N184" s="496"/>
      <c r="O184" s="493"/>
      <c r="P184" s="493"/>
      <c r="Q184" s="493"/>
      <c r="R184" s="496"/>
      <c r="S184" s="496"/>
      <c r="T184" s="496"/>
      <c r="U184" s="496"/>
      <c r="V184" s="499"/>
      <c r="W184" s="568"/>
      <c r="X184" s="493"/>
      <c r="Y184" s="493"/>
      <c r="Z184" s="493"/>
    </row>
    <row r="185" ht="18.75" customHeight="1">
      <c r="A185" s="493"/>
      <c r="B185" s="494"/>
      <c r="C185" s="494"/>
      <c r="D185" s="494"/>
      <c r="E185" s="494"/>
      <c r="F185" s="501"/>
      <c r="G185" s="501"/>
      <c r="H185" s="494"/>
      <c r="I185" s="507"/>
      <c r="J185" s="507"/>
      <c r="K185" s="496"/>
      <c r="L185" s="496"/>
      <c r="M185" s="496"/>
      <c r="N185" s="496"/>
      <c r="O185" s="493"/>
      <c r="P185" s="493"/>
      <c r="Q185" s="493"/>
      <c r="R185" s="496"/>
      <c r="S185" s="496"/>
      <c r="T185" s="496"/>
      <c r="U185" s="496"/>
      <c r="V185" s="499"/>
      <c r="W185" s="568"/>
      <c r="X185" s="493"/>
      <c r="Y185" s="493"/>
      <c r="Z185" s="493"/>
    </row>
    <row r="186" ht="18.75" customHeight="1">
      <c r="A186" s="493"/>
      <c r="B186" s="494"/>
      <c r="C186" s="494"/>
      <c r="D186" s="494"/>
      <c r="E186" s="494"/>
      <c r="F186" s="501"/>
      <c r="G186" s="501"/>
      <c r="H186" s="494"/>
      <c r="I186" s="507"/>
      <c r="J186" s="507"/>
      <c r="K186" s="496"/>
      <c r="L186" s="496"/>
      <c r="M186" s="496"/>
      <c r="N186" s="496"/>
      <c r="O186" s="493"/>
      <c r="P186" s="493"/>
      <c r="Q186" s="493"/>
      <c r="R186" s="496"/>
      <c r="S186" s="496"/>
      <c r="T186" s="496"/>
      <c r="U186" s="496"/>
      <c r="V186" s="499"/>
      <c r="W186" s="568"/>
      <c r="X186" s="493"/>
      <c r="Y186" s="493"/>
      <c r="Z186" s="493"/>
    </row>
    <row r="187" ht="18.75" customHeight="1">
      <c r="A187" s="493"/>
      <c r="B187" s="494"/>
      <c r="C187" s="494"/>
      <c r="D187" s="494"/>
      <c r="E187" s="494"/>
      <c r="F187" s="501"/>
      <c r="G187" s="501"/>
      <c r="H187" s="494"/>
      <c r="I187" s="507"/>
      <c r="J187" s="507"/>
      <c r="K187" s="496"/>
      <c r="L187" s="496"/>
      <c r="M187" s="496"/>
      <c r="N187" s="496"/>
      <c r="O187" s="493"/>
      <c r="P187" s="493"/>
      <c r="Q187" s="493"/>
      <c r="R187" s="496"/>
      <c r="S187" s="496"/>
      <c r="T187" s="496"/>
      <c r="U187" s="496"/>
      <c r="V187" s="499"/>
      <c r="W187" s="568"/>
      <c r="X187" s="493"/>
      <c r="Y187" s="493"/>
      <c r="Z187" s="493"/>
    </row>
    <row r="188" ht="18.75" customHeight="1">
      <c r="A188" s="493"/>
      <c r="B188" s="494"/>
      <c r="C188" s="494"/>
      <c r="D188" s="494"/>
      <c r="E188" s="494"/>
      <c r="F188" s="501"/>
      <c r="G188" s="501"/>
      <c r="H188" s="494"/>
      <c r="I188" s="507"/>
      <c r="J188" s="507"/>
      <c r="K188" s="496"/>
      <c r="L188" s="496"/>
      <c r="M188" s="496"/>
      <c r="N188" s="496"/>
      <c r="O188" s="493"/>
      <c r="P188" s="493"/>
      <c r="Q188" s="493"/>
      <c r="R188" s="496"/>
      <c r="S188" s="496"/>
      <c r="T188" s="496"/>
      <c r="U188" s="496"/>
      <c r="V188" s="499"/>
      <c r="W188" s="568"/>
      <c r="X188" s="493"/>
      <c r="Y188" s="493"/>
      <c r="Z188" s="493"/>
    </row>
    <row r="189" ht="18.75" customHeight="1">
      <c r="A189" s="493"/>
      <c r="B189" s="494"/>
      <c r="C189" s="494"/>
      <c r="D189" s="494"/>
      <c r="E189" s="494"/>
      <c r="F189" s="501"/>
      <c r="G189" s="501"/>
      <c r="H189" s="494"/>
      <c r="I189" s="507"/>
      <c r="J189" s="507"/>
      <c r="K189" s="496"/>
      <c r="L189" s="496"/>
      <c r="M189" s="496"/>
      <c r="N189" s="496"/>
      <c r="O189" s="493"/>
      <c r="P189" s="493"/>
      <c r="Q189" s="493"/>
      <c r="R189" s="496"/>
      <c r="S189" s="496"/>
      <c r="T189" s="496"/>
      <c r="U189" s="496"/>
      <c r="V189" s="499"/>
      <c r="W189" s="568"/>
      <c r="X189" s="493"/>
      <c r="Y189" s="493"/>
      <c r="Z189" s="493"/>
    </row>
    <row r="190" ht="18.75" customHeight="1">
      <c r="A190" s="493"/>
      <c r="B190" s="494"/>
      <c r="C190" s="494"/>
      <c r="D190" s="494"/>
      <c r="E190" s="494"/>
      <c r="F190" s="501"/>
      <c r="G190" s="501"/>
      <c r="H190" s="494"/>
      <c r="I190" s="507"/>
      <c r="J190" s="507"/>
      <c r="K190" s="496"/>
      <c r="L190" s="496"/>
      <c r="M190" s="496"/>
      <c r="N190" s="496"/>
      <c r="O190" s="493"/>
      <c r="P190" s="493"/>
      <c r="Q190" s="493"/>
      <c r="R190" s="496"/>
      <c r="S190" s="496"/>
      <c r="T190" s="496"/>
      <c r="U190" s="496"/>
      <c r="V190" s="499"/>
      <c r="W190" s="568"/>
      <c r="X190" s="493"/>
      <c r="Y190" s="493"/>
      <c r="Z190" s="493"/>
    </row>
    <row r="191" ht="18.75" customHeight="1">
      <c r="A191" s="493"/>
      <c r="B191" s="494"/>
      <c r="C191" s="494"/>
      <c r="D191" s="494"/>
      <c r="E191" s="494"/>
      <c r="F191" s="501"/>
      <c r="G191" s="501"/>
      <c r="H191" s="494"/>
      <c r="I191" s="507"/>
      <c r="J191" s="507"/>
      <c r="K191" s="496"/>
      <c r="L191" s="496"/>
      <c r="M191" s="496"/>
      <c r="N191" s="496"/>
      <c r="O191" s="493"/>
      <c r="P191" s="493"/>
      <c r="Q191" s="493"/>
      <c r="R191" s="496"/>
      <c r="S191" s="496"/>
      <c r="T191" s="496"/>
      <c r="U191" s="496"/>
      <c r="V191" s="499"/>
      <c r="W191" s="568"/>
      <c r="X191" s="493"/>
      <c r="Y191" s="493"/>
      <c r="Z191" s="493"/>
    </row>
    <row r="192" ht="18.75" customHeight="1">
      <c r="A192" s="493"/>
      <c r="B192" s="494"/>
      <c r="C192" s="494"/>
      <c r="D192" s="494"/>
      <c r="E192" s="494"/>
      <c r="F192" s="501"/>
      <c r="G192" s="501"/>
      <c r="H192" s="494"/>
      <c r="I192" s="507"/>
      <c r="J192" s="507"/>
      <c r="K192" s="496"/>
      <c r="L192" s="496"/>
      <c r="M192" s="496"/>
      <c r="N192" s="496"/>
      <c r="O192" s="493"/>
      <c r="P192" s="493"/>
      <c r="Q192" s="493"/>
      <c r="R192" s="496"/>
      <c r="S192" s="496"/>
      <c r="T192" s="496"/>
      <c r="U192" s="496"/>
      <c r="V192" s="499"/>
      <c r="W192" s="568"/>
      <c r="X192" s="493"/>
      <c r="Y192" s="493"/>
      <c r="Z192" s="493"/>
    </row>
    <row r="193" ht="18.75" customHeight="1">
      <c r="A193" s="493"/>
      <c r="B193" s="494"/>
      <c r="C193" s="494"/>
      <c r="D193" s="494"/>
      <c r="E193" s="494"/>
      <c r="F193" s="501"/>
      <c r="G193" s="501"/>
      <c r="H193" s="494"/>
      <c r="I193" s="507"/>
      <c r="J193" s="507"/>
      <c r="K193" s="496"/>
      <c r="L193" s="496"/>
      <c r="M193" s="496"/>
      <c r="N193" s="496"/>
      <c r="O193" s="493"/>
      <c r="P193" s="493"/>
      <c r="Q193" s="493"/>
      <c r="R193" s="496"/>
      <c r="S193" s="496"/>
      <c r="T193" s="496"/>
      <c r="U193" s="496"/>
      <c r="V193" s="499"/>
      <c r="W193" s="568"/>
      <c r="X193" s="493"/>
      <c r="Y193" s="493"/>
      <c r="Z193" s="493"/>
    </row>
    <row r="194" ht="18.75" customHeight="1">
      <c r="A194" s="493"/>
      <c r="B194" s="494"/>
      <c r="C194" s="494"/>
      <c r="D194" s="494"/>
      <c r="E194" s="494"/>
      <c r="F194" s="501"/>
      <c r="G194" s="501"/>
      <c r="H194" s="494"/>
      <c r="I194" s="507"/>
      <c r="J194" s="507"/>
      <c r="K194" s="496"/>
      <c r="L194" s="496"/>
      <c r="M194" s="496"/>
      <c r="N194" s="496"/>
      <c r="O194" s="493"/>
      <c r="P194" s="493"/>
      <c r="Q194" s="493"/>
      <c r="R194" s="496"/>
      <c r="S194" s="496"/>
      <c r="T194" s="496"/>
      <c r="U194" s="496"/>
      <c r="V194" s="499"/>
      <c r="W194" s="568"/>
      <c r="X194" s="493"/>
      <c r="Y194" s="493"/>
      <c r="Z194" s="493"/>
    </row>
    <row r="195" ht="18.75" customHeight="1">
      <c r="A195" s="493"/>
      <c r="B195" s="494"/>
      <c r="C195" s="494"/>
      <c r="D195" s="494"/>
      <c r="E195" s="494"/>
      <c r="F195" s="501"/>
      <c r="G195" s="501"/>
      <c r="H195" s="494"/>
      <c r="I195" s="507"/>
      <c r="J195" s="507"/>
      <c r="K195" s="496"/>
      <c r="L195" s="496"/>
      <c r="M195" s="496"/>
      <c r="N195" s="496"/>
      <c r="O195" s="493"/>
      <c r="P195" s="493"/>
      <c r="Q195" s="493"/>
      <c r="R195" s="496"/>
      <c r="S195" s="496"/>
      <c r="T195" s="496"/>
      <c r="U195" s="496"/>
      <c r="V195" s="499"/>
      <c r="W195" s="568"/>
      <c r="X195" s="493"/>
      <c r="Y195" s="493"/>
      <c r="Z195" s="493"/>
    </row>
    <row r="196" ht="18.75" customHeight="1">
      <c r="A196" s="493"/>
      <c r="B196" s="494"/>
      <c r="C196" s="494"/>
      <c r="D196" s="494"/>
      <c r="E196" s="494"/>
      <c r="F196" s="501"/>
      <c r="G196" s="501"/>
      <c r="H196" s="494"/>
      <c r="I196" s="507"/>
      <c r="J196" s="507"/>
      <c r="K196" s="496"/>
      <c r="L196" s="496"/>
      <c r="M196" s="496"/>
      <c r="N196" s="496"/>
      <c r="O196" s="493"/>
      <c r="P196" s="493"/>
      <c r="Q196" s="493"/>
      <c r="R196" s="496"/>
      <c r="S196" s="496"/>
      <c r="T196" s="496"/>
      <c r="U196" s="496"/>
      <c r="V196" s="499"/>
      <c r="W196" s="568"/>
      <c r="X196" s="493"/>
      <c r="Y196" s="493"/>
      <c r="Z196" s="493"/>
    </row>
    <row r="197" ht="18.75" customHeight="1">
      <c r="A197" s="493"/>
      <c r="B197" s="494"/>
      <c r="C197" s="494"/>
      <c r="D197" s="494"/>
      <c r="E197" s="494"/>
      <c r="F197" s="501"/>
      <c r="G197" s="501"/>
      <c r="H197" s="494"/>
      <c r="I197" s="507"/>
      <c r="J197" s="507"/>
      <c r="K197" s="496"/>
      <c r="L197" s="496"/>
      <c r="M197" s="496"/>
      <c r="N197" s="496"/>
      <c r="O197" s="493"/>
      <c r="P197" s="493"/>
      <c r="Q197" s="493"/>
      <c r="R197" s="496"/>
      <c r="S197" s="496"/>
      <c r="T197" s="496"/>
      <c r="U197" s="496"/>
      <c r="V197" s="499"/>
      <c r="W197" s="568"/>
      <c r="X197" s="493"/>
      <c r="Y197" s="493"/>
      <c r="Z197" s="493"/>
    </row>
    <row r="198" ht="18.75" customHeight="1">
      <c r="A198" s="493"/>
      <c r="B198" s="494"/>
      <c r="C198" s="494"/>
      <c r="D198" s="494"/>
      <c r="E198" s="494"/>
      <c r="F198" s="501"/>
      <c r="G198" s="501"/>
      <c r="H198" s="494"/>
      <c r="I198" s="507"/>
      <c r="J198" s="507"/>
      <c r="K198" s="496"/>
      <c r="L198" s="496"/>
      <c r="M198" s="496"/>
      <c r="N198" s="496"/>
      <c r="O198" s="493"/>
      <c r="P198" s="493"/>
      <c r="Q198" s="493"/>
      <c r="R198" s="496"/>
      <c r="S198" s="496"/>
      <c r="T198" s="496"/>
      <c r="U198" s="496"/>
      <c r="V198" s="499"/>
      <c r="W198" s="568"/>
      <c r="X198" s="493"/>
      <c r="Y198" s="493"/>
      <c r="Z198" s="493"/>
    </row>
    <row r="199" ht="18.75" customHeight="1">
      <c r="A199" s="493"/>
      <c r="B199" s="494"/>
      <c r="C199" s="494"/>
      <c r="D199" s="494"/>
      <c r="E199" s="494"/>
      <c r="F199" s="501"/>
      <c r="G199" s="501"/>
      <c r="H199" s="494"/>
      <c r="I199" s="507"/>
      <c r="J199" s="507"/>
      <c r="K199" s="496"/>
      <c r="L199" s="496"/>
      <c r="M199" s="496"/>
      <c r="N199" s="496"/>
      <c r="O199" s="493"/>
      <c r="P199" s="493"/>
      <c r="Q199" s="493"/>
      <c r="R199" s="496"/>
      <c r="S199" s="496"/>
      <c r="T199" s="496"/>
      <c r="U199" s="496"/>
      <c r="V199" s="499"/>
      <c r="W199" s="568"/>
      <c r="X199" s="493"/>
      <c r="Y199" s="493"/>
      <c r="Z199" s="493"/>
    </row>
    <row r="200" ht="18.75" customHeight="1">
      <c r="A200" s="493"/>
      <c r="B200" s="494"/>
      <c r="C200" s="494"/>
      <c r="D200" s="494"/>
      <c r="E200" s="494"/>
      <c r="F200" s="501"/>
      <c r="G200" s="501"/>
      <c r="H200" s="494"/>
      <c r="I200" s="507"/>
      <c r="J200" s="507"/>
      <c r="K200" s="496"/>
      <c r="L200" s="496"/>
      <c r="M200" s="496"/>
      <c r="N200" s="496"/>
      <c r="O200" s="493"/>
      <c r="P200" s="493"/>
      <c r="Q200" s="493"/>
      <c r="R200" s="496"/>
      <c r="S200" s="496"/>
      <c r="T200" s="496"/>
      <c r="U200" s="496"/>
      <c r="V200" s="499"/>
      <c r="W200" s="568"/>
      <c r="X200" s="493"/>
      <c r="Y200" s="493"/>
      <c r="Z200" s="493"/>
    </row>
    <row r="201" ht="18.75" customHeight="1">
      <c r="A201" s="493"/>
      <c r="B201" s="494"/>
      <c r="C201" s="494"/>
      <c r="D201" s="494"/>
      <c r="E201" s="494"/>
      <c r="F201" s="501"/>
      <c r="G201" s="501"/>
      <c r="H201" s="494"/>
      <c r="I201" s="507"/>
      <c r="J201" s="507"/>
      <c r="K201" s="496"/>
      <c r="L201" s="496"/>
      <c r="M201" s="496"/>
      <c r="N201" s="496"/>
      <c r="O201" s="493"/>
      <c r="P201" s="493"/>
      <c r="Q201" s="493"/>
      <c r="R201" s="496"/>
      <c r="S201" s="496"/>
      <c r="T201" s="496"/>
      <c r="U201" s="496"/>
      <c r="V201" s="499"/>
      <c r="W201" s="568"/>
      <c r="X201" s="493"/>
      <c r="Y201" s="493"/>
      <c r="Z201" s="493"/>
    </row>
    <row r="202" ht="18.75" customHeight="1">
      <c r="A202" s="493"/>
      <c r="B202" s="494"/>
      <c r="C202" s="494"/>
      <c r="D202" s="494"/>
      <c r="E202" s="494"/>
      <c r="F202" s="501"/>
      <c r="G202" s="501"/>
      <c r="H202" s="494"/>
      <c r="I202" s="507"/>
      <c r="J202" s="507"/>
      <c r="K202" s="496"/>
      <c r="L202" s="496"/>
      <c r="M202" s="496"/>
      <c r="N202" s="496"/>
      <c r="O202" s="493"/>
      <c r="P202" s="493"/>
      <c r="Q202" s="493"/>
      <c r="R202" s="496"/>
      <c r="S202" s="496"/>
      <c r="T202" s="496"/>
      <c r="U202" s="496"/>
      <c r="V202" s="499"/>
      <c r="W202" s="568"/>
      <c r="X202" s="493"/>
      <c r="Y202" s="493"/>
      <c r="Z202" s="493"/>
    </row>
    <row r="203" ht="18.75" customHeight="1">
      <c r="A203" s="493"/>
      <c r="B203" s="494"/>
      <c r="C203" s="494"/>
      <c r="D203" s="494"/>
      <c r="E203" s="494"/>
      <c r="F203" s="501"/>
      <c r="G203" s="501"/>
      <c r="H203" s="494"/>
      <c r="I203" s="507"/>
      <c r="J203" s="507"/>
      <c r="K203" s="496"/>
      <c r="L203" s="496"/>
      <c r="M203" s="496"/>
      <c r="N203" s="496"/>
      <c r="O203" s="493"/>
      <c r="P203" s="493"/>
      <c r="Q203" s="493"/>
      <c r="R203" s="496"/>
      <c r="S203" s="496"/>
      <c r="T203" s="496"/>
      <c r="U203" s="496"/>
      <c r="V203" s="499"/>
      <c r="W203" s="568"/>
      <c r="X203" s="493"/>
      <c r="Y203" s="493"/>
      <c r="Z203" s="493"/>
    </row>
    <row r="204" ht="18.75" customHeight="1">
      <c r="A204" s="493"/>
      <c r="B204" s="494"/>
      <c r="C204" s="494"/>
      <c r="D204" s="494"/>
      <c r="E204" s="494"/>
      <c r="F204" s="501"/>
      <c r="G204" s="501"/>
      <c r="H204" s="494"/>
      <c r="I204" s="507"/>
      <c r="J204" s="507"/>
      <c r="K204" s="496"/>
      <c r="L204" s="496"/>
      <c r="M204" s="496"/>
      <c r="N204" s="496"/>
      <c r="O204" s="493"/>
      <c r="P204" s="493"/>
      <c r="Q204" s="493"/>
      <c r="R204" s="496"/>
      <c r="S204" s="496"/>
      <c r="T204" s="496"/>
      <c r="U204" s="496"/>
      <c r="V204" s="499"/>
      <c r="W204" s="568"/>
      <c r="X204" s="493"/>
      <c r="Y204" s="493"/>
      <c r="Z204" s="493"/>
    </row>
    <row r="205" ht="18.75" customHeight="1">
      <c r="A205" s="493"/>
      <c r="B205" s="494"/>
      <c r="C205" s="494"/>
      <c r="D205" s="494"/>
      <c r="E205" s="494"/>
      <c r="F205" s="501"/>
      <c r="G205" s="501"/>
      <c r="H205" s="494"/>
      <c r="I205" s="507"/>
      <c r="J205" s="507"/>
      <c r="K205" s="496"/>
      <c r="L205" s="496"/>
      <c r="M205" s="496"/>
      <c r="N205" s="496"/>
      <c r="O205" s="493"/>
      <c r="P205" s="493"/>
      <c r="Q205" s="493"/>
      <c r="R205" s="496"/>
      <c r="S205" s="496"/>
      <c r="T205" s="496"/>
      <c r="U205" s="496"/>
      <c r="V205" s="499"/>
      <c r="W205" s="568"/>
      <c r="X205" s="493"/>
      <c r="Y205" s="493"/>
      <c r="Z205" s="493"/>
    </row>
    <row r="206" ht="18.75" customHeight="1">
      <c r="A206" s="493"/>
      <c r="B206" s="494"/>
      <c r="C206" s="494"/>
      <c r="D206" s="494"/>
      <c r="E206" s="494"/>
      <c r="F206" s="501"/>
      <c r="G206" s="501"/>
      <c r="H206" s="494"/>
      <c r="I206" s="507"/>
      <c r="J206" s="507"/>
      <c r="K206" s="496"/>
      <c r="L206" s="496"/>
      <c r="M206" s="496"/>
      <c r="N206" s="496"/>
      <c r="O206" s="493"/>
      <c r="P206" s="493"/>
      <c r="Q206" s="493"/>
      <c r="R206" s="496"/>
      <c r="S206" s="496"/>
      <c r="T206" s="496"/>
      <c r="U206" s="496"/>
      <c r="V206" s="499"/>
      <c r="W206" s="568"/>
      <c r="X206" s="493"/>
      <c r="Y206" s="493"/>
      <c r="Z206" s="493"/>
    </row>
    <row r="207" ht="18.75" customHeight="1">
      <c r="A207" s="493"/>
      <c r="B207" s="494"/>
      <c r="C207" s="494"/>
      <c r="D207" s="494"/>
      <c r="E207" s="494"/>
      <c r="F207" s="501"/>
      <c r="G207" s="501"/>
      <c r="H207" s="494"/>
      <c r="I207" s="507"/>
      <c r="J207" s="507"/>
      <c r="K207" s="496"/>
      <c r="L207" s="496"/>
      <c r="M207" s="496"/>
      <c r="N207" s="496"/>
      <c r="O207" s="493"/>
      <c r="P207" s="493"/>
      <c r="Q207" s="493"/>
      <c r="R207" s="496"/>
      <c r="S207" s="496"/>
      <c r="T207" s="496"/>
      <c r="U207" s="496"/>
      <c r="V207" s="499"/>
      <c r="W207" s="568"/>
      <c r="X207" s="493"/>
      <c r="Y207" s="493"/>
      <c r="Z207" s="493"/>
    </row>
    <row r="208" ht="18.75" customHeight="1">
      <c r="A208" s="493"/>
      <c r="B208" s="494"/>
      <c r="C208" s="494"/>
      <c r="D208" s="494"/>
      <c r="E208" s="494"/>
      <c r="F208" s="501"/>
      <c r="G208" s="501"/>
      <c r="H208" s="494"/>
      <c r="I208" s="507"/>
      <c r="J208" s="507"/>
      <c r="K208" s="496"/>
      <c r="L208" s="496"/>
      <c r="M208" s="496"/>
      <c r="N208" s="496"/>
      <c r="O208" s="493"/>
      <c r="P208" s="493"/>
      <c r="Q208" s="493"/>
      <c r="R208" s="496"/>
      <c r="S208" s="496"/>
      <c r="T208" s="496"/>
      <c r="U208" s="496"/>
      <c r="V208" s="499"/>
      <c r="W208" s="568"/>
      <c r="X208" s="493"/>
      <c r="Y208" s="493"/>
      <c r="Z208" s="493"/>
    </row>
    <row r="209" ht="18.75" customHeight="1">
      <c r="A209" s="493"/>
      <c r="B209" s="494"/>
      <c r="C209" s="494"/>
      <c r="D209" s="494"/>
      <c r="E209" s="494"/>
      <c r="F209" s="501"/>
      <c r="G209" s="501"/>
      <c r="H209" s="494"/>
      <c r="I209" s="507"/>
      <c r="J209" s="507"/>
      <c r="K209" s="496"/>
      <c r="L209" s="496"/>
      <c r="M209" s="496"/>
      <c r="N209" s="496"/>
      <c r="O209" s="493"/>
      <c r="P209" s="493"/>
      <c r="Q209" s="493"/>
      <c r="R209" s="496"/>
      <c r="S209" s="496"/>
      <c r="T209" s="496"/>
      <c r="U209" s="496"/>
      <c r="V209" s="499"/>
      <c r="W209" s="568"/>
      <c r="X209" s="493"/>
      <c r="Y209" s="493"/>
      <c r="Z209" s="493"/>
    </row>
    <row r="210" ht="18.75" customHeight="1">
      <c r="A210" s="493"/>
      <c r="B210" s="494"/>
      <c r="C210" s="494"/>
      <c r="D210" s="494"/>
      <c r="E210" s="494"/>
      <c r="F210" s="501"/>
      <c r="G210" s="501"/>
      <c r="H210" s="494"/>
      <c r="I210" s="507"/>
      <c r="J210" s="507"/>
      <c r="K210" s="496"/>
      <c r="L210" s="496"/>
      <c r="M210" s="496"/>
      <c r="N210" s="496"/>
      <c r="O210" s="493"/>
      <c r="P210" s="493"/>
      <c r="Q210" s="493"/>
      <c r="R210" s="496"/>
      <c r="S210" s="496"/>
      <c r="T210" s="496"/>
      <c r="U210" s="496"/>
      <c r="V210" s="499"/>
      <c r="W210" s="568"/>
      <c r="X210" s="493"/>
      <c r="Y210" s="493"/>
      <c r="Z210" s="493"/>
    </row>
    <row r="211" ht="18.75" customHeight="1">
      <c r="A211" s="493"/>
      <c r="B211" s="494"/>
      <c r="C211" s="494"/>
      <c r="D211" s="494"/>
      <c r="E211" s="494"/>
      <c r="F211" s="501"/>
      <c r="G211" s="501"/>
      <c r="H211" s="494"/>
      <c r="I211" s="507"/>
      <c r="J211" s="507"/>
      <c r="K211" s="496"/>
      <c r="L211" s="496"/>
      <c r="M211" s="496"/>
      <c r="N211" s="496"/>
      <c r="O211" s="493"/>
      <c r="P211" s="493"/>
      <c r="Q211" s="493"/>
      <c r="R211" s="496"/>
      <c r="S211" s="496"/>
      <c r="T211" s="496"/>
      <c r="U211" s="496"/>
      <c r="V211" s="499"/>
      <c r="W211" s="568"/>
      <c r="X211" s="493"/>
      <c r="Y211" s="493"/>
      <c r="Z211" s="493"/>
    </row>
    <row r="212" ht="18.75" customHeight="1">
      <c r="A212" s="493"/>
      <c r="B212" s="494"/>
      <c r="C212" s="494"/>
      <c r="D212" s="494"/>
      <c r="E212" s="494"/>
      <c r="F212" s="501"/>
      <c r="G212" s="501"/>
      <c r="H212" s="494"/>
      <c r="I212" s="507"/>
      <c r="J212" s="507"/>
      <c r="K212" s="496"/>
      <c r="L212" s="496"/>
      <c r="M212" s="496"/>
      <c r="N212" s="496"/>
      <c r="O212" s="493"/>
      <c r="P212" s="493"/>
      <c r="Q212" s="493"/>
      <c r="R212" s="496"/>
      <c r="S212" s="496"/>
      <c r="T212" s="496"/>
      <c r="U212" s="496"/>
      <c r="V212" s="499"/>
      <c r="W212" s="568"/>
      <c r="X212" s="493"/>
      <c r="Y212" s="493"/>
      <c r="Z212" s="493"/>
    </row>
    <row r="213" ht="18.75" customHeight="1">
      <c r="A213" s="493"/>
      <c r="B213" s="494"/>
      <c r="C213" s="494"/>
      <c r="D213" s="494"/>
      <c r="E213" s="494"/>
      <c r="F213" s="501"/>
      <c r="G213" s="501"/>
      <c r="H213" s="494"/>
      <c r="I213" s="507"/>
      <c r="J213" s="507"/>
      <c r="K213" s="496"/>
      <c r="L213" s="496"/>
      <c r="M213" s="496"/>
      <c r="N213" s="496"/>
      <c r="O213" s="493"/>
      <c r="P213" s="493"/>
      <c r="Q213" s="493"/>
      <c r="R213" s="496"/>
      <c r="S213" s="496"/>
      <c r="T213" s="496"/>
      <c r="U213" s="496"/>
      <c r="V213" s="499"/>
      <c r="W213" s="568"/>
      <c r="X213" s="493"/>
      <c r="Y213" s="493"/>
      <c r="Z213" s="493"/>
    </row>
    <row r="214" ht="18.75" customHeight="1">
      <c r="A214" s="493"/>
      <c r="B214" s="494"/>
      <c r="C214" s="494"/>
      <c r="D214" s="494"/>
      <c r="E214" s="494"/>
      <c r="F214" s="501"/>
      <c r="G214" s="501"/>
      <c r="H214" s="494"/>
      <c r="I214" s="507"/>
      <c r="J214" s="507"/>
      <c r="K214" s="496"/>
      <c r="L214" s="496"/>
      <c r="M214" s="496"/>
      <c r="N214" s="496"/>
      <c r="O214" s="493"/>
      <c r="P214" s="493"/>
      <c r="Q214" s="493"/>
      <c r="R214" s="496"/>
      <c r="S214" s="496"/>
      <c r="T214" s="496"/>
      <c r="U214" s="496"/>
      <c r="V214" s="499"/>
      <c r="W214" s="568"/>
      <c r="X214" s="493"/>
      <c r="Y214" s="493"/>
      <c r="Z214" s="493"/>
    </row>
    <row r="215" ht="18.75" customHeight="1">
      <c r="A215" s="493"/>
      <c r="B215" s="494"/>
      <c r="C215" s="494"/>
      <c r="D215" s="494"/>
      <c r="E215" s="494"/>
      <c r="F215" s="501"/>
      <c r="G215" s="501"/>
      <c r="H215" s="494"/>
      <c r="I215" s="507"/>
      <c r="J215" s="507"/>
      <c r="K215" s="496"/>
      <c r="L215" s="496"/>
      <c r="M215" s="496"/>
      <c r="N215" s="496"/>
      <c r="O215" s="493"/>
      <c r="P215" s="493"/>
      <c r="Q215" s="493"/>
      <c r="R215" s="496"/>
      <c r="S215" s="496"/>
      <c r="T215" s="496"/>
      <c r="U215" s="496"/>
      <c r="V215" s="499"/>
      <c r="W215" s="568"/>
      <c r="X215" s="493"/>
      <c r="Y215" s="493"/>
      <c r="Z215" s="493"/>
    </row>
    <row r="216" ht="18.75" customHeight="1">
      <c r="A216" s="493"/>
      <c r="B216" s="494"/>
      <c r="C216" s="494"/>
      <c r="D216" s="494"/>
      <c r="E216" s="494"/>
      <c r="F216" s="501"/>
      <c r="G216" s="501"/>
      <c r="H216" s="494"/>
      <c r="I216" s="507"/>
      <c r="J216" s="507"/>
      <c r="K216" s="496"/>
      <c r="L216" s="496"/>
      <c r="M216" s="496"/>
      <c r="N216" s="496"/>
      <c r="O216" s="493"/>
      <c r="P216" s="493"/>
      <c r="Q216" s="493"/>
      <c r="R216" s="496"/>
      <c r="S216" s="496"/>
      <c r="T216" s="496"/>
      <c r="U216" s="496"/>
      <c r="V216" s="499"/>
      <c r="W216" s="568"/>
      <c r="X216" s="493"/>
      <c r="Y216" s="493"/>
      <c r="Z216" s="493"/>
    </row>
    <row r="217" ht="18.75" customHeight="1">
      <c r="A217" s="493"/>
      <c r="B217" s="494"/>
      <c r="C217" s="494"/>
      <c r="D217" s="494"/>
      <c r="E217" s="494"/>
      <c r="F217" s="501"/>
      <c r="G217" s="501"/>
      <c r="H217" s="494"/>
      <c r="I217" s="507"/>
      <c r="J217" s="507"/>
      <c r="K217" s="496"/>
      <c r="L217" s="496"/>
      <c r="M217" s="496"/>
      <c r="N217" s="496"/>
      <c r="O217" s="493"/>
      <c r="P217" s="493"/>
      <c r="Q217" s="493"/>
      <c r="R217" s="496"/>
      <c r="S217" s="496"/>
      <c r="T217" s="496"/>
      <c r="U217" s="496"/>
      <c r="V217" s="499"/>
      <c r="W217" s="568"/>
      <c r="X217" s="493"/>
      <c r="Y217" s="493"/>
      <c r="Z217" s="493"/>
    </row>
    <row r="218" ht="18.75" customHeight="1">
      <c r="A218" s="493"/>
      <c r="B218" s="494"/>
      <c r="C218" s="494"/>
      <c r="D218" s="494"/>
      <c r="E218" s="494"/>
      <c r="F218" s="501"/>
      <c r="G218" s="501"/>
      <c r="H218" s="494"/>
      <c r="I218" s="507"/>
      <c r="J218" s="507"/>
      <c r="K218" s="496"/>
      <c r="L218" s="496"/>
      <c r="M218" s="496"/>
      <c r="N218" s="496"/>
      <c r="O218" s="493"/>
      <c r="P218" s="493"/>
      <c r="Q218" s="493"/>
      <c r="R218" s="496"/>
      <c r="S218" s="496"/>
      <c r="T218" s="496"/>
      <c r="U218" s="496"/>
      <c r="V218" s="499"/>
      <c r="W218" s="568"/>
      <c r="X218" s="493"/>
      <c r="Y218" s="493"/>
      <c r="Z218" s="493"/>
    </row>
    <row r="219" ht="18.75" customHeight="1">
      <c r="A219" s="493"/>
      <c r="B219" s="494"/>
      <c r="C219" s="494"/>
      <c r="D219" s="494"/>
      <c r="E219" s="494"/>
      <c r="F219" s="501"/>
      <c r="G219" s="501"/>
      <c r="H219" s="494"/>
      <c r="I219" s="507"/>
      <c r="J219" s="507"/>
      <c r="K219" s="496"/>
      <c r="L219" s="496"/>
      <c r="M219" s="496"/>
      <c r="N219" s="496"/>
      <c r="O219" s="493"/>
      <c r="P219" s="493"/>
      <c r="Q219" s="493"/>
      <c r="R219" s="496"/>
      <c r="S219" s="496"/>
      <c r="T219" s="496"/>
      <c r="U219" s="496"/>
      <c r="V219" s="499"/>
      <c r="W219" s="568"/>
      <c r="X219" s="493"/>
      <c r="Y219" s="493"/>
      <c r="Z219" s="493"/>
    </row>
    <row r="220" ht="18.75" customHeight="1">
      <c r="A220" s="493"/>
      <c r="B220" s="494"/>
      <c r="C220" s="494"/>
      <c r="D220" s="494"/>
      <c r="E220" s="494"/>
      <c r="F220" s="501"/>
      <c r="G220" s="501"/>
      <c r="H220" s="494"/>
      <c r="I220" s="507"/>
      <c r="J220" s="507"/>
      <c r="K220" s="496"/>
      <c r="L220" s="496"/>
      <c r="M220" s="496"/>
      <c r="N220" s="496"/>
      <c r="O220" s="493"/>
      <c r="P220" s="493"/>
      <c r="Q220" s="493"/>
      <c r="R220" s="496"/>
      <c r="S220" s="496"/>
      <c r="T220" s="496"/>
      <c r="U220" s="496"/>
      <c r="V220" s="499"/>
      <c r="W220" s="568"/>
      <c r="X220" s="493"/>
      <c r="Y220" s="493"/>
      <c r="Z220" s="493"/>
    </row>
    <row r="221" ht="18.75" customHeight="1">
      <c r="A221" s="493"/>
      <c r="B221" s="494"/>
      <c r="C221" s="494"/>
      <c r="D221" s="494"/>
      <c r="E221" s="494"/>
      <c r="F221" s="501"/>
      <c r="G221" s="501"/>
      <c r="H221" s="494"/>
      <c r="I221" s="507"/>
      <c r="J221" s="507"/>
      <c r="K221" s="496"/>
      <c r="L221" s="496"/>
      <c r="M221" s="496"/>
      <c r="N221" s="496"/>
      <c r="O221" s="493"/>
      <c r="P221" s="493"/>
      <c r="Q221" s="493"/>
      <c r="R221" s="496"/>
      <c r="S221" s="496"/>
      <c r="T221" s="496"/>
      <c r="U221" s="496"/>
      <c r="V221" s="499"/>
      <c r="W221" s="568"/>
      <c r="X221" s="493"/>
      <c r="Y221" s="493"/>
      <c r="Z221" s="493"/>
    </row>
    <row r="222" ht="18.75" customHeight="1">
      <c r="A222" s="493"/>
      <c r="B222" s="494"/>
      <c r="C222" s="494"/>
      <c r="D222" s="494"/>
      <c r="E222" s="494"/>
      <c r="F222" s="501"/>
      <c r="G222" s="501"/>
      <c r="H222" s="494"/>
      <c r="I222" s="507"/>
      <c r="J222" s="507"/>
      <c r="K222" s="496"/>
      <c r="L222" s="496"/>
      <c r="M222" s="496"/>
      <c r="N222" s="496"/>
      <c r="O222" s="493"/>
      <c r="P222" s="493"/>
      <c r="Q222" s="493"/>
      <c r="R222" s="496"/>
      <c r="S222" s="496"/>
      <c r="T222" s="496"/>
      <c r="U222" s="496"/>
      <c r="V222" s="499"/>
      <c r="W222" s="568"/>
      <c r="X222" s="493"/>
      <c r="Y222" s="493"/>
      <c r="Z222" s="493"/>
    </row>
    <row r="223" ht="18.75" customHeight="1">
      <c r="A223" s="493"/>
      <c r="B223" s="494"/>
      <c r="C223" s="526"/>
      <c r="D223" s="494"/>
      <c r="E223" s="526"/>
      <c r="F223" s="527"/>
      <c r="G223" s="527"/>
      <c r="H223" s="526"/>
      <c r="I223" s="507"/>
      <c r="J223" s="507"/>
      <c r="K223" s="496"/>
      <c r="L223" s="496"/>
      <c r="M223" s="496"/>
      <c r="N223" s="496"/>
      <c r="O223" s="493"/>
      <c r="P223" s="493"/>
      <c r="Q223" s="493"/>
      <c r="R223" s="496"/>
      <c r="S223" s="496"/>
      <c r="T223" s="496"/>
      <c r="U223" s="496"/>
      <c r="V223" s="499"/>
      <c r="W223" s="568"/>
      <c r="X223" s="493"/>
      <c r="Y223" s="493"/>
      <c r="Z223" s="493"/>
    </row>
    <row r="224" ht="18.75" customHeight="1">
      <c r="A224" s="493"/>
      <c r="B224" s="526"/>
      <c r="C224" s="526"/>
      <c r="D224" s="526"/>
      <c r="E224" s="526"/>
      <c r="F224" s="527"/>
      <c r="G224" s="527"/>
      <c r="H224" s="526"/>
      <c r="I224" s="507"/>
      <c r="J224" s="507"/>
      <c r="K224" s="496"/>
      <c r="L224" s="496"/>
      <c r="M224" s="496"/>
      <c r="N224" s="496"/>
      <c r="O224" s="493"/>
      <c r="P224" s="493"/>
      <c r="Q224" s="493"/>
      <c r="R224" s="496"/>
      <c r="S224" s="496"/>
      <c r="T224" s="496"/>
      <c r="U224" s="496"/>
      <c r="V224" s="499"/>
      <c r="W224" s="568"/>
      <c r="X224" s="493"/>
      <c r="Y224" s="493"/>
      <c r="Z224" s="493"/>
    </row>
    <row r="225" ht="18.75" customHeight="1">
      <c r="A225" s="493"/>
      <c r="B225" s="526"/>
      <c r="C225" s="526"/>
      <c r="D225" s="526"/>
      <c r="E225" s="526"/>
      <c r="F225" s="527"/>
      <c r="G225" s="527"/>
      <c r="H225" s="526"/>
      <c r="I225" s="507"/>
      <c r="J225" s="507"/>
      <c r="K225" s="496"/>
      <c r="L225" s="496"/>
      <c r="M225" s="496"/>
      <c r="N225" s="496"/>
      <c r="O225" s="493"/>
      <c r="P225" s="493"/>
      <c r="Q225" s="493"/>
      <c r="R225" s="496"/>
      <c r="S225" s="496"/>
      <c r="T225" s="496"/>
      <c r="U225" s="496"/>
      <c r="V225" s="499"/>
      <c r="W225" s="568"/>
      <c r="X225" s="493"/>
      <c r="Y225" s="493"/>
      <c r="Z225" s="493"/>
    </row>
    <row r="226" ht="18.75" customHeight="1">
      <c r="A226" s="493"/>
      <c r="B226" s="526"/>
      <c r="C226" s="526"/>
      <c r="D226" s="526"/>
      <c r="E226" s="526"/>
      <c r="F226" s="527"/>
      <c r="G226" s="527"/>
      <c r="H226" s="526"/>
      <c r="I226" s="507"/>
      <c r="J226" s="507"/>
      <c r="K226" s="496"/>
      <c r="L226" s="496"/>
      <c r="M226" s="496"/>
      <c r="N226" s="496"/>
      <c r="O226" s="493"/>
      <c r="P226" s="493"/>
      <c r="Q226" s="493"/>
      <c r="R226" s="496"/>
      <c r="S226" s="496"/>
      <c r="T226" s="496"/>
      <c r="U226" s="496"/>
      <c r="V226" s="499"/>
      <c r="W226" s="568"/>
      <c r="X226" s="493"/>
      <c r="Y226" s="493"/>
      <c r="Z226" s="493"/>
    </row>
    <row r="227" ht="18.75" customHeight="1">
      <c r="A227" s="493"/>
      <c r="B227" s="526"/>
      <c r="C227" s="526"/>
      <c r="D227" s="526"/>
      <c r="E227" s="526"/>
      <c r="F227" s="527"/>
      <c r="G227" s="527"/>
      <c r="H227" s="526"/>
      <c r="I227" s="507"/>
      <c r="J227" s="507"/>
      <c r="K227" s="496"/>
      <c r="L227" s="496"/>
      <c r="M227" s="496"/>
      <c r="N227" s="496"/>
      <c r="O227" s="493"/>
      <c r="P227" s="493"/>
      <c r="Q227" s="493"/>
      <c r="R227" s="496"/>
      <c r="S227" s="496"/>
      <c r="T227" s="496"/>
      <c r="U227" s="496"/>
      <c r="V227" s="499"/>
      <c r="W227" s="568"/>
      <c r="X227" s="493"/>
      <c r="Y227" s="493"/>
      <c r="Z227" s="493"/>
    </row>
    <row r="228" ht="18.75" customHeight="1">
      <c r="A228" s="493"/>
      <c r="B228" s="526"/>
      <c r="C228" s="526"/>
      <c r="D228" s="526"/>
      <c r="E228" s="526"/>
      <c r="F228" s="527"/>
      <c r="G228" s="527"/>
      <c r="H228" s="526"/>
      <c r="I228" s="507"/>
      <c r="J228" s="507"/>
      <c r="K228" s="496"/>
      <c r="L228" s="496"/>
      <c r="M228" s="496"/>
      <c r="N228" s="496"/>
      <c r="O228" s="493"/>
      <c r="P228" s="493"/>
      <c r="Q228" s="493"/>
      <c r="R228" s="496"/>
      <c r="S228" s="496"/>
      <c r="T228" s="496"/>
      <c r="U228" s="496"/>
      <c r="V228" s="499"/>
      <c r="W228" s="568"/>
      <c r="X228" s="493"/>
      <c r="Y228" s="493"/>
      <c r="Z228" s="493"/>
    </row>
    <row r="229" ht="18.75" customHeight="1">
      <c r="A229" s="493"/>
      <c r="B229" s="526"/>
      <c r="C229" s="526"/>
      <c r="D229" s="526"/>
      <c r="E229" s="526"/>
      <c r="F229" s="527"/>
      <c r="G229" s="527"/>
      <c r="H229" s="526"/>
      <c r="I229" s="507"/>
      <c r="J229" s="507"/>
      <c r="K229" s="496"/>
      <c r="L229" s="496"/>
      <c r="M229" s="496"/>
      <c r="N229" s="496"/>
      <c r="O229" s="493"/>
      <c r="P229" s="493"/>
      <c r="Q229" s="493"/>
      <c r="R229" s="496"/>
      <c r="S229" s="496"/>
      <c r="T229" s="496"/>
      <c r="U229" s="496"/>
      <c r="V229" s="499"/>
      <c r="W229" s="568"/>
      <c r="X229" s="493"/>
      <c r="Y229" s="493"/>
      <c r="Z229" s="493"/>
    </row>
    <row r="230" ht="18.75" customHeight="1">
      <c r="A230" s="493"/>
      <c r="B230" s="526"/>
      <c r="C230" s="526"/>
      <c r="D230" s="526"/>
      <c r="E230" s="526"/>
      <c r="F230" s="527"/>
      <c r="G230" s="527"/>
      <c r="H230" s="526"/>
      <c r="I230" s="507"/>
      <c r="J230" s="507"/>
      <c r="K230" s="496"/>
      <c r="L230" s="496"/>
      <c r="M230" s="496"/>
      <c r="N230" s="496"/>
      <c r="O230" s="493"/>
      <c r="P230" s="493"/>
      <c r="Q230" s="493"/>
      <c r="R230" s="496"/>
      <c r="S230" s="496"/>
      <c r="T230" s="496"/>
      <c r="U230" s="496"/>
      <c r="V230" s="499"/>
      <c r="W230" s="568"/>
      <c r="X230" s="493"/>
      <c r="Y230" s="493"/>
      <c r="Z230" s="493"/>
    </row>
    <row r="231" ht="18.75" customHeight="1">
      <c r="A231" s="493"/>
      <c r="B231" s="526"/>
      <c r="C231" s="526"/>
      <c r="D231" s="526"/>
      <c r="E231" s="526"/>
      <c r="F231" s="527"/>
      <c r="G231" s="527"/>
      <c r="H231" s="526"/>
      <c r="I231" s="507"/>
      <c r="J231" s="507"/>
      <c r="K231" s="496"/>
      <c r="L231" s="496"/>
      <c r="M231" s="496"/>
      <c r="N231" s="496"/>
      <c r="O231" s="493"/>
      <c r="P231" s="493"/>
      <c r="Q231" s="493"/>
      <c r="R231" s="496"/>
      <c r="S231" s="496"/>
      <c r="T231" s="496"/>
      <c r="U231" s="496"/>
      <c r="V231" s="499"/>
      <c r="W231" s="568"/>
      <c r="X231" s="493"/>
      <c r="Y231" s="493"/>
      <c r="Z231" s="493"/>
    </row>
    <row r="232" ht="18.75" customHeight="1">
      <c r="A232" s="493"/>
      <c r="B232" s="526"/>
      <c r="C232" s="526"/>
      <c r="D232" s="526"/>
      <c r="E232" s="526"/>
      <c r="F232" s="527"/>
      <c r="G232" s="527"/>
      <c r="H232" s="526"/>
      <c r="I232" s="507"/>
      <c r="J232" s="507"/>
      <c r="K232" s="496"/>
      <c r="L232" s="496"/>
      <c r="M232" s="496"/>
      <c r="N232" s="496"/>
      <c r="O232" s="493"/>
      <c r="P232" s="493"/>
      <c r="Q232" s="493"/>
      <c r="R232" s="496"/>
      <c r="S232" s="496"/>
      <c r="T232" s="496"/>
      <c r="U232" s="496"/>
      <c r="V232" s="499"/>
      <c r="W232" s="568"/>
      <c r="X232" s="493"/>
      <c r="Y232" s="493"/>
      <c r="Z232" s="493"/>
    </row>
    <row r="233" ht="18.75" customHeight="1">
      <c r="A233" s="493"/>
      <c r="B233" s="526"/>
      <c r="C233" s="526"/>
      <c r="D233" s="526"/>
      <c r="E233" s="526"/>
      <c r="F233" s="527"/>
      <c r="G233" s="527"/>
      <c r="H233" s="526"/>
      <c r="I233" s="507"/>
      <c r="J233" s="507"/>
      <c r="K233" s="496"/>
      <c r="L233" s="496"/>
      <c r="M233" s="496"/>
      <c r="N233" s="496"/>
      <c r="O233" s="493"/>
      <c r="P233" s="493"/>
      <c r="Q233" s="493"/>
      <c r="R233" s="496"/>
      <c r="S233" s="496"/>
      <c r="T233" s="496"/>
      <c r="U233" s="496"/>
      <c r="V233" s="499"/>
      <c r="W233" s="568"/>
      <c r="X233" s="493"/>
      <c r="Y233" s="493"/>
      <c r="Z233" s="493"/>
    </row>
    <row r="234" ht="18.75" customHeight="1">
      <c r="A234" s="493"/>
      <c r="B234" s="526"/>
      <c r="C234" s="526"/>
      <c r="D234" s="526"/>
      <c r="E234" s="526"/>
      <c r="F234" s="527"/>
      <c r="G234" s="527"/>
      <c r="H234" s="526"/>
      <c r="I234" s="507"/>
      <c r="J234" s="507"/>
      <c r="K234" s="496"/>
      <c r="L234" s="496"/>
      <c r="M234" s="496"/>
      <c r="N234" s="496"/>
      <c r="O234" s="493"/>
      <c r="P234" s="493"/>
      <c r="Q234" s="493"/>
      <c r="R234" s="496"/>
      <c r="S234" s="496"/>
      <c r="T234" s="496"/>
      <c r="U234" s="496"/>
      <c r="V234" s="499"/>
      <c r="W234" s="568"/>
      <c r="X234" s="493"/>
      <c r="Y234" s="493"/>
      <c r="Z234" s="493"/>
    </row>
    <row r="235" ht="18.75" customHeight="1">
      <c r="A235" s="493"/>
      <c r="B235" s="526"/>
      <c r="C235" s="526"/>
      <c r="D235" s="526"/>
      <c r="E235" s="526"/>
      <c r="F235" s="527"/>
      <c r="G235" s="527"/>
      <c r="H235" s="526"/>
      <c r="I235" s="507"/>
      <c r="J235" s="507"/>
      <c r="K235" s="496"/>
      <c r="L235" s="496"/>
      <c r="M235" s="496"/>
      <c r="N235" s="496"/>
      <c r="O235" s="493"/>
      <c r="P235" s="493"/>
      <c r="Q235" s="493"/>
      <c r="R235" s="496"/>
      <c r="S235" s="496"/>
      <c r="T235" s="496"/>
      <c r="U235" s="496"/>
      <c r="V235" s="499"/>
      <c r="W235" s="568"/>
      <c r="X235" s="493"/>
      <c r="Y235" s="493"/>
      <c r="Z235" s="493"/>
    </row>
    <row r="236" ht="18.75" customHeight="1">
      <c r="A236" s="493"/>
      <c r="B236" s="526"/>
      <c r="C236" s="526"/>
      <c r="D236" s="526"/>
      <c r="E236" s="526"/>
      <c r="F236" s="527"/>
      <c r="G236" s="527"/>
      <c r="H236" s="526"/>
      <c r="I236" s="507"/>
      <c r="J236" s="507"/>
      <c r="K236" s="496"/>
      <c r="L236" s="496"/>
      <c r="M236" s="496"/>
      <c r="N236" s="496"/>
      <c r="O236" s="493"/>
      <c r="P236" s="493"/>
      <c r="Q236" s="493"/>
      <c r="R236" s="496"/>
      <c r="S236" s="496"/>
      <c r="T236" s="496"/>
      <c r="U236" s="496"/>
      <c r="V236" s="499"/>
      <c r="W236" s="568"/>
      <c r="X236" s="493"/>
      <c r="Y236" s="493"/>
      <c r="Z236" s="493"/>
    </row>
    <row r="237" ht="18.75" customHeight="1">
      <c r="A237" s="493"/>
      <c r="B237" s="526"/>
      <c r="C237" s="526"/>
      <c r="D237" s="526"/>
      <c r="E237" s="526"/>
      <c r="F237" s="527"/>
      <c r="G237" s="527"/>
      <c r="H237" s="526"/>
      <c r="I237" s="507"/>
      <c r="J237" s="507"/>
      <c r="K237" s="496"/>
      <c r="L237" s="496"/>
      <c r="M237" s="496"/>
      <c r="N237" s="496"/>
      <c r="O237" s="493"/>
      <c r="P237" s="493"/>
      <c r="Q237" s="493"/>
      <c r="R237" s="496"/>
      <c r="S237" s="496"/>
      <c r="T237" s="496"/>
      <c r="U237" s="496"/>
      <c r="V237" s="499"/>
      <c r="W237" s="568"/>
      <c r="X237" s="493"/>
      <c r="Y237" s="493"/>
      <c r="Z237" s="493"/>
    </row>
    <row r="238" ht="18.75" customHeight="1">
      <c r="A238" s="493"/>
      <c r="B238" s="526"/>
      <c r="C238" s="526"/>
      <c r="D238" s="526"/>
      <c r="E238" s="526"/>
      <c r="F238" s="527"/>
      <c r="G238" s="527"/>
      <c r="H238" s="526"/>
      <c r="I238" s="507"/>
      <c r="J238" s="507"/>
      <c r="K238" s="496"/>
      <c r="L238" s="496"/>
      <c r="M238" s="496"/>
      <c r="N238" s="496"/>
      <c r="O238" s="493"/>
      <c r="P238" s="493"/>
      <c r="Q238" s="493"/>
      <c r="R238" s="496"/>
      <c r="S238" s="496"/>
      <c r="T238" s="496"/>
      <c r="U238" s="496"/>
      <c r="V238" s="499"/>
      <c r="W238" s="568"/>
      <c r="X238" s="493"/>
      <c r="Y238" s="493"/>
      <c r="Z238" s="493"/>
    </row>
    <row r="239" ht="18.75" customHeight="1">
      <c r="A239" s="493"/>
      <c r="B239" s="526"/>
      <c r="C239" s="526"/>
      <c r="D239" s="526"/>
      <c r="E239" s="526"/>
      <c r="F239" s="527"/>
      <c r="G239" s="527"/>
      <c r="H239" s="526"/>
      <c r="I239" s="507"/>
      <c r="J239" s="507"/>
      <c r="K239" s="496"/>
      <c r="L239" s="496"/>
      <c r="M239" s="496"/>
      <c r="N239" s="496"/>
      <c r="O239" s="493"/>
      <c r="P239" s="493"/>
      <c r="Q239" s="493"/>
      <c r="R239" s="496"/>
      <c r="S239" s="496"/>
      <c r="T239" s="496"/>
      <c r="U239" s="496"/>
      <c r="V239" s="499"/>
      <c r="W239" s="568"/>
      <c r="X239" s="493"/>
      <c r="Y239" s="493"/>
      <c r="Z239" s="493"/>
    </row>
    <row r="240" ht="18.75" customHeight="1">
      <c r="A240" s="493"/>
      <c r="B240" s="526"/>
      <c r="C240" s="526"/>
      <c r="D240" s="526"/>
      <c r="E240" s="526"/>
      <c r="F240" s="527"/>
      <c r="G240" s="527"/>
      <c r="H240" s="526"/>
      <c r="I240" s="507"/>
      <c r="J240" s="507"/>
      <c r="K240" s="496"/>
      <c r="L240" s="496"/>
      <c r="M240" s="496"/>
      <c r="N240" s="496"/>
      <c r="O240" s="493"/>
      <c r="P240" s="493"/>
      <c r="Q240" s="493"/>
      <c r="R240" s="496"/>
      <c r="S240" s="496"/>
      <c r="T240" s="496"/>
      <c r="U240" s="496"/>
      <c r="V240" s="499"/>
      <c r="W240" s="568"/>
      <c r="X240" s="493"/>
      <c r="Y240" s="493"/>
      <c r="Z240" s="493"/>
    </row>
    <row r="241" ht="18.75" customHeight="1">
      <c r="A241" s="493"/>
      <c r="B241" s="526"/>
      <c r="C241" s="526"/>
      <c r="D241" s="526"/>
      <c r="E241" s="526"/>
      <c r="F241" s="527"/>
      <c r="G241" s="527"/>
      <c r="H241" s="526"/>
      <c r="I241" s="507"/>
      <c r="J241" s="507"/>
      <c r="K241" s="496"/>
      <c r="L241" s="496"/>
      <c r="M241" s="496"/>
      <c r="N241" s="496"/>
      <c r="O241" s="493"/>
      <c r="P241" s="493"/>
      <c r="Q241" s="493"/>
      <c r="R241" s="496"/>
      <c r="S241" s="496"/>
      <c r="T241" s="496"/>
      <c r="U241" s="496"/>
      <c r="V241" s="499"/>
      <c r="W241" s="568"/>
      <c r="X241" s="493"/>
      <c r="Y241" s="493"/>
      <c r="Z241" s="493"/>
    </row>
    <row r="242" ht="18.75" customHeight="1">
      <c r="A242" s="493"/>
      <c r="B242" s="528"/>
      <c r="C242" s="528"/>
      <c r="D242" s="528"/>
      <c r="E242" s="528"/>
      <c r="F242" s="529"/>
      <c r="G242" s="529"/>
      <c r="H242" s="528"/>
      <c r="I242" s="530"/>
      <c r="J242" s="530"/>
      <c r="K242" s="496"/>
      <c r="L242" s="496"/>
      <c r="M242" s="496"/>
      <c r="N242" s="496"/>
      <c r="O242" s="493"/>
      <c r="P242" s="493"/>
      <c r="Q242" s="493"/>
      <c r="R242" s="496"/>
      <c r="S242" s="496"/>
      <c r="T242" s="496"/>
      <c r="U242" s="496"/>
      <c r="V242" s="499"/>
      <c r="W242" s="568"/>
      <c r="X242" s="493"/>
      <c r="Y242" s="493"/>
      <c r="Z242" s="493"/>
    </row>
    <row r="243" ht="18.75" customHeight="1">
      <c r="A243" s="493"/>
      <c r="B243" s="528"/>
      <c r="C243" s="528"/>
      <c r="D243" s="528"/>
      <c r="E243" s="528"/>
      <c r="F243" s="529"/>
      <c r="G243" s="529"/>
      <c r="H243" s="528"/>
      <c r="I243" s="530"/>
      <c r="J243" s="530"/>
      <c r="K243" s="496"/>
      <c r="L243" s="496"/>
      <c r="M243" s="496"/>
      <c r="N243" s="496"/>
      <c r="O243" s="493"/>
      <c r="P243" s="493"/>
      <c r="Q243" s="493"/>
      <c r="R243" s="496"/>
      <c r="S243" s="496"/>
      <c r="T243" s="496"/>
      <c r="U243" s="496"/>
      <c r="V243" s="496"/>
      <c r="W243" s="568"/>
      <c r="X243" s="493"/>
      <c r="Y243" s="493"/>
      <c r="Z243" s="493"/>
    </row>
    <row r="244" ht="18.75" customHeight="1">
      <c r="A244" s="493"/>
      <c r="B244" s="528"/>
      <c r="C244" s="528"/>
      <c r="D244" s="528"/>
      <c r="E244" s="528"/>
      <c r="F244" s="529"/>
      <c r="G244" s="529"/>
      <c r="H244" s="528"/>
      <c r="I244" s="530"/>
      <c r="J244" s="530"/>
      <c r="K244" s="496"/>
      <c r="L244" s="496"/>
      <c r="M244" s="496"/>
      <c r="N244" s="496"/>
      <c r="O244" s="493"/>
      <c r="P244" s="493"/>
      <c r="Q244" s="493"/>
      <c r="R244" s="496"/>
      <c r="S244" s="496"/>
      <c r="T244" s="496"/>
      <c r="U244" s="496"/>
      <c r="V244" s="496"/>
      <c r="W244" s="568"/>
      <c r="X244" s="493"/>
      <c r="Y244" s="493"/>
      <c r="Z244" s="493"/>
    </row>
    <row r="245" ht="18.75" customHeight="1">
      <c r="A245" s="493"/>
      <c r="B245" s="528"/>
      <c r="C245" s="528"/>
      <c r="D245" s="528"/>
      <c r="E245" s="528"/>
      <c r="F245" s="529"/>
      <c r="G245" s="529"/>
      <c r="H245" s="528"/>
      <c r="I245" s="530"/>
      <c r="J245" s="530"/>
      <c r="K245" s="496"/>
      <c r="L245" s="496"/>
      <c r="M245" s="496"/>
      <c r="N245" s="496"/>
      <c r="O245" s="493"/>
      <c r="P245" s="493"/>
      <c r="Q245" s="493"/>
      <c r="R245" s="496"/>
      <c r="S245" s="496"/>
      <c r="T245" s="496"/>
      <c r="U245" s="496"/>
      <c r="V245" s="496"/>
      <c r="W245" s="568"/>
      <c r="X245" s="493"/>
      <c r="Y245" s="493"/>
      <c r="Z245" s="493"/>
    </row>
    <row r="246" ht="18.75" customHeight="1">
      <c r="A246" s="493"/>
      <c r="B246" s="528"/>
      <c r="C246" s="528"/>
      <c r="D246" s="528"/>
      <c r="E246" s="528"/>
      <c r="F246" s="529"/>
      <c r="G246" s="529"/>
      <c r="H246" s="528"/>
      <c r="I246" s="530"/>
      <c r="J246" s="530"/>
      <c r="K246" s="496"/>
      <c r="L246" s="496"/>
      <c r="M246" s="496"/>
      <c r="N246" s="496"/>
      <c r="O246" s="493"/>
      <c r="P246" s="493"/>
      <c r="Q246" s="493"/>
      <c r="R246" s="496"/>
      <c r="S246" s="496"/>
      <c r="T246" s="496"/>
      <c r="U246" s="496"/>
      <c r="V246" s="496"/>
      <c r="W246" s="568"/>
      <c r="X246" s="493"/>
      <c r="Y246" s="493"/>
      <c r="Z246" s="493"/>
    </row>
    <row r="247" ht="18.75" customHeight="1">
      <c r="A247" s="493"/>
      <c r="B247" s="531"/>
      <c r="C247" s="531"/>
      <c r="D247" s="531"/>
      <c r="E247" s="531"/>
      <c r="F247" s="532"/>
      <c r="G247" s="532"/>
      <c r="H247" s="531"/>
      <c r="I247" s="533"/>
      <c r="J247" s="533"/>
      <c r="K247" s="496"/>
      <c r="L247" s="496"/>
      <c r="M247" s="496"/>
      <c r="N247" s="496"/>
      <c r="O247" s="493"/>
      <c r="P247" s="493"/>
      <c r="Q247" s="493"/>
      <c r="R247" s="496"/>
      <c r="S247" s="496"/>
      <c r="T247" s="496"/>
      <c r="U247" s="496"/>
      <c r="V247" s="496"/>
      <c r="W247" s="568"/>
      <c r="X247" s="493"/>
      <c r="Y247" s="493"/>
      <c r="Z247" s="493"/>
    </row>
    <row r="248" ht="18.75" customHeight="1">
      <c r="A248" s="493"/>
      <c r="B248" s="531"/>
      <c r="C248" s="531"/>
      <c r="D248" s="531"/>
      <c r="E248" s="531"/>
      <c r="F248" s="532"/>
      <c r="G248" s="532"/>
      <c r="H248" s="531"/>
      <c r="I248" s="533"/>
      <c r="J248" s="533"/>
      <c r="K248" s="496"/>
      <c r="L248" s="496"/>
      <c r="M248" s="496"/>
      <c r="N248" s="496"/>
      <c r="O248" s="493"/>
      <c r="P248" s="493"/>
      <c r="Q248" s="493"/>
      <c r="R248" s="496"/>
      <c r="S248" s="496"/>
      <c r="T248" s="496"/>
      <c r="U248" s="496"/>
      <c r="V248" s="496"/>
      <c r="W248" s="568"/>
      <c r="X248" s="493"/>
      <c r="Y248" s="493"/>
      <c r="Z248" s="493"/>
    </row>
    <row r="249" ht="18.75" customHeight="1">
      <c r="A249" s="493"/>
      <c r="B249" s="531"/>
      <c r="C249" s="531"/>
      <c r="D249" s="531"/>
      <c r="E249" s="531"/>
      <c r="F249" s="532"/>
      <c r="G249" s="532"/>
      <c r="H249" s="531"/>
      <c r="I249" s="533"/>
      <c r="J249" s="533"/>
      <c r="K249" s="496"/>
      <c r="L249" s="496"/>
      <c r="M249" s="496"/>
      <c r="N249" s="496"/>
      <c r="O249" s="493"/>
      <c r="P249" s="493"/>
      <c r="Q249" s="493"/>
      <c r="R249" s="496"/>
      <c r="S249" s="496"/>
      <c r="T249" s="496"/>
      <c r="U249" s="496"/>
      <c r="V249" s="496"/>
      <c r="W249" s="568"/>
      <c r="X249" s="493"/>
      <c r="Y249" s="493"/>
      <c r="Z249" s="493"/>
    </row>
    <row r="250" ht="18.75" customHeight="1">
      <c r="A250" s="493"/>
      <c r="B250" s="531"/>
      <c r="C250" s="531"/>
      <c r="D250" s="531"/>
      <c r="E250" s="531"/>
      <c r="F250" s="532"/>
      <c r="G250" s="532"/>
      <c r="H250" s="531"/>
      <c r="I250" s="533"/>
      <c r="J250" s="533"/>
      <c r="K250" s="496"/>
      <c r="L250" s="496"/>
      <c r="M250" s="496"/>
      <c r="N250" s="496"/>
      <c r="O250" s="493"/>
      <c r="P250" s="493"/>
      <c r="Q250" s="493"/>
      <c r="R250" s="496"/>
      <c r="S250" s="496"/>
      <c r="T250" s="496"/>
      <c r="U250" s="496"/>
      <c r="V250" s="496"/>
      <c r="W250" s="568"/>
      <c r="X250" s="493"/>
      <c r="Y250" s="493"/>
      <c r="Z250" s="493"/>
    </row>
    <row r="251" ht="18.75" customHeight="1">
      <c r="A251" s="493"/>
      <c r="B251" s="531"/>
      <c r="C251" s="531"/>
      <c r="D251" s="531"/>
      <c r="E251" s="531"/>
      <c r="F251" s="532"/>
      <c r="G251" s="532"/>
      <c r="H251" s="531"/>
      <c r="I251" s="533"/>
      <c r="J251" s="533"/>
      <c r="K251" s="496"/>
      <c r="L251" s="496"/>
      <c r="M251" s="496"/>
      <c r="N251" s="496"/>
      <c r="O251" s="493"/>
      <c r="P251" s="493"/>
      <c r="Q251" s="493"/>
      <c r="R251" s="496"/>
      <c r="S251" s="496"/>
      <c r="T251" s="496"/>
      <c r="U251" s="496"/>
      <c r="V251" s="496"/>
      <c r="W251" s="568"/>
      <c r="X251" s="493"/>
      <c r="Y251" s="493"/>
      <c r="Z251" s="493"/>
    </row>
    <row r="252" ht="18.75" customHeight="1">
      <c r="A252" s="493"/>
      <c r="B252" s="531"/>
      <c r="C252" s="531"/>
      <c r="D252" s="531"/>
      <c r="E252" s="531"/>
      <c r="F252" s="532"/>
      <c r="G252" s="532"/>
      <c r="H252" s="531"/>
      <c r="I252" s="533"/>
      <c r="J252" s="533"/>
      <c r="K252" s="496"/>
      <c r="L252" s="496"/>
      <c r="M252" s="496"/>
      <c r="N252" s="496"/>
      <c r="O252" s="493"/>
      <c r="P252" s="493"/>
      <c r="Q252" s="493"/>
      <c r="R252" s="496"/>
      <c r="S252" s="496"/>
      <c r="T252" s="496"/>
      <c r="U252" s="496"/>
      <c r="V252" s="496"/>
      <c r="W252" s="568"/>
      <c r="X252" s="493"/>
      <c r="Y252" s="493"/>
      <c r="Z252" s="493"/>
    </row>
    <row r="253" ht="18.75" customHeight="1">
      <c r="A253" s="493"/>
      <c r="B253" s="531"/>
      <c r="C253" s="531"/>
      <c r="D253" s="531"/>
      <c r="E253" s="531"/>
      <c r="F253" s="532"/>
      <c r="G253" s="532"/>
      <c r="H253" s="531"/>
      <c r="I253" s="533"/>
      <c r="J253" s="533"/>
      <c r="K253" s="496"/>
      <c r="L253" s="496"/>
      <c r="M253" s="496"/>
      <c r="N253" s="496"/>
      <c r="O253" s="493"/>
      <c r="P253" s="493"/>
      <c r="Q253" s="493"/>
      <c r="R253" s="496"/>
      <c r="S253" s="496"/>
      <c r="T253" s="496"/>
      <c r="U253" s="496"/>
      <c r="V253" s="496"/>
      <c r="W253" s="568"/>
      <c r="X253" s="493"/>
      <c r="Y253" s="493"/>
      <c r="Z253" s="493"/>
    </row>
    <row r="254" ht="18.75" customHeight="1">
      <c r="A254" s="493"/>
      <c r="B254" s="531"/>
      <c r="C254" s="531"/>
      <c r="D254" s="531"/>
      <c r="E254" s="531"/>
      <c r="F254" s="532"/>
      <c r="G254" s="532"/>
      <c r="H254" s="531"/>
      <c r="I254" s="533"/>
      <c r="J254" s="533"/>
      <c r="K254" s="496"/>
      <c r="L254" s="496"/>
      <c r="M254" s="496"/>
      <c r="N254" s="496"/>
      <c r="O254" s="493"/>
      <c r="P254" s="493"/>
      <c r="Q254" s="493"/>
      <c r="R254" s="496"/>
      <c r="S254" s="496"/>
      <c r="T254" s="496"/>
      <c r="U254" s="496"/>
      <c r="V254" s="496"/>
      <c r="W254" s="568"/>
      <c r="X254" s="493"/>
      <c r="Y254" s="493"/>
      <c r="Z254" s="493"/>
    </row>
    <row r="255" ht="18.75" customHeight="1">
      <c r="A255" s="493"/>
      <c r="B255" s="531"/>
      <c r="C255" s="531"/>
      <c r="D255" s="531"/>
      <c r="E255" s="531"/>
      <c r="F255" s="532"/>
      <c r="G255" s="532"/>
      <c r="H255" s="531"/>
      <c r="I255" s="533"/>
      <c r="J255" s="533"/>
      <c r="K255" s="496"/>
      <c r="L255" s="496"/>
      <c r="M255" s="496"/>
      <c r="N255" s="496"/>
      <c r="O255" s="493"/>
      <c r="P255" s="493"/>
      <c r="Q255" s="493"/>
      <c r="R255" s="496"/>
      <c r="S255" s="496"/>
      <c r="T255" s="496"/>
      <c r="U255" s="496"/>
      <c r="V255" s="496"/>
      <c r="W255" s="568"/>
      <c r="X255" s="493"/>
      <c r="Y255" s="493"/>
      <c r="Z255" s="493"/>
    </row>
    <row r="256" ht="18.75" customHeight="1">
      <c r="A256" s="493"/>
      <c r="B256" s="531"/>
      <c r="C256" s="531"/>
      <c r="D256" s="531"/>
      <c r="E256" s="531"/>
      <c r="F256" s="532"/>
      <c r="G256" s="532"/>
      <c r="H256" s="531"/>
      <c r="I256" s="533"/>
      <c r="J256" s="533"/>
      <c r="K256" s="496"/>
      <c r="L256" s="496"/>
      <c r="M256" s="496"/>
      <c r="N256" s="496"/>
      <c r="O256" s="493"/>
      <c r="P256" s="493"/>
      <c r="Q256" s="493"/>
      <c r="R256" s="496"/>
      <c r="S256" s="496"/>
      <c r="T256" s="496"/>
      <c r="U256" s="496"/>
      <c r="V256" s="496"/>
      <c r="W256" s="568"/>
      <c r="X256" s="493"/>
      <c r="Y256" s="493"/>
      <c r="Z256" s="493"/>
    </row>
    <row r="257" ht="18.75" customHeight="1">
      <c r="A257" s="493"/>
      <c r="B257" s="531"/>
      <c r="C257" s="531"/>
      <c r="D257" s="531"/>
      <c r="E257" s="531"/>
      <c r="F257" s="532"/>
      <c r="G257" s="532"/>
      <c r="H257" s="531"/>
      <c r="I257" s="533"/>
      <c r="J257" s="533"/>
      <c r="K257" s="496"/>
      <c r="L257" s="496"/>
      <c r="M257" s="496"/>
      <c r="N257" s="496"/>
      <c r="O257" s="493"/>
      <c r="P257" s="493"/>
      <c r="Q257" s="493"/>
      <c r="R257" s="496"/>
      <c r="S257" s="496"/>
      <c r="T257" s="496"/>
      <c r="U257" s="496"/>
      <c r="V257" s="496"/>
      <c r="W257" s="568"/>
      <c r="X257" s="493"/>
      <c r="Y257" s="493"/>
      <c r="Z257" s="493"/>
    </row>
    <row r="258" ht="18.75" customHeight="1">
      <c r="A258" s="493"/>
      <c r="B258" s="531"/>
      <c r="C258" s="531"/>
      <c r="D258" s="531"/>
      <c r="E258" s="531"/>
      <c r="F258" s="532"/>
      <c r="G258" s="532"/>
      <c r="H258" s="531"/>
      <c r="I258" s="533"/>
      <c r="J258" s="533"/>
      <c r="K258" s="496"/>
      <c r="L258" s="496"/>
      <c r="M258" s="496"/>
      <c r="N258" s="496"/>
      <c r="O258" s="493"/>
      <c r="P258" s="493"/>
      <c r="Q258" s="493"/>
      <c r="R258" s="496"/>
      <c r="S258" s="496"/>
      <c r="T258" s="496"/>
      <c r="U258" s="496"/>
      <c r="V258" s="496"/>
      <c r="W258" s="568"/>
      <c r="X258" s="493"/>
      <c r="Y258" s="493"/>
      <c r="Z258" s="493"/>
    </row>
    <row r="259" ht="18.75" customHeight="1">
      <c r="A259" s="493"/>
      <c r="B259" s="531"/>
      <c r="C259" s="531"/>
      <c r="D259" s="531"/>
      <c r="E259" s="531"/>
      <c r="F259" s="532"/>
      <c r="G259" s="532"/>
      <c r="H259" s="531"/>
      <c r="I259" s="533"/>
      <c r="J259" s="533"/>
      <c r="K259" s="496"/>
      <c r="L259" s="496"/>
      <c r="M259" s="496"/>
      <c r="N259" s="496"/>
      <c r="O259" s="493"/>
      <c r="P259" s="493"/>
      <c r="Q259" s="493"/>
      <c r="R259" s="496"/>
      <c r="S259" s="496"/>
      <c r="T259" s="496"/>
      <c r="U259" s="496"/>
      <c r="V259" s="496"/>
      <c r="W259" s="568"/>
      <c r="X259" s="493"/>
      <c r="Y259" s="493"/>
      <c r="Z259" s="493"/>
    </row>
    <row r="260" ht="18.75" customHeight="1">
      <c r="A260" s="493"/>
      <c r="B260" s="531"/>
      <c r="C260" s="531"/>
      <c r="D260" s="531"/>
      <c r="E260" s="531"/>
      <c r="F260" s="532"/>
      <c r="G260" s="532"/>
      <c r="H260" s="531"/>
      <c r="I260" s="533"/>
      <c r="J260" s="533"/>
      <c r="K260" s="496"/>
      <c r="L260" s="496"/>
      <c r="M260" s="496"/>
      <c r="N260" s="496"/>
      <c r="O260" s="493"/>
      <c r="P260" s="493"/>
      <c r="Q260" s="493"/>
      <c r="R260" s="496"/>
      <c r="S260" s="496"/>
      <c r="T260" s="496"/>
      <c r="U260" s="496"/>
      <c r="V260" s="496"/>
      <c r="W260" s="568"/>
      <c r="X260" s="493"/>
      <c r="Y260" s="493"/>
      <c r="Z260" s="493"/>
    </row>
    <row r="261" ht="18.75" customHeight="1">
      <c r="A261" s="493"/>
      <c r="B261" s="531"/>
      <c r="C261" s="531"/>
      <c r="D261" s="531"/>
      <c r="E261" s="531"/>
      <c r="F261" s="532"/>
      <c r="G261" s="532"/>
      <c r="H261" s="531"/>
      <c r="I261" s="533"/>
      <c r="J261" s="533"/>
      <c r="K261" s="496"/>
      <c r="L261" s="496"/>
      <c r="M261" s="496"/>
      <c r="N261" s="496"/>
      <c r="O261" s="493"/>
      <c r="P261" s="493"/>
      <c r="Q261" s="493"/>
      <c r="R261" s="496"/>
      <c r="S261" s="496"/>
      <c r="T261" s="496"/>
      <c r="U261" s="496"/>
      <c r="V261" s="496"/>
      <c r="W261" s="568"/>
      <c r="X261" s="493"/>
      <c r="Y261" s="493"/>
      <c r="Z261" s="493"/>
    </row>
    <row r="262" ht="18.75" customHeight="1">
      <c r="A262" s="493"/>
      <c r="B262" s="531"/>
      <c r="C262" s="531"/>
      <c r="D262" s="531"/>
      <c r="E262" s="531"/>
      <c r="F262" s="532"/>
      <c r="G262" s="532"/>
      <c r="H262" s="531"/>
      <c r="I262" s="533"/>
      <c r="J262" s="533"/>
      <c r="K262" s="496"/>
      <c r="L262" s="496"/>
      <c r="M262" s="496"/>
      <c r="N262" s="496"/>
      <c r="O262" s="493"/>
      <c r="P262" s="493"/>
      <c r="Q262" s="493"/>
      <c r="R262" s="496"/>
      <c r="S262" s="496"/>
      <c r="T262" s="496"/>
      <c r="U262" s="496"/>
      <c r="V262" s="496"/>
      <c r="W262" s="568"/>
      <c r="X262" s="493"/>
      <c r="Y262" s="493"/>
      <c r="Z262" s="493"/>
    </row>
    <row r="263" ht="18.75" customHeight="1">
      <c r="A263" s="493"/>
      <c r="B263" s="531"/>
      <c r="C263" s="531"/>
      <c r="D263" s="531"/>
      <c r="E263" s="531"/>
      <c r="F263" s="532"/>
      <c r="G263" s="532"/>
      <c r="H263" s="531"/>
      <c r="I263" s="533"/>
      <c r="J263" s="533"/>
      <c r="K263" s="496"/>
      <c r="L263" s="496"/>
      <c r="M263" s="496"/>
      <c r="N263" s="496"/>
      <c r="O263" s="493"/>
      <c r="P263" s="493"/>
      <c r="Q263" s="493"/>
      <c r="R263" s="496"/>
      <c r="S263" s="496"/>
      <c r="T263" s="496"/>
      <c r="U263" s="496"/>
      <c r="V263" s="496"/>
      <c r="W263" s="568"/>
      <c r="X263" s="493"/>
      <c r="Y263" s="493"/>
      <c r="Z263" s="493"/>
    </row>
    <row r="264" ht="18.75" customHeight="1">
      <c r="A264" s="493"/>
      <c r="B264" s="531"/>
      <c r="C264" s="531"/>
      <c r="D264" s="531"/>
      <c r="E264" s="531"/>
      <c r="F264" s="532"/>
      <c r="G264" s="532"/>
      <c r="H264" s="531"/>
      <c r="I264" s="533"/>
      <c r="J264" s="533"/>
      <c r="K264" s="496"/>
      <c r="L264" s="496"/>
      <c r="M264" s="496"/>
      <c r="N264" s="496"/>
      <c r="O264" s="493"/>
      <c r="P264" s="493"/>
      <c r="Q264" s="493"/>
      <c r="R264" s="496"/>
      <c r="S264" s="496"/>
      <c r="T264" s="496"/>
      <c r="U264" s="496"/>
      <c r="V264" s="496"/>
      <c r="W264" s="568"/>
      <c r="X264" s="493"/>
      <c r="Y264" s="493"/>
      <c r="Z264" s="493"/>
    </row>
    <row r="265" ht="18.75" customHeight="1">
      <c r="A265" s="493"/>
      <c r="B265" s="531"/>
      <c r="C265" s="531"/>
      <c r="D265" s="531"/>
      <c r="E265" s="531"/>
      <c r="F265" s="532"/>
      <c r="G265" s="532"/>
      <c r="H265" s="531"/>
      <c r="I265" s="533"/>
      <c r="J265" s="533"/>
      <c r="K265" s="496"/>
      <c r="L265" s="496"/>
      <c r="M265" s="496"/>
      <c r="N265" s="496"/>
      <c r="O265" s="493"/>
      <c r="P265" s="493"/>
      <c r="Q265" s="493"/>
      <c r="R265" s="496"/>
      <c r="S265" s="496"/>
      <c r="T265" s="496"/>
      <c r="U265" s="496"/>
      <c r="V265" s="496"/>
      <c r="W265" s="568"/>
      <c r="X265" s="493"/>
      <c r="Y265" s="493"/>
      <c r="Z265" s="493"/>
    </row>
    <row r="266" ht="18.75" customHeight="1">
      <c r="A266" s="493"/>
      <c r="B266" s="531"/>
      <c r="C266" s="531"/>
      <c r="D266" s="531"/>
      <c r="E266" s="531"/>
      <c r="F266" s="532"/>
      <c r="G266" s="532"/>
      <c r="H266" s="531"/>
      <c r="I266" s="533"/>
      <c r="J266" s="533"/>
      <c r="K266" s="496"/>
      <c r="L266" s="496"/>
      <c r="M266" s="496"/>
      <c r="N266" s="496"/>
      <c r="O266" s="493"/>
      <c r="P266" s="493"/>
      <c r="Q266" s="493"/>
      <c r="R266" s="496"/>
      <c r="S266" s="496"/>
      <c r="T266" s="496"/>
      <c r="U266" s="496"/>
      <c r="V266" s="496"/>
      <c r="W266" s="568"/>
      <c r="X266" s="493"/>
      <c r="Y266" s="493"/>
      <c r="Z266" s="493"/>
    </row>
    <row r="267" ht="18.75" customHeight="1">
      <c r="A267" s="493"/>
      <c r="B267" s="531"/>
      <c r="C267" s="531"/>
      <c r="D267" s="531"/>
      <c r="E267" s="531"/>
      <c r="F267" s="532"/>
      <c r="G267" s="532"/>
      <c r="H267" s="531"/>
      <c r="I267" s="533"/>
      <c r="J267" s="533"/>
      <c r="K267" s="496"/>
      <c r="L267" s="496"/>
      <c r="M267" s="496"/>
      <c r="N267" s="496"/>
      <c r="O267" s="493"/>
      <c r="P267" s="493"/>
      <c r="Q267" s="493"/>
      <c r="R267" s="496"/>
      <c r="S267" s="496"/>
      <c r="T267" s="496"/>
      <c r="U267" s="496"/>
      <c r="V267" s="496"/>
      <c r="W267" s="568"/>
      <c r="X267" s="493"/>
      <c r="Y267" s="493"/>
      <c r="Z267" s="493"/>
    </row>
    <row r="268" ht="18.75" customHeight="1">
      <c r="A268" s="493"/>
      <c r="B268" s="531"/>
      <c r="C268" s="531"/>
      <c r="D268" s="531"/>
      <c r="E268" s="531"/>
      <c r="F268" s="532"/>
      <c r="G268" s="532"/>
      <c r="H268" s="531"/>
      <c r="I268" s="533"/>
      <c r="J268" s="533"/>
      <c r="K268" s="496"/>
      <c r="L268" s="496"/>
      <c r="M268" s="496"/>
      <c r="N268" s="496"/>
      <c r="O268" s="493"/>
      <c r="P268" s="493"/>
      <c r="Q268" s="493"/>
      <c r="R268" s="496"/>
      <c r="S268" s="496"/>
      <c r="T268" s="496"/>
      <c r="U268" s="496"/>
      <c r="V268" s="496"/>
      <c r="W268" s="568"/>
      <c r="X268" s="493"/>
      <c r="Y268" s="493"/>
      <c r="Z268" s="493"/>
    </row>
    <row r="269" ht="18.75" customHeight="1">
      <c r="A269" s="493"/>
      <c r="B269" s="531"/>
      <c r="C269" s="531"/>
      <c r="D269" s="531"/>
      <c r="E269" s="531"/>
      <c r="F269" s="532"/>
      <c r="G269" s="532"/>
      <c r="H269" s="531"/>
      <c r="I269" s="533"/>
      <c r="J269" s="533"/>
      <c r="K269" s="496"/>
      <c r="L269" s="496"/>
      <c r="M269" s="496"/>
      <c r="N269" s="496"/>
      <c r="O269" s="493"/>
      <c r="P269" s="493"/>
      <c r="Q269" s="493"/>
      <c r="R269" s="496"/>
      <c r="S269" s="496"/>
      <c r="T269" s="496"/>
      <c r="U269" s="496"/>
      <c r="V269" s="496"/>
      <c r="W269" s="568"/>
      <c r="X269" s="493"/>
      <c r="Y269" s="493"/>
      <c r="Z269" s="493"/>
    </row>
    <row r="270" ht="18.75" customHeight="1">
      <c r="A270" s="493"/>
      <c r="B270" s="531"/>
      <c r="C270" s="531"/>
      <c r="D270" s="531"/>
      <c r="E270" s="531"/>
      <c r="F270" s="532"/>
      <c r="G270" s="532"/>
      <c r="H270" s="531"/>
      <c r="I270" s="533"/>
      <c r="J270" s="533"/>
      <c r="K270" s="496"/>
      <c r="L270" s="496"/>
      <c r="M270" s="496"/>
      <c r="N270" s="496"/>
      <c r="O270" s="493"/>
      <c r="P270" s="493"/>
      <c r="Q270" s="493"/>
      <c r="R270" s="496"/>
      <c r="S270" s="496"/>
      <c r="T270" s="496"/>
      <c r="U270" s="496"/>
      <c r="V270" s="496"/>
      <c r="W270" s="568"/>
      <c r="X270" s="493"/>
      <c r="Y270" s="493"/>
      <c r="Z270" s="493"/>
    </row>
    <row r="271" ht="18.75" customHeight="1">
      <c r="A271" s="493"/>
      <c r="B271" s="531"/>
      <c r="C271" s="531"/>
      <c r="D271" s="531"/>
      <c r="E271" s="531"/>
      <c r="F271" s="532"/>
      <c r="G271" s="532"/>
      <c r="H271" s="531"/>
      <c r="I271" s="533"/>
      <c r="J271" s="533"/>
      <c r="K271" s="496"/>
      <c r="L271" s="496"/>
      <c r="M271" s="496"/>
      <c r="N271" s="496"/>
      <c r="O271" s="493"/>
      <c r="P271" s="493"/>
      <c r="Q271" s="493"/>
      <c r="R271" s="496"/>
      <c r="S271" s="496"/>
      <c r="T271" s="496"/>
      <c r="U271" s="496"/>
      <c r="V271" s="496"/>
      <c r="W271" s="568"/>
      <c r="X271" s="493"/>
      <c r="Y271" s="493"/>
      <c r="Z271" s="493"/>
    </row>
    <row r="272" ht="18.75" customHeight="1">
      <c r="A272" s="493"/>
      <c r="B272" s="531"/>
      <c r="C272" s="531"/>
      <c r="D272" s="531"/>
      <c r="E272" s="531"/>
      <c r="F272" s="532"/>
      <c r="G272" s="532"/>
      <c r="H272" s="531"/>
      <c r="I272" s="533"/>
      <c r="J272" s="533"/>
      <c r="K272" s="496"/>
      <c r="L272" s="496"/>
      <c r="M272" s="496"/>
      <c r="N272" s="496"/>
      <c r="O272" s="493"/>
      <c r="P272" s="493"/>
      <c r="Q272" s="493"/>
      <c r="R272" s="496"/>
      <c r="S272" s="496"/>
      <c r="T272" s="496"/>
      <c r="U272" s="496"/>
      <c r="V272" s="496"/>
      <c r="W272" s="568"/>
      <c r="X272" s="493"/>
      <c r="Y272" s="493"/>
      <c r="Z272" s="493"/>
    </row>
    <row r="273" ht="18.75" customHeight="1">
      <c r="A273" s="493"/>
      <c r="B273" s="531"/>
      <c r="C273" s="531"/>
      <c r="D273" s="531"/>
      <c r="E273" s="531"/>
      <c r="F273" s="532"/>
      <c r="G273" s="532"/>
      <c r="H273" s="531"/>
      <c r="I273" s="533"/>
      <c r="J273" s="533"/>
      <c r="K273" s="496"/>
      <c r="L273" s="496"/>
      <c r="M273" s="496"/>
      <c r="N273" s="496"/>
      <c r="O273" s="493"/>
      <c r="P273" s="493"/>
      <c r="Q273" s="493"/>
      <c r="R273" s="496"/>
      <c r="S273" s="496"/>
      <c r="T273" s="496"/>
      <c r="U273" s="496"/>
      <c r="V273" s="496"/>
      <c r="W273" s="568"/>
      <c r="X273" s="493"/>
      <c r="Y273" s="493"/>
      <c r="Z273" s="493"/>
    </row>
    <row r="274" ht="18.75" customHeight="1">
      <c r="A274" s="493"/>
      <c r="B274" s="531"/>
      <c r="C274" s="531"/>
      <c r="D274" s="531"/>
      <c r="E274" s="531"/>
      <c r="F274" s="532"/>
      <c r="G274" s="532"/>
      <c r="H274" s="531"/>
      <c r="I274" s="533"/>
      <c r="J274" s="533"/>
      <c r="K274" s="496"/>
      <c r="L274" s="496"/>
      <c r="M274" s="496"/>
      <c r="N274" s="496"/>
      <c r="O274" s="493"/>
      <c r="P274" s="493"/>
      <c r="Q274" s="493"/>
      <c r="R274" s="496"/>
      <c r="S274" s="496"/>
      <c r="T274" s="496"/>
      <c r="U274" s="496"/>
      <c r="V274" s="496"/>
      <c r="W274" s="568"/>
      <c r="X274" s="493"/>
      <c r="Y274" s="493"/>
      <c r="Z274" s="493"/>
    </row>
    <row r="275" ht="18.75" customHeight="1">
      <c r="A275" s="493"/>
      <c r="B275" s="531"/>
      <c r="C275" s="531"/>
      <c r="D275" s="531"/>
      <c r="E275" s="531"/>
      <c r="F275" s="532"/>
      <c r="G275" s="532"/>
      <c r="H275" s="531"/>
      <c r="I275" s="533"/>
      <c r="J275" s="533"/>
      <c r="K275" s="496"/>
      <c r="L275" s="496"/>
      <c r="M275" s="496"/>
      <c r="N275" s="496"/>
      <c r="O275" s="493"/>
      <c r="P275" s="493"/>
      <c r="Q275" s="493"/>
      <c r="R275" s="496"/>
      <c r="S275" s="496"/>
      <c r="T275" s="496"/>
      <c r="U275" s="496"/>
      <c r="V275" s="496"/>
      <c r="W275" s="568"/>
      <c r="X275" s="493"/>
      <c r="Y275" s="493"/>
      <c r="Z275" s="493"/>
    </row>
    <row r="276" ht="18.75" customHeight="1">
      <c r="A276" s="493"/>
      <c r="B276" s="531"/>
      <c r="C276" s="531"/>
      <c r="D276" s="531"/>
      <c r="E276" s="531"/>
      <c r="F276" s="532"/>
      <c r="G276" s="532"/>
      <c r="H276" s="531"/>
      <c r="I276" s="533"/>
      <c r="J276" s="533"/>
      <c r="K276" s="496"/>
      <c r="L276" s="496"/>
      <c r="M276" s="496"/>
      <c r="N276" s="496"/>
      <c r="O276" s="493"/>
      <c r="P276" s="493"/>
      <c r="Q276" s="493"/>
      <c r="R276" s="496"/>
      <c r="S276" s="496"/>
      <c r="T276" s="496"/>
      <c r="U276" s="496"/>
      <c r="V276" s="496"/>
      <c r="W276" s="568"/>
      <c r="X276" s="493"/>
      <c r="Y276" s="493"/>
      <c r="Z276" s="493"/>
    </row>
    <row r="277" ht="18.75" customHeight="1">
      <c r="A277" s="493"/>
      <c r="B277" s="531"/>
      <c r="C277" s="531"/>
      <c r="D277" s="531"/>
      <c r="E277" s="531"/>
      <c r="F277" s="532"/>
      <c r="G277" s="532"/>
      <c r="H277" s="531"/>
      <c r="I277" s="533"/>
      <c r="J277" s="533"/>
      <c r="K277" s="496"/>
      <c r="L277" s="496"/>
      <c r="M277" s="496"/>
      <c r="N277" s="496"/>
      <c r="O277" s="493"/>
      <c r="P277" s="493"/>
      <c r="Q277" s="493"/>
      <c r="R277" s="496"/>
      <c r="S277" s="496"/>
      <c r="T277" s="496"/>
      <c r="U277" s="496"/>
      <c r="V277" s="496"/>
      <c r="W277" s="568"/>
      <c r="X277" s="493"/>
      <c r="Y277" s="493"/>
      <c r="Z277" s="493"/>
    </row>
    <row r="278" ht="18.75" customHeight="1">
      <c r="A278" s="383"/>
      <c r="B278" s="496"/>
      <c r="C278" s="496"/>
      <c r="D278" s="496"/>
      <c r="E278" s="496"/>
      <c r="F278" s="534"/>
      <c r="G278" s="534"/>
      <c r="H278" s="513"/>
      <c r="I278" s="513"/>
      <c r="J278" s="513"/>
      <c r="K278" s="495"/>
      <c r="L278" s="495"/>
      <c r="M278" s="495"/>
      <c r="N278" s="495"/>
      <c r="O278" s="495"/>
      <c r="P278" s="495"/>
      <c r="Q278" s="495"/>
      <c r="R278" s="383"/>
      <c r="S278" s="383"/>
      <c r="T278" s="383"/>
      <c r="U278" s="383"/>
      <c r="V278" s="383"/>
      <c r="W278" s="578"/>
      <c r="X278" s="383"/>
      <c r="Y278" s="383"/>
      <c r="Z278" s="383"/>
    </row>
    <row r="279" ht="18.75" customHeight="1">
      <c r="A279" s="383"/>
      <c r="B279" s="496"/>
      <c r="C279" s="496"/>
      <c r="D279" s="496"/>
      <c r="E279" s="496"/>
      <c r="F279" s="535"/>
      <c r="G279" s="535"/>
      <c r="H279" s="496"/>
      <c r="I279" s="383"/>
      <c r="J279" s="383"/>
      <c r="K279" s="383"/>
      <c r="L279" s="383"/>
      <c r="M279" s="383"/>
      <c r="N279" s="383"/>
      <c r="O279" s="383"/>
      <c r="P279" s="383"/>
      <c r="Q279" s="383"/>
      <c r="R279" s="383"/>
      <c r="S279" s="383"/>
      <c r="T279" s="383"/>
      <c r="U279" s="383"/>
      <c r="V279" s="383"/>
      <c r="W279" s="578"/>
      <c r="X279" s="383"/>
      <c r="Y279" s="383"/>
      <c r="Z279" s="383"/>
    </row>
    <row r="280" ht="18.75" customHeight="1">
      <c r="A280" s="383"/>
      <c r="B280" s="383"/>
      <c r="C280" s="383"/>
      <c r="D280" s="383"/>
      <c r="E280" s="383"/>
      <c r="F280" s="536"/>
      <c r="G280" s="536"/>
      <c r="H280" s="383"/>
      <c r="I280" s="383"/>
      <c r="J280" s="383"/>
      <c r="K280" s="383"/>
      <c r="L280" s="383"/>
      <c r="M280" s="383"/>
      <c r="N280" s="383"/>
      <c r="O280" s="383"/>
      <c r="P280" s="383"/>
      <c r="Q280" s="383"/>
      <c r="R280" s="383"/>
      <c r="S280" s="383"/>
      <c r="T280" s="383"/>
      <c r="U280" s="383"/>
      <c r="V280" s="383"/>
      <c r="W280" s="578"/>
      <c r="X280" s="383"/>
      <c r="Y280" s="383"/>
      <c r="Z280" s="383"/>
    </row>
    <row r="281" ht="18.75" customHeight="1">
      <c r="A281" s="383"/>
      <c r="B281" s="383"/>
      <c r="C281" s="383"/>
      <c r="D281" s="383"/>
      <c r="E281" s="383"/>
      <c r="F281" s="536"/>
      <c r="G281" s="536"/>
      <c r="H281" s="383"/>
      <c r="I281" s="383"/>
      <c r="J281" s="383"/>
      <c r="K281" s="383"/>
      <c r="L281" s="383"/>
      <c r="M281" s="383"/>
      <c r="N281" s="383"/>
      <c r="O281" s="383"/>
      <c r="P281" s="383"/>
      <c r="Q281" s="383"/>
      <c r="R281" s="383"/>
      <c r="S281" s="383"/>
      <c r="T281" s="383"/>
      <c r="U281" s="383"/>
      <c r="V281" s="383"/>
      <c r="W281" s="578"/>
      <c r="X281" s="383"/>
      <c r="Y281" s="383"/>
      <c r="Z281" s="383"/>
    </row>
    <row r="282" ht="18.75" customHeight="1">
      <c r="A282" s="383"/>
      <c r="B282" s="383"/>
      <c r="C282" s="383"/>
      <c r="D282" s="383"/>
      <c r="E282" s="383"/>
      <c r="F282" s="536"/>
      <c r="G282" s="536"/>
      <c r="H282" s="383"/>
      <c r="I282" s="383"/>
      <c r="J282" s="383"/>
      <c r="K282" s="383"/>
      <c r="L282" s="383"/>
      <c r="M282" s="383"/>
      <c r="N282" s="383"/>
      <c r="O282" s="383"/>
      <c r="P282" s="383"/>
      <c r="Q282" s="383"/>
      <c r="R282" s="383"/>
      <c r="S282" s="383"/>
      <c r="T282" s="383"/>
      <c r="U282" s="383"/>
      <c r="V282" s="383"/>
      <c r="W282" s="578"/>
      <c r="X282" s="383"/>
      <c r="Y282" s="383"/>
      <c r="Z282" s="383"/>
    </row>
    <row r="283" ht="18.75" customHeight="1">
      <c r="A283" s="139"/>
      <c r="B283" s="383"/>
      <c r="C283" s="383"/>
      <c r="D283" s="383"/>
      <c r="E283" s="383"/>
      <c r="F283" s="536"/>
      <c r="G283" s="536"/>
      <c r="H283" s="383"/>
      <c r="I283" s="383"/>
      <c r="J283" s="383"/>
      <c r="K283" s="383"/>
      <c r="L283" s="383"/>
      <c r="M283" s="383"/>
      <c r="N283" s="383"/>
      <c r="O283" s="383"/>
      <c r="P283" s="383"/>
      <c r="Q283" s="383"/>
      <c r="R283" s="383"/>
      <c r="S283" s="383"/>
      <c r="T283" s="383"/>
      <c r="U283" s="383"/>
      <c r="V283" s="383"/>
      <c r="W283" s="578"/>
      <c r="X283" s="383"/>
      <c r="Y283" s="383"/>
      <c r="Z283" s="383"/>
    </row>
    <row r="284" ht="18.75" customHeight="1">
      <c r="A284" s="383"/>
      <c r="B284" s="383"/>
      <c r="C284" s="383"/>
      <c r="D284" s="383"/>
      <c r="E284" s="383"/>
      <c r="F284" s="536"/>
      <c r="G284" s="536"/>
      <c r="H284" s="383"/>
      <c r="I284" s="383"/>
      <c r="J284" s="383"/>
      <c r="K284" s="383"/>
      <c r="L284" s="383"/>
      <c r="M284" s="383"/>
      <c r="N284" s="383"/>
      <c r="O284" s="383"/>
      <c r="P284" s="383"/>
      <c r="Q284" s="383"/>
      <c r="R284" s="383"/>
      <c r="S284" s="383"/>
      <c r="T284" s="383"/>
      <c r="U284" s="383"/>
      <c r="V284" s="383"/>
      <c r="W284" s="578"/>
      <c r="X284" s="383"/>
      <c r="Y284" s="383"/>
      <c r="Z284" s="383"/>
    </row>
    <row r="285" ht="18.75" customHeight="1">
      <c r="A285" s="383"/>
      <c r="B285" s="513"/>
      <c r="C285" s="537"/>
      <c r="D285" s="537"/>
      <c r="E285" s="537"/>
      <c r="F285" s="538"/>
      <c r="G285" s="538"/>
      <c r="H285" s="513"/>
      <c r="I285" s="513"/>
      <c r="J285" s="513"/>
      <c r="K285" s="383"/>
      <c r="L285" s="383"/>
      <c r="M285" s="383"/>
      <c r="N285" s="383"/>
      <c r="O285" s="383"/>
      <c r="P285" s="383"/>
      <c r="Q285" s="383"/>
      <c r="R285" s="383"/>
      <c r="S285" s="383"/>
      <c r="T285" s="383"/>
      <c r="U285" s="383"/>
      <c r="V285" s="383"/>
      <c r="W285" s="578"/>
      <c r="X285" s="383"/>
      <c r="Y285" s="383"/>
      <c r="Z285" s="383"/>
    </row>
    <row r="286" ht="18.75" customHeight="1">
      <c r="A286" s="539"/>
      <c r="B286" s="494"/>
      <c r="C286" s="494"/>
      <c r="D286" s="494"/>
      <c r="E286" s="494"/>
      <c r="F286" s="501"/>
      <c r="G286" s="501"/>
      <c r="H286" s="494"/>
      <c r="I286" s="507"/>
      <c r="J286" s="507"/>
      <c r="K286" s="383"/>
      <c r="L286" s="383"/>
      <c r="M286" s="383"/>
      <c r="N286" s="383"/>
      <c r="O286" s="540"/>
      <c r="P286" s="540"/>
      <c r="Q286" s="540"/>
      <c r="R286" s="383"/>
      <c r="S286" s="383"/>
      <c r="T286" s="383"/>
      <c r="U286" s="383"/>
      <c r="V286" s="383"/>
      <c r="W286" s="578"/>
      <c r="X286" s="383"/>
      <c r="Y286" s="383"/>
      <c r="Z286" s="383"/>
    </row>
    <row r="287" ht="18.75" customHeight="1">
      <c r="A287" s="539"/>
      <c r="B287" s="494"/>
      <c r="C287" s="494"/>
      <c r="D287" s="494"/>
      <c r="E287" s="494"/>
      <c r="F287" s="501"/>
      <c r="G287" s="501"/>
      <c r="H287" s="494"/>
      <c r="I287" s="507"/>
      <c r="J287" s="507"/>
      <c r="K287" s="383"/>
      <c r="L287" s="383"/>
      <c r="M287" s="383"/>
      <c r="N287" s="383"/>
      <c r="O287" s="540"/>
      <c r="P287" s="540"/>
      <c r="Q287" s="540"/>
      <c r="R287" s="383"/>
      <c r="S287" s="383"/>
      <c r="T287" s="383"/>
      <c r="U287" s="383"/>
      <c r="V287" s="383"/>
      <c r="W287" s="578"/>
      <c r="X287" s="531"/>
      <c r="Y287" s="531"/>
      <c r="Z287" s="383"/>
    </row>
    <row r="288" ht="18.75" customHeight="1">
      <c r="A288" s="539"/>
      <c r="B288" s="494"/>
      <c r="C288" s="494"/>
      <c r="D288" s="494"/>
      <c r="E288" s="494"/>
      <c r="F288" s="501"/>
      <c r="G288" s="501"/>
      <c r="H288" s="494"/>
      <c r="I288" s="507"/>
      <c r="J288" s="507"/>
      <c r="K288" s="383"/>
      <c r="L288" s="383"/>
      <c r="M288" s="383"/>
      <c r="N288" s="383"/>
      <c r="O288" s="540"/>
      <c r="P288" s="540"/>
      <c r="Q288" s="540"/>
      <c r="R288" s="383"/>
      <c r="S288" s="383"/>
      <c r="T288" s="383"/>
      <c r="U288" s="383"/>
      <c r="V288" s="383"/>
      <c r="W288" s="578"/>
      <c r="X288" s="531"/>
      <c r="Y288" s="531"/>
      <c r="Z288" s="383"/>
    </row>
    <row r="289" ht="18.75" customHeight="1">
      <c r="A289" s="539"/>
      <c r="B289" s="494"/>
      <c r="C289" s="494"/>
      <c r="D289" s="494"/>
      <c r="E289" s="494"/>
      <c r="F289" s="501"/>
      <c r="G289" s="501"/>
      <c r="H289" s="494"/>
      <c r="I289" s="507"/>
      <c r="J289" s="507"/>
      <c r="K289" s="383"/>
      <c r="L289" s="383"/>
      <c r="M289" s="383"/>
      <c r="N289" s="383"/>
      <c r="O289" s="540"/>
      <c r="P289" s="540"/>
      <c r="Q289" s="540"/>
      <c r="R289" s="383"/>
      <c r="S289" s="383"/>
      <c r="T289" s="383"/>
      <c r="U289" s="383"/>
      <c r="V289" s="383"/>
      <c r="W289" s="578"/>
      <c r="X289" s="531"/>
      <c r="Y289" s="531"/>
      <c r="Z289" s="383"/>
    </row>
    <row r="290" ht="18.75" customHeight="1">
      <c r="A290" s="539"/>
      <c r="B290" s="494"/>
      <c r="C290" s="494"/>
      <c r="D290" s="494"/>
      <c r="E290" s="494"/>
      <c r="F290" s="501"/>
      <c r="G290" s="501"/>
      <c r="H290" s="494"/>
      <c r="I290" s="507"/>
      <c r="J290" s="507"/>
      <c r="K290" s="383"/>
      <c r="L290" s="383"/>
      <c r="M290" s="383"/>
      <c r="N290" s="383"/>
      <c r="O290" s="540"/>
      <c r="P290" s="540"/>
      <c r="Q290" s="540"/>
      <c r="R290" s="383"/>
      <c r="S290" s="383"/>
      <c r="T290" s="383"/>
      <c r="U290" s="383"/>
      <c r="V290" s="383"/>
      <c r="W290" s="578"/>
      <c r="X290" s="383"/>
      <c r="Y290" s="383"/>
      <c r="Z290" s="383"/>
    </row>
    <row r="291" ht="18.75" customHeight="1">
      <c r="A291" s="539"/>
      <c r="B291" s="494"/>
      <c r="C291" s="494"/>
      <c r="D291" s="494"/>
      <c r="E291" s="494"/>
      <c r="F291" s="501"/>
      <c r="G291" s="501"/>
      <c r="H291" s="494"/>
      <c r="I291" s="507"/>
      <c r="J291" s="507"/>
      <c r="K291" s="383"/>
      <c r="L291" s="383"/>
      <c r="M291" s="383"/>
      <c r="N291" s="383"/>
      <c r="O291" s="540"/>
      <c r="P291" s="540"/>
      <c r="Q291" s="540"/>
      <c r="R291" s="383"/>
      <c r="S291" s="383"/>
      <c r="T291" s="383"/>
      <c r="U291" s="383"/>
      <c r="V291" s="383"/>
      <c r="W291" s="578"/>
      <c r="X291" s="383"/>
      <c r="Y291" s="383"/>
      <c r="Z291" s="383"/>
    </row>
    <row r="292" ht="18.75" customHeight="1">
      <c r="A292" s="539"/>
      <c r="B292" s="494"/>
      <c r="C292" s="494"/>
      <c r="D292" s="494"/>
      <c r="E292" s="494"/>
      <c r="F292" s="501"/>
      <c r="G292" s="501"/>
      <c r="H292" s="494"/>
      <c r="I292" s="507"/>
      <c r="J292" s="507"/>
      <c r="K292" s="383"/>
      <c r="L292" s="383"/>
      <c r="M292" s="383"/>
      <c r="N292" s="383"/>
      <c r="O292" s="540"/>
      <c r="P292" s="540"/>
      <c r="Q292" s="540"/>
      <c r="R292" s="383"/>
      <c r="S292" s="383"/>
      <c r="T292" s="383"/>
      <c r="U292" s="383"/>
      <c r="V292" s="383"/>
      <c r="W292" s="578"/>
      <c r="X292" s="383"/>
      <c r="Y292" s="383"/>
      <c r="Z292" s="383"/>
    </row>
    <row r="293" ht="18.75" customHeight="1">
      <c r="A293" s="539"/>
      <c r="B293" s="494"/>
      <c r="C293" s="494"/>
      <c r="D293" s="494"/>
      <c r="E293" s="494"/>
      <c r="F293" s="501"/>
      <c r="G293" s="501"/>
      <c r="H293" s="494"/>
      <c r="I293" s="507"/>
      <c r="J293" s="507"/>
      <c r="K293" s="383"/>
      <c r="L293" s="383"/>
      <c r="M293" s="383"/>
      <c r="N293" s="383"/>
      <c r="O293" s="540"/>
      <c r="P293" s="540"/>
      <c r="Q293" s="540"/>
      <c r="R293" s="383"/>
      <c r="S293" s="383"/>
      <c r="T293" s="383"/>
      <c r="U293" s="383"/>
      <c r="V293" s="383"/>
      <c r="W293" s="578"/>
      <c r="X293" s="383"/>
      <c r="Y293" s="383"/>
      <c r="Z293" s="383"/>
    </row>
    <row r="294" ht="18.75" customHeight="1">
      <c r="A294" s="539"/>
      <c r="B294" s="494"/>
      <c r="C294" s="494"/>
      <c r="D294" s="494"/>
      <c r="E294" s="494"/>
      <c r="F294" s="501"/>
      <c r="G294" s="501"/>
      <c r="H294" s="494"/>
      <c r="I294" s="507"/>
      <c r="J294" s="507"/>
      <c r="K294" s="383"/>
      <c r="L294" s="383"/>
      <c r="M294" s="383"/>
      <c r="N294" s="383"/>
      <c r="O294" s="540"/>
      <c r="P294" s="540"/>
      <c r="Q294" s="540"/>
      <c r="R294" s="383"/>
      <c r="S294" s="383"/>
      <c r="T294" s="383"/>
      <c r="U294" s="383"/>
      <c r="V294" s="383"/>
      <c r="W294" s="578"/>
      <c r="X294" s="383"/>
      <c r="Y294" s="383"/>
      <c r="Z294" s="383"/>
    </row>
    <row r="295" ht="18.75" customHeight="1">
      <c r="A295" s="539"/>
      <c r="B295" s="494"/>
      <c r="C295" s="494"/>
      <c r="D295" s="494"/>
      <c r="E295" s="494"/>
      <c r="F295" s="501"/>
      <c r="G295" s="501"/>
      <c r="H295" s="494"/>
      <c r="I295" s="507"/>
      <c r="J295" s="507"/>
      <c r="K295" s="383"/>
      <c r="L295" s="383"/>
      <c r="M295" s="383"/>
      <c r="N295" s="383"/>
      <c r="O295" s="383"/>
      <c r="P295" s="383"/>
      <c r="Q295" s="383"/>
      <c r="R295" s="383"/>
      <c r="S295" s="383"/>
      <c r="T295" s="383"/>
      <c r="U295" s="383"/>
      <c r="V295" s="383"/>
      <c r="W295" s="579"/>
      <c r="X295" s="383"/>
      <c r="Y295" s="383"/>
      <c r="Z295" s="383"/>
    </row>
    <row r="296" ht="18.75" customHeight="1">
      <c r="A296" s="539"/>
      <c r="B296" s="383"/>
      <c r="C296" s="383"/>
      <c r="D296" s="383"/>
      <c r="E296" s="383"/>
      <c r="F296" s="538"/>
      <c r="G296" s="538"/>
      <c r="H296" s="383"/>
      <c r="I296" s="542"/>
      <c r="J296" s="542"/>
      <c r="K296" s="383"/>
      <c r="L296" s="383"/>
      <c r="M296" s="383"/>
      <c r="N296" s="383"/>
      <c r="O296" s="383"/>
      <c r="P296" s="383"/>
      <c r="Q296" s="383"/>
      <c r="R296" s="383"/>
      <c r="S296" s="383"/>
      <c r="T296" s="383"/>
      <c r="U296" s="383"/>
      <c r="V296" s="383"/>
      <c r="W296" s="579"/>
      <c r="X296" s="383"/>
      <c r="Y296" s="383"/>
      <c r="Z296" s="383"/>
    </row>
    <row r="297" ht="18.75" customHeight="1">
      <c r="A297" s="383"/>
      <c r="B297" s="383"/>
      <c r="C297" s="383"/>
      <c r="D297" s="383"/>
      <c r="E297" s="383"/>
      <c r="F297" s="536"/>
      <c r="G297" s="536"/>
      <c r="H297" s="383"/>
      <c r="I297" s="383"/>
      <c r="J297" s="383"/>
      <c r="K297" s="383"/>
      <c r="L297" s="383"/>
      <c r="M297" s="383"/>
      <c r="N297" s="383"/>
      <c r="O297" s="383"/>
      <c r="P297" s="383"/>
      <c r="Q297" s="383"/>
      <c r="R297" s="383"/>
      <c r="S297" s="383"/>
      <c r="T297" s="383"/>
      <c r="U297" s="383"/>
      <c r="V297" s="383"/>
      <c r="W297" s="579"/>
      <c r="X297" s="383"/>
      <c r="Y297" s="383"/>
      <c r="Z297" s="383"/>
    </row>
    <row r="298" ht="18.75" customHeight="1">
      <c r="A298" s="383"/>
      <c r="B298" s="383"/>
      <c r="C298" s="383"/>
      <c r="D298" s="383"/>
      <c r="E298" s="383"/>
      <c r="F298" s="536"/>
      <c r="G298" s="536"/>
      <c r="H298" s="383"/>
      <c r="I298" s="383"/>
      <c r="J298" s="383"/>
      <c r="K298" s="383"/>
      <c r="L298" s="383"/>
      <c r="M298" s="383"/>
      <c r="N298" s="383"/>
      <c r="O298" s="383"/>
      <c r="P298" s="383"/>
      <c r="Q298" s="383"/>
      <c r="R298" s="383"/>
      <c r="S298" s="383"/>
      <c r="T298" s="383"/>
      <c r="U298" s="383"/>
      <c r="V298" s="383"/>
      <c r="W298" s="579"/>
      <c r="X298" s="383"/>
      <c r="Y298" s="383"/>
      <c r="Z298" s="383"/>
    </row>
    <row r="299" ht="18.75" customHeight="1">
      <c r="A299" s="383"/>
      <c r="B299" s="383"/>
      <c r="C299" s="383"/>
      <c r="D299" s="383"/>
      <c r="E299" s="383"/>
      <c r="F299" s="536"/>
      <c r="G299" s="536"/>
      <c r="H299" s="383"/>
      <c r="I299" s="383"/>
      <c r="J299" s="383"/>
      <c r="K299" s="383"/>
      <c r="L299" s="383"/>
      <c r="M299" s="383"/>
      <c r="N299" s="383"/>
      <c r="O299" s="383"/>
      <c r="P299" s="383"/>
      <c r="Q299" s="383"/>
      <c r="R299" s="383"/>
      <c r="S299" s="383"/>
      <c r="T299" s="383"/>
      <c r="U299" s="383"/>
      <c r="V299" s="383"/>
      <c r="W299" s="579"/>
      <c r="X299" s="383"/>
      <c r="Y299" s="383"/>
      <c r="Z299" s="383"/>
    </row>
    <row r="300" ht="18.75" customHeight="1">
      <c r="A300" s="139"/>
      <c r="B300" s="383"/>
      <c r="C300" s="383"/>
      <c r="D300" s="383"/>
      <c r="E300" s="383"/>
      <c r="F300" s="536"/>
      <c r="G300" s="536"/>
      <c r="H300" s="383"/>
      <c r="I300" s="383"/>
      <c r="J300" s="383"/>
      <c r="K300" s="383"/>
      <c r="L300" s="383"/>
      <c r="M300" s="383"/>
      <c r="N300" s="383"/>
      <c r="O300" s="383"/>
      <c r="P300" s="383"/>
      <c r="Q300" s="383"/>
      <c r="R300" s="383"/>
      <c r="S300" s="383"/>
      <c r="T300" s="383"/>
      <c r="U300" s="383"/>
      <c r="V300" s="383"/>
      <c r="W300" s="579"/>
      <c r="X300" s="383"/>
      <c r="Y300" s="383"/>
      <c r="Z300" s="383"/>
    </row>
    <row r="301" ht="18.75" customHeight="1">
      <c r="A301" s="383"/>
      <c r="B301" s="383"/>
      <c r="C301" s="383"/>
      <c r="D301" s="383"/>
      <c r="E301" s="383"/>
      <c r="F301" s="536"/>
      <c r="G301" s="536"/>
      <c r="H301" s="383"/>
      <c r="I301" s="383"/>
      <c r="J301" s="383"/>
      <c r="K301" s="383"/>
      <c r="L301" s="383"/>
      <c r="M301" s="383"/>
      <c r="N301" s="383"/>
      <c r="O301" s="383"/>
      <c r="P301" s="383"/>
      <c r="Q301" s="383"/>
      <c r="R301" s="383"/>
      <c r="S301" s="383"/>
      <c r="T301" s="383"/>
      <c r="U301" s="383"/>
      <c r="V301" s="383"/>
      <c r="W301" s="579"/>
      <c r="X301" s="383"/>
      <c r="Y301" s="383"/>
      <c r="Z301" s="383"/>
    </row>
    <row r="302" ht="18.75" customHeight="1">
      <c r="A302" s="383"/>
      <c r="B302" s="513"/>
      <c r="C302" s="537"/>
      <c r="D302" s="537"/>
      <c r="E302" s="537"/>
      <c r="F302" s="538"/>
      <c r="G302" s="538"/>
      <c r="H302" s="513"/>
      <c r="I302" s="513"/>
      <c r="J302" s="513"/>
      <c r="K302" s="383"/>
      <c r="L302" s="383"/>
      <c r="M302" s="383"/>
      <c r="N302" s="383"/>
      <c r="O302" s="383"/>
      <c r="P302" s="383"/>
      <c r="Q302" s="383"/>
      <c r="R302" s="383"/>
      <c r="S302" s="383"/>
      <c r="T302" s="383"/>
      <c r="U302" s="383"/>
      <c r="V302" s="383"/>
      <c r="W302" s="579"/>
      <c r="X302" s="383"/>
      <c r="Y302" s="383"/>
      <c r="Z302" s="383"/>
    </row>
    <row r="303" ht="18.75" customHeight="1">
      <c r="A303" s="539"/>
      <c r="B303" s="543"/>
      <c r="C303" s="542"/>
      <c r="D303" s="542"/>
      <c r="E303" s="542"/>
      <c r="F303" s="544"/>
      <c r="G303" s="544"/>
      <c r="H303" s="542"/>
      <c r="I303" s="542"/>
      <c r="J303" s="542"/>
      <c r="K303" s="383"/>
      <c r="L303" s="383"/>
      <c r="M303" s="383"/>
      <c r="N303" s="383"/>
      <c r="O303" s="383"/>
      <c r="P303" s="383"/>
      <c r="Q303" s="383"/>
      <c r="R303" s="383"/>
      <c r="S303" s="383"/>
      <c r="T303" s="383"/>
      <c r="U303" s="383"/>
      <c r="V303" s="383"/>
      <c r="W303" s="579"/>
      <c r="X303" s="383"/>
      <c r="Y303" s="383"/>
      <c r="Z303" s="383"/>
    </row>
    <row r="304" ht="18.75" customHeight="1">
      <c r="A304" s="539"/>
      <c r="B304" s="543"/>
      <c r="C304" s="542"/>
      <c r="D304" s="542"/>
      <c r="E304" s="542"/>
      <c r="F304" s="544"/>
      <c r="G304" s="544"/>
      <c r="H304" s="542"/>
      <c r="I304" s="542"/>
      <c r="J304" s="542"/>
      <c r="K304" s="383"/>
      <c r="L304" s="383"/>
      <c r="M304" s="383"/>
      <c r="N304" s="383"/>
      <c r="O304" s="383"/>
      <c r="P304" s="383"/>
      <c r="Q304" s="383"/>
      <c r="R304" s="383"/>
      <c r="S304" s="383"/>
      <c r="T304" s="383"/>
      <c r="U304" s="383"/>
      <c r="V304" s="383"/>
      <c r="W304" s="579"/>
      <c r="X304" s="383"/>
      <c r="Y304" s="383"/>
      <c r="Z304" s="383"/>
    </row>
    <row r="305" ht="18.75" customHeight="1">
      <c r="A305" s="539"/>
      <c r="B305" s="543"/>
      <c r="C305" s="542"/>
      <c r="D305" s="542"/>
      <c r="E305" s="542"/>
      <c r="F305" s="544"/>
      <c r="G305" s="544"/>
      <c r="H305" s="542"/>
      <c r="I305" s="542"/>
      <c r="J305" s="542"/>
      <c r="K305" s="383"/>
      <c r="L305" s="383"/>
      <c r="M305" s="383"/>
      <c r="N305" s="383"/>
      <c r="O305" s="383"/>
      <c r="P305" s="383"/>
      <c r="Q305" s="383"/>
      <c r="R305" s="383"/>
      <c r="S305" s="383"/>
      <c r="T305" s="383"/>
      <c r="U305" s="383"/>
      <c r="V305" s="383"/>
      <c r="W305" s="579"/>
      <c r="X305" s="383"/>
      <c r="Y305" s="383"/>
      <c r="Z305" s="383"/>
    </row>
    <row r="306" ht="18.75" customHeight="1">
      <c r="A306" s="539"/>
      <c r="B306" s="543"/>
      <c r="C306" s="542"/>
      <c r="D306" s="542"/>
      <c r="E306" s="542"/>
      <c r="F306" s="545"/>
      <c r="G306" s="545"/>
      <c r="H306" s="542"/>
      <c r="I306" s="542"/>
      <c r="J306" s="542"/>
      <c r="K306" s="383"/>
      <c r="L306" s="383"/>
      <c r="M306" s="383"/>
      <c r="N306" s="383"/>
      <c r="O306" s="383"/>
      <c r="P306" s="383"/>
      <c r="Q306" s="383"/>
      <c r="R306" s="383"/>
      <c r="S306" s="383"/>
      <c r="T306" s="383"/>
      <c r="U306" s="383"/>
      <c r="V306" s="383"/>
      <c r="W306" s="580"/>
      <c r="X306" s="383"/>
      <c r="Y306" s="383"/>
      <c r="Z306" s="383"/>
    </row>
    <row r="307" ht="18.75" customHeight="1">
      <c r="A307" s="539"/>
      <c r="B307" s="543"/>
      <c r="C307" s="542"/>
      <c r="D307" s="542"/>
      <c r="E307" s="542"/>
      <c r="F307" s="545"/>
      <c r="G307" s="545"/>
      <c r="H307" s="542"/>
      <c r="I307" s="542"/>
      <c r="J307" s="542"/>
      <c r="K307" s="383"/>
      <c r="L307" s="383"/>
      <c r="M307" s="383"/>
      <c r="N307" s="383"/>
      <c r="O307" s="383"/>
      <c r="P307" s="383"/>
      <c r="Q307" s="383"/>
      <c r="R307" s="383"/>
      <c r="S307" s="383"/>
      <c r="T307" s="383"/>
      <c r="U307" s="383"/>
      <c r="V307" s="383"/>
      <c r="W307" s="579"/>
      <c r="X307" s="383"/>
      <c r="Y307" s="383"/>
      <c r="Z307" s="383"/>
    </row>
    <row r="308" ht="18.75" customHeight="1">
      <c r="A308" s="539"/>
      <c r="B308" s="543"/>
      <c r="C308" s="546"/>
      <c r="D308" s="542"/>
      <c r="E308" s="542"/>
      <c r="F308" s="545"/>
      <c r="G308" s="545"/>
      <c r="H308" s="542"/>
      <c r="I308" s="542"/>
      <c r="J308" s="542"/>
      <c r="K308" s="383"/>
      <c r="L308" s="383"/>
      <c r="M308" s="383"/>
      <c r="N308" s="383"/>
      <c r="O308" s="383"/>
      <c r="P308" s="383"/>
      <c r="Q308" s="383"/>
      <c r="R308" s="383"/>
      <c r="S308" s="383"/>
      <c r="T308" s="383"/>
      <c r="U308" s="383"/>
      <c r="V308" s="383"/>
      <c r="W308" s="579"/>
      <c r="X308" s="383"/>
      <c r="Y308" s="383"/>
      <c r="Z308" s="383"/>
    </row>
    <row r="309" ht="18.75" customHeight="1">
      <c r="A309" s="383"/>
      <c r="B309" s="383"/>
      <c r="C309" s="383"/>
      <c r="D309" s="383"/>
      <c r="E309" s="383"/>
      <c r="F309" s="538"/>
      <c r="G309" s="538"/>
      <c r="H309" s="383"/>
      <c r="I309" s="542"/>
      <c r="J309" s="542"/>
      <c r="K309" s="383"/>
      <c r="L309" s="383"/>
      <c r="M309" s="383"/>
      <c r="N309" s="383"/>
      <c r="O309" s="383"/>
      <c r="P309" s="383"/>
      <c r="Q309" s="383"/>
      <c r="R309" s="383"/>
      <c r="S309" s="383"/>
      <c r="T309" s="383"/>
      <c r="U309" s="383"/>
      <c r="V309" s="383"/>
      <c r="W309" s="579"/>
      <c r="X309" s="383"/>
      <c r="Y309" s="383"/>
      <c r="Z309" s="383"/>
    </row>
    <row r="310" ht="18.75" customHeight="1">
      <c r="A310" s="383"/>
      <c r="B310" s="383"/>
      <c r="C310" s="383"/>
      <c r="D310" s="383"/>
      <c r="E310" s="383"/>
      <c r="F310" s="536"/>
      <c r="G310" s="536"/>
      <c r="H310" s="383"/>
      <c r="I310" s="383"/>
      <c r="J310" s="383"/>
      <c r="K310" s="383"/>
      <c r="L310" s="383"/>
      <c r="M310" s="383"/>
      <c r="N310" s="383"/>
      <c r="O310" s="383"/>
      <c r="P310" s="383"/>
      <c r="Q310" s="383"/>
      <c r="R310" s="383"/>
      <c r="S310" s="383"/>
      <c r="T310" s="383"/>
      <c r="U310" s="383"/>
      <c r="V310" s="383"/>
      <c r="W310" s="579"/>
      <c r="X310" s="383"/>
      <c r="Y310" s="383"/>
      <c r="Z310" s="383"/>
    </row>
    <row r="311" ht="18.75" customHeight="1">
      <c r="A311" s="383"/>
      <c r="B311" s="383"/>
      <c r="C311" s="383"/>
      <c r="D311" s="383"/>
      <c r="E311" s="383"/>
      <c r="F311" s="536"/>
      <c r="G311" s="536"/>
      <c r="H311" s="383"/>
      <c r="I311" s="383"/>
      <c r="J311" s="383"/>
      <c r="K311" s="383"/>
      <c r="L311" s="383"/>
      <c r="M311" s="383"/>
      <c r="N311" s="383"/>
      <c r="O311" s="383"/>
      <c r="P311" s="383"/>
      <c r="Q311" s="383"/>
      <c r="R311" s="383"/>
      <c r="S311" s="383"/>
      <c r="T311" s="383"/>
      <c r="U311" s="383"/>
      <c r="V311" s="383"/>
      <c r="W311" s="579"/>
      <c r="X311" s="383"/>
      <c r="Y311" s="383"/>
      <c r="Z311" s="383"/>
    </row>
    <row r="312" ht="18.75" customHeight="1">
      <c r="A312" s="383"/>
      <c r="B312" s="383"/>
      <c r="C312" s="383"/>
      <c r="D312" s="383"/>
      <c r="E312" s="383"/>
      <c r="F312" s="536"/>
      <c r="G312" s="536"/>
      <c r="H312" s="383"/>
      <c r="I312" s="383"/>
      <c r="J312" s="383"/>
      <c r="K312" s="383"/>
      <c r="L312" s="383"/>
      <c r="M312" s="383"/>
      <c r="N312" s="383"/>
      <c r="O312" s="383"/>
      <c r="P312" s="383"/>
      <c r="Q312" s="383"/>
      <c r="R312" s="383"/>
      <c r="S312" s="383"/>
      <c r="T312" s="383"/>
      <c r="U312" s="383"/>
      <c r="V312" s="383"/>
      <c r="W312" s="579"/>
      <c r="X312" s="383"/>
      <c r="Y312" s="383"/>
      <c r="Z312" s="383"/>
    </row>
    <row r="313" ht="18.75" customHeight="1">
      <c r="A313" s="547"/>
      <c r="B313" s="383"/>
      <c r="C313" s="383"/>
      <c r="D313" s="383"/>
      <c r="E313" s="383"/>
      <c r="F313" s="536"/>
      <c r="G313" s="536"/>
      <c r="H313" s="383"/>
      <c r="I313" s="383"/>
      <c r="J313" s="383"/>
      <c r="K313" s="383"/>
      <c r="L313" s="383"/>
      <c r="M313" s="383"/>
      <c r="N313" s="383"/>
      <c r="O313" s="383"/>
      <c r="P313" s="383"/>
      <c r="Q313" s="383"/>
      <c r="R313" s="383"/>
      <c r="S313" s="383"/>
      <c r="T313" s="383"/>
      <c r="U313" s="383"/>
      <c r="V313" s="383"/>
      <c r="W313" s="579"/>
      <c r="X313" s="383"/>
      <c r="Y313" s="383"/>
      <c r="Z313" s="383"/>
    </row>
    <row r="314" ht="18.75" customHeight="1">
      <c r="A314" s="548"/>
      <c r="B314" s="494"/>
      <c r="C314" s="494"/>
      <c r="D314" s="494"/>
      <c r="E314" s="494"/>
      <c r="F314" s="549"/>
      <c r="G314" s="549"/>
      <c r="H314" s="494"/>
      <c r="I314" s="548"/>
      <c r="J314" s="548"/>
      <c r="K314" s="548"/>
      <c r="L314" s="548"/>
      <c r="M314" s="548"/>
      <c r="N314" s="548"/>
      <c r="O314" s="548"/>
      <c r="P314" s="548"/>
      <c r="Q314" s="548"/>
      <c r="R314" s="548"/>
      <c r="S314" s="548"/>
      <c r="T314" s="548"/>
      <c r="U314" s="548"/>
      <c r="V314" s="548"/>
      <c r="W314" s="579"/>
      <c r="X314" s="548"/>
      <c r="Y314" s="548"/>
      <c r="Z314" s="548"/>
    </row>
    <row r="315" ht="18.75" customHeight="1">
      <c r="A315" s="513"/>
      <c r="B315" s="513"/>
      <c r="C315" s="513"/>
      <c r="D315" s="513"/>
      <c r="E315" s="513"/>
      <c r="F315" s="550"/>
      <c r="G315" s="550"/>
      <c r="H315" s="513"/>
      <c r="I315" s="383"/>
      <c r="J315" s="383"/>
      <c r="K315" s="383"/>
      <c r="L315" s="383"/>
      <c r="M315" s="383"/>
      <c r="N315" s="383"/>
      <c r="O315" s="383"/>
      <c r="P315" s="383"/>
      <c r="Q315" s="383"/>
      <c r="R315" s="383"/>
      <c r="S315" s="383"/>
      <c r="T315" s="383"/>
      <c r="U315" s="383"/>
      <c r="V315" s="383"/>
      <c r="W315" s="579"/>
      <c r="X315" s="383"/>
      <c r="Y315" s="383"/>
      <c r="Z315" s="383"/>
    </row>
    <row r="316" ht="18.75" customHeight="1">
      <c r="A316" s="513"/>
      <c r="B316" s="513"/>
      <c r="C316" s="551"/>
      <c r="D316" s="552"/>
      <c r="E316" s="552"/>
      <c r="F316" s="553"/>
      <c r="G316" s="553"/>
      <c r="H316" s="552"/>
      <c r="I316" s="383"/>
      <c r="J316" s="383"/>
      <c r="K316" s="383"/>
      <c r="L316" s="383"/>
      <c r="M316" s="383"/>
      <c r="N316" s="383"/>
      <c r="O316" s="383"/>
      <c r="P316" s="383"/>
      <c r="Q316" s="383"/>
      <c r="R316" s="383"/>
      <c r="S316" s="383"/>
      <c r="T316" s="383"/>
      <c r="U316" s="383"/>
      <c r="V316" s="383"/>
      <c r="W316" s="579"/>
      <c r="X316" s="383"/>
      <c r="Y316" s="383"/>
      <c r="Z316" s="383"/>
    </row>
    <row r="317" ht="18.75" customHeight="1">
      <c r="A317" s="513"/>
      <c r="B317" s="539"/>
      <c r="C317" s="554"/>
      <c r="D317" s="554"/>
      <c r="E317" s="554"/>
      <c r="F317" s="555"/>
      <c r="G317" s="555"/>
      <c r="H317" s="554"/>
      <c r="I317" s="383"/>
      <c r="J317" s="383"/>
      <c r="K317" s="383"/>
      <c r="L317" s="383"/>
      <c r="M317" s="383"/>
      <c r="N317" s="383"/>
      <c r="O317" s="383"/>
      <c r="P317" s="383"/>
      <c r="Q317" s="383"/>
      <c r="R317" s="383"/>
      <c r="S317" s="383"/>
      <c r="T317" s="383"/>
      <c r="U317" s="383"/>
      <c r="V317" s="383"/>
      <c r="W317" s="579"/>
      <c r="X317" s="383"/>
      <c r="Y317" s="383"/>
      <c r="Z317" s="383"/>
    </row>
    <row r="318" ht="18.75" customHeight="1">
      <c r="A318" s="383"/>
      <c r="B318" s="383"/>
      <c r="C318" s="383"/>
      <c r="D318" s="495" t="s">
        <v>50</v>
      </c>
      <c r="E318" s="495" t="s">
        <v>48</v>
      </c>
      <c r="F318" s="550">
        <f>+D315+E315+F315+H315</f>
        <v>0</v>
      </c>
      <c r="G318" s="538"/>
      <c r="H318" s="383"/>
      <c r="I318" s="383"/>
      <c r="J318" s="383"/>
      <c r="K318" s="383"/>
      <c r="L318" s="383"/>
      <c r="M318" s="383"/>
      <c r="N318" s="383"/>
      <c r="O318" s="383"/>
      <c r="P318" s="383"/>
      <c r="Q318" s="383"/>
      <c r="R318" s="383"/>
      <c r="S318" s="383"/>
      <c r="T318" s="383"/>
      <c r="U318" s="383"/>
      <c r="V318" s="383"/>
      <c r="W318" s="581"/>
      <c r="X318" s="383"/>
      <c r="Y318" s="383"/>
      <c r="Z318" s="383"/>
    </row>
    <row r="319" ht="18.75" customHeight="1">
      <c r="A319" s="383"/>
      <c r="B319" s="383"/>
      <c r="C319" s="383"/>
      <c r="D319" s="546"/>
      <c r="E319" s="495" t="s">
        <v>49</v>
      </c>
      <c r="F319" s="553" t="str">
        <f>+F318/B315</f>
        <v>#DIV/0!</v>
      </c>
      <c r="G319" s="553"/>
      <c r="H319" s="383"/>
      <c r="I319" s="383"/>
      <c r="J319" s="383"/>
      <c r="K319" s="383"/>
      <c r="L319" s="383"/>
      <c r="M319" s="383"/>
      <c r="N319" s="383"/>
      <c r="O319" s="383"/>
      <c r="P319" s="383"/>
      <c r="Q319" s="383"/>
      <c r="R319" s="383"/>
      <c r="S319" s="383"/>
      <c r="T319" s="383"/>
      <c r="U319" s="383"/>
      <c r="V319" s="383"/>
      <c r="W319" s="581"/>
      <c r="X319" s="383"/>
      <c r="Y319" s="383"/>
      <c r="Z319" s="383"/>
    </row>
    <row r="320" ht="18.75" customHeight="1">
      <c r="A320" s="548"/>
      <c r="B320" s="548"/>
      <c r="C320" s="495" t="s">
        <v>51</v>
      </c>
      <c r="D320" s="548"/>
      <c r="E320" s="548"/>
      <c r="F320" s="556"/>
      <c r="G320" s="556"/>
      <c r="H320" s="548"/>
      <c r="I320" s="383"/>
      <c r="J320" s="383"/>
      <c r="K320" s="383"/>
      <c r="L320" s="383"/>
      <c r="M320" s="383"/>
      <c r="N320" s="383"/>
      <c r="O320" s="383"/>
      <c r="P320" s="383"/>
      <c r="Q320" s="383"/>
      <c r="R320" s="383"/>
      <c r="S320" s="383"/>
      <c r="T320" s="383"/>
      <c r="U320" s="383"/>
      <c r="V320" s="383"/>
      <c r="W320" s="580"/>
      <c r="X320" s="383"/>
      <c r="Y320" s="383"/>
      <c r="Z320" s="383"/>
    </row>
    <row r="321" ht="18.75" customHeight="1">
      <c r="A321" s="548"/>
      <c r="B321" s="548"/>
      <c r="C321" s="548"/>
      <c r="D321" s="495" t="s">
        <v>52</v>
      </c>
      <c r="E321" s="548"/>
      <c r="F321" s="556">
        <f>+F320*(F318-F315)</f>
        <v>0</v>
      </c>
      <c r="G321" s="556"/>
      <c r="H321" s="548"/>
      <c r="I321" s="383"/>
      <c r="J321" s="383"/>
      <c r="K321" s="383"/>
      <c r="L321" s="383"/>
      <c r="M321" s="383"/>
      <c r="N321" s="383"/>
      <c r="O321" s="383"/>
      <c r="P321" s="383"/>
      <c r="Q321" s="383"/>
      <c r="R321" s="383"/>
      <c r="S321" s="383"/>
      <c r="T321" s="383"/>
      <c r="U321" s="383"/>
      <c r="V321" s="383"/>
      <c r="W321" s="578"/>
      <c r="X321" s="383"/>
      <c r="Y321" s="383"/>
      <c r="Z321" s="383"/>
    </row>
    <row r="322" ht="18.75" customHeight="1">
      <c r="A322" s="383"/>
      <c r="B322" s="383"/>
      <c r="C322" s="383"/>
      <c r="D322" s="383"/>
      <c r="E322" s="383"/>
      <c r="F322" s="536"/>
      <c r="G322" s="536"/>
      <c r="H322" s="383"/>
      <c r="I322" s="383"/>
      <c r="J322" s="383"/>
      <c r="K322" s="383"/>
      <c r="L322" s="383"/>
      <c r="M322" s="383"/>
      <c r="N322" s="383"/>
      <c r="O322" s="383"/>
      <c r="P322" s="383"/>
      <c r="Q322" s="383"/>
      <c r="R322" s="383"/>
      <c r="S322" s="383"/>
      <c r="T322" s="383"/>
      <c r="U322" s="383"/>
      <c r="V322" s="383"/>
      <c r="W322" s="578"/>
      <c r="X322" s="383"/>
      <c r="Y322" s="383"/>
      <c r="Z322" s="383"/>
    </row>
    <row r="323" ht="18.75" customHeight="1">
      <c r="A323" s="383"/>
      <c r="B323" s="383"/>
      <c r="C323" s="383"/>
      <c r="D323" s="383"/>
      <c r="E323" s="383"/>
      <c r="F323" s="536"/>
      <c r="G323" s="536"/>
      <c r="H323" s="383"/>
      <c r="I323" s="383"/>
      <c r="J323" s="383"/>
      <c r="K323" s="383"/>
      <c r="L323" s="383"/>
      <c r="M323" s="383"/>
      <c r="N323" s="383"/>
      <c r="O323" s="383"/>
      <c r="P323" s="383"/>
      <c r="Q323" s="383"/>
      <c r="R323" s="383"/>
      <c r="S323" s="383"/>
      <c r="T323" s="383"/>
      <c r="U323" s="383"/>
      <c r="V323" s="383"/>
      <c r="W323" s="578"/>
      <c r="X323" s="383"/>
      <c r="Y323" s="383"/>
      <c r="Z323" s="383"/>
    </row>
    <row r="324" ht="18.75" customHeight="1">
      <c r="A324" s="383"/>
      <c r="B324" s="383"/>
      <c r="C324" s="383"/>
      <c r="D324" s="383"/>
      <c r="E324" s="383"/>
      <c r="F324" s="536"/>
      <c r="G324" s="536"/>
      <c r="H324" s="383"/>
      <c r="I324" s="383"/>
      <c r="J324" s="383"/>
      <c r="K324" s="383"/>
      <c r="L324" s="383"/>
      <c r="M324" s="383"/>
      <c r="N324" s="383"/>
      <c r="O324" s="383"/>
      <c r="P324" s="383"/>
      <c r="Q324" s="383"/>
      <c r="R324" s="383"/>
      <c r="S324" s="383"/>
      <c r="T324" s="383"/>
      <c r="U324" s="383"/>
      <c r="V324" s="383"/>
      <c r="W324" s="578"/>
      <c r="X324" s="383"/>
      <c r="Y324" s="383"/>
      <c r="Z324" s="383"/>
    </row>
    <row r="325" ht="18.75" customHeight="1">
      <c r="A325" s="383"/>
      <c r="B325" s="383"/>
      <c r="C325" s="383"/>
      <c r="D325" s="383"/>
      <c r="E325" s="383"/>
      <c r="F325" s="536"/>
      <c r="G325" s="536"/>
      <c r="H325" s="383"/>
      <c r="I325" s="383"/>
      <c r="J325" s="383"/>
      <c r="K325" s="383"/>
      <c r="L325" s="383"/>
      <c r="M325" s="383"/>
      <c r="N325" s="383"/>
      <c r="O325" s="383"/>
      <c r="P325" s="383"/>
      <c r="Q325" s="383"/>
      <c r="R325" s="383"/>
      <c r="S325" s="383"/>
      <c r="T325" s="383"/>
      <c r="U325" s="383"/>
      <c r="V325" s="383"/>
      <c r="W325" s="578"/>
      <c r="X325" s="383"/>
      <c r="Y325" s="383"/>
      <c r="Z325" s="383"/>
    </row>
    <row r="326" ht="18.75" customHeight="1">
      <c r="A326" s="383"/>
      <c r="B326" s="383"/>
      <c r="C326" s="383"/>
      <c r="D326" s="383"/>
      <c r="E326" s="383"/>
      <c r="F326" s="536"/>
      <c r="G326" s="536"/>
      <c r="H326" s="383"/>
      <c r="I326" s="383"/>
      <c r="J326" s="383"/>
      <c r="K326" s="383"/>
      <c r="L326" s="383"/>
      <c r="M326" s="383"/>
      <c r="N326" s="383"/>
      <c r="O326" s="383"/>
      <c r="P326" s="383"/>
      <c r="Q326" s="383"/>
      <c r="R326" s="383"/>
      <c r="S326" s="383"/>
      <c r="T326" s="383"/>
      <c r="U326" s="383"/>
      <c r="V326" s="383"/>
      <c r="W326" s="578"/>
      <c r="X326" s="383"/>
      <c r="Y326" s="383"/>
      <c r="Z326" s="383"/>
    </row>
    <row r="327" ht="18.75" customHeight="1">
      <c r="A327" s="383"/>
      <c r="B327" s="383"/>
      <c r="C327" s="383"/>
      <c r="D327" s="383"/>
      <c r="E327" s="383"/>
      <c r="F327" s="536"/>
      <c r="G327" s="536"/>
      <c r="H327" s="383"/>
      <c r="I327" s="383"/>
      <c r="J327" s="383"/>
      <c r="K327" s="383"/>
      <c r="L327" s="383"/>
      <c r="M327" s="383"/>
      <c r="N327" s="383"/>
      <c r="O327" s="383"/>
      <c r="P327" s="383"/>
      <c r="Q327" s="383"/>
      <c r="R327" s="383"/>
      <c r="S327" s="383"/>
      <c r="T327" s="383"/>
      <c r="U327" s="383"/>
      <c r="V327" s="383"/>
      <c r="W327" s="578"/>
      <c r="X327" s="383"/>
      <c r="Y327" s="383"/>
      <c r="Z327" s="383"/>
    </row>
    <row r="328" ht="18.75" customHeight="1">
      <c r="A328" s="383"/>
      <c r="B328" s="383"/>
      <c r="C328" s="383"/>
      <c r="D328" s="383"/>
      <c r="E328" s="383"/>
      <c r="F328" s="536"/>
      <c r="G328" s="536"/>
      <c r="H328" s="383"/>
      <c r="I328" s="383"/>
      <c r="J328" s="383"/>
      <c r="K328" s="383"/>
      <c r="L328" s="383"/>
      <c r="M328" s="383"/>
      <c r="N328" s="383"/>
      <c r="O328" s="383"/>
      <c r="P328" s="383"/>
      <c r="Q328" s="383"/>
      <c r="R328" s="383"/>
      <c r="S328" s="383"/>
      <c r="T328" s="383"/>
      <c r="U328" s="383"/>
      <c r="V328" s="383"/>
      <c r="W328" s="578"/>
      <c r="X328" s="383"/>
      <c r="Y328" s="383"/>
      <c r="Z328" s="383"/>
    </row>
    <row r="329" ht="18.75" customHeight="1">
      <c r="A329" s="383"/>
      <c r="B329" s="383"/>
      <c r="C329" s="383"/>
      <c r="D329" s="383"/>
      <c r="E329" s="383"/>
      <c r="F329" s="536"/>
      <c r="G329" s="536"/>
      <c r="H329" s="383"/>
      <c r="I329" s="383"/>
      <c r="J329" s="383"/>
      <c r="K329" s="383"/>
      <c r="L329" s="383"/>
      <c r="M329" s="383"/>
      <c r="N329" s="383"/>
      <c r="O329" s="383"/>
      <c r="P329" s="383"/>
      <c r="Q329" s="383"/>
      <c r="R329" s="383"/>
      <c r="S329" s="383"/>
      <c r="T329" s="383"/>
      <c r="U329" s="383"/>
      <c r="V329" s="383"/>
      <c r="W329" s="578"/>
      <c r="X329" s="383"/>
      <c r="Y329" s="383"/>
      <c r="Z329" s="383"/>
    </row>
    <row r="330" ht="18.75" customHeight="1">
      <c r="A330" s="383"/>
      <c r="B330" s="383"/>
      <c r="C330" s="383"/>
      <c r="D330" s="383"/>
      <c r="E330" s="383"/>
      <c r="F330" s="536"/>
      <c r="G330" s="536"/>
      <c r="H330" s="383"/>
      <c r="I330" s="383"/>
      <c r="J330" s="383"/>
      <c r="K330" s="383"/>
      <c r="L330" s="383"/>
      <c r="M330" s="383"/>
      <c r="N330" s="383"/>
      <c r="O330" s="383"/>
      <c r="P330" s="383"/>
      <c r="Q330" s="383"/>
      <c r="R330" s="383"/>
      <c r="S330" s="383"/>
      <c r="T330" s="383"/>
      <c r="U330" s="383"/>
      <c r="V330" s="383"/>
      <c r="W330" s="578"/>
      <c r="X330" s="383"/>
      <c r="Y330" s="383"/>
      <c r="Z330" s="383"/>
    </row>
    <row r="331" ht="18.75" customHeight="1">
      <c r="A331" s="383"/>
      <c r="B331" s="383"/>
      <c r="C331" s="383"/>
      <c r="D331" s="383"/>
      <c r="E331" s="383"/>
      <c r="F331" s="536"/>
      <c r="G331" s="536"/>
      <c r="H331" s="383"/>
      <c r="I331" s="383"/>
      <c r="J331" s="383"/>
      <c r="K331" s="383"/>
      <c r="L331" s="383"/>
      <c r="M331" s="383"/>
      <c r="N331" s="383"/>
      <c r="O331" s="383"/>
      <c r="P331" s="383"/>
      <c r="Q331" s="383"/>
      <c r="R331" s="383"/>
      <c r="S331" s="383"/>
      <c r="T331" s="383"/>
      <c r="U331" s="383"/>
      <c r="V331" s="383"/>
      <c r="W331" s="578"/>
      <c r="X331" s="383"/>
      <c r="Y331" s="383"/>
      <c r="Z331" s="383"/>
    </row>
    <row r="332" ht="18.75" customHeight="1">
      <c r="A332" s="383"/>
      <c r="B332" s="383"/>
      <c r="C332" s="383"/>
      <c r="D332" s="383"/>
      <c r="E332" s="383"/>
      <c r="F332" s="536"/>
      <c r="G332" s="536"/>
      <c r="H332" s="383"/>
      <c r="I332" s="383"/>
      <c r="J332" s="383"/>
      <c r="K332" s="383"/>
      <c r="L332" s="383"/>
      <c r="M332" s="383"/>
      <c r="N332" s="383"/>
      <c r="O332" s="383"/>
      <c r="P332" s="383"/>
      <c r="Q332" s="383"/>
      <c r="R332" s="383"/>
      <c r="S332" s="383"/>
      <c r="T332" s="383"/>
      <c r="U332" s="383"/>
      <c r="V332" s="383"/>
      <c r="W332" s="578"/>
      <c r="X332" s="383"/>
      <c r="Y332" s="383"/>
      <c r="Z332" s="383"/>
    </row>
    <row r="333" ht="18.75" customHeight="1">
      <c r="A333" s="383"/>
      <c r="B333" s="383"/>
      <c r="C333" s="383"/>
      <c r="D333" s="383"/>
      <c r="E333" s="383"/>
      <c r="F333" s="536"/>
      <c r="G333" s="536"/>
      <c r="H333" s="383"/>
      <c r="I333" s="383"/>
      <c r="J333" s="383"/>
      <c r="K333" s="383"/>
      <c r="L333" s="383"/>
      <c r="M333" s="383"/>
      <c r="N333" s="383"/>
      <c r="O333" s="383"/>
      <c r="P333" s="383"/>
      <c r="Q333" s="383"/>
      <c r="R333" s="383"/>
      <c r="S333" s="383"/>
      <c r="T333" s="383"/>
      <c r="U333" s="383"/>
      <c r="V333" s="383"/>
      <c r="W333" s="578"/>
      <c r="X333" s="383"/>
      <c r="Y333" s="383"/>
      <c r="Z333" s="383"/>
    </row>
    <row r="334" ht="18.75" customHeight="1">
      <c r="A334" s="383"/>
      <c r="B334" s="383"/>
      <c r="C334" s="383"/>
      <c r="D334" s="383"/>
      <c r="E334" s="383"/>
      <c r="F334" s="536"/>
      <c r="G334" s="536"/>
      <c r="H334" s="383"/>
      <c r="I334" s="383"/>
      <c r="J334" s="383"/>
      <c r="K334" s="383"/>
      <c r="L334" s="383"/>
      <c r="M334" s="383"/>
      <c r="N334" s="383"/>
      <c r="O334" s="383"/>
      <c r="P334" s="383"/>
      <c r="Q334" s="383"/>
      <c r="R334" s="383"/>
      <c r="S334" s="383"/>
      <c r="T334" s="383"/>
      <c r="U334" s="383"/>
      <c r="V334" s="383"/>
      <c r="W334" s="578"/>
      <c r="X334" s="383"/>
      <c r="Y334" s="383"/>
      <c r="Z334" s="383"/>
    </row>
    <row r="335" ht="18.75" customHeight="1">
      <c r="A335" s="383"/>
      <c r="B335" s="383"/>
      <c r="C335" s="383"/>
      <c r="D335" s="383"/>
      <c r="E335" s="383"/>
      <c r="F335" s="536"/>
      <c r="G335" s="536"/>
      <c r="H335" s="383"/>
      <c r="I335" s="383"/>
      <c r="J335" s="383"/>
      <c r="K335" s="383"/>
      <c r="L335" s="383"/>
      <c r="M335" s="383"/>
      <c r="N335" s="383"/>
      <c r="O335" s="383"/>
      <c r="P335" s="383"/>
      <c r="Q335" s="383"/>
      <c r="R335" s="383"/>
      <c r="S335" s="383"/>
      <c r="T335" s="383"/>
      <c r="U335" s="383"/>
      <c r="V335" s="383"/>
      <c r="W335" s="578"/>
      <c r="X335" s="383"/>
      <c r="Y335" s="383"/>
      <c r="Z335" s="383"/>
    </row>
    <row r="336" ht="18.75" customHeight="1">
      <c r="A336" s="383"/>
      <c r="B336" s="383"/>
      <c r="C336" s="383"/>
      <c r="D336" s="383"/>
      <c r="E336" s="383"/>
      <c r="F336" s="536"/>
      <c r="G336" s="536"/>
      <c r="H336" s="383"/>
      <c r="I336" s="383"/>
      <c r="J336" s="383"/>
      <c r="K336" s="383"/>
      <c r="L336" s="383"/>
      <c r="M336" s="383"/>
      <c r="N336" s="383"/>
      <c r="O336" s="383"/>
      <c r="P336" s="383"/>
      <c r="Q336" s="383"/>
      <c r="R336" s="383"/>
      <c r="S336" s="383"/>
      <c r="T336" s="383"/>
      <c r="U336" s="383"/>
      <c r="V336" s="383"/>
      <c r="W336" s="578"/>
      <c r="X336" s="383"/>
      <c r="Y336" s="383"/>
      <c r="Z336" s="383"/>
    </row>
    <row r="337" ht="18.75" customHeight="1">
      <c r="A337" s="383"/>
      <c r="B337" s="383"/>
      <c r="C337" s="383"/>
      <c r="D337" s="383"/>
      <c r="E337" s="383"/>
      <c r="F337" s="536"/>
      <c r="G337" s="536"/>
      <c r="H337" s="383"/>
      <c r="I337" s="383"/>
      <c r="J337" s="383"/>
      <c r="K337" s="383"/>
      <c r="L337" s="383"/>
      <c r="M337" s="383"/>
      <c r="N337" s="383"/>
      <c r="O337" s="383"/>
      <c r="P337" s="383"/>
      <c r="Q337" s="383"/>
      <c r="R337" s="383"/>
      <c r="S337" s="383"/>
      <c r="T337" s="383"/>
      <c r="U337" s="383"/>
      <c r="V337" s="383"/>
      <c r="W337" s="578"/>
      <c r="X337" s="383"/>
      <c r="Y337" s="383"/>
      <c r="Z337" s="383"/>
    </row>
    <row r="338" ht="18.75" customHeight="1">
      <c r="A338" s="383"/>
      <c r="B338" s="383"/>
      <c r="C338" s="383"/>
      <c r="D338" s="383"/>
      <c r="E338" s="383"/>
      <c r="F338" s="536"/>
      <c r="G338" s="536"/>
      <c r="H338" s="383"/>
      <c r="I338" s="383"/>
      <c r="J338" s="383"/>
      <c r="K338" s="383"/>
      <c r="L338" s="383"/>
      <c r="M338" s="383"/>
      <c r="N338" s="383"/>
      <c r="O338" s="383"/>
      <c r="P338" s="383"/>
      <c r="Q338" s="383"/>
      <c r="R338" s="383"/>
      <c r="S338" s="383"/>
      <c r="T338" s="383"/>
      <c r="U338" s="383"/>
      <c r="V338" s="383"/>
      <c r="W338" s="578"/>
      <c r="X338" s="383"/>
      <c r="Y338" s="383"/>
      <c r="Z338" s="383"/>
    </row>
    <row r="339" ht="18.75" customHeight="1">
      <c r="A339" s="383"/>
      <c r="B339" s="383"/>
      <c r="C339" s="383"/>
      <c r="D339" s="383"/>
      <c r="E339" s="383"/>
      <c r="F339" s="536"/>
      <c r="G339" s="536"/>
      <c r="H339" s="383"/>
      <c r="I339" s="383"/>
      <c r="J339" s="383"/>
      <c r="K339" s="383"/>
      <c r="L339" s="383"/>
      <c r="M339" s="383"/>
      <c r="N339" s="383"/>
      <c r="O339" s="383"/>
      <c r="P339" s="383"/>
      <c r="Q339" s="383"/>
      <c r="R339" s="383"/>
      <c r="S339" s="383"/>
      <c r="T339" s="383"/>
      <c r="U339" s="383"/>
      <c r="V339" s="383"/>
      <c r="W339" s="578"/>
      <c r="X339" s="383"/>
      <c r="Y339" s="383"/>
      <c r="Z339" s="383"/>
    </row>
    <row r="340" ht="18.75" customHeight="1">
      <c r="A340" s="383"/>
      <c r="B340" s="383"/>
      <c r="C340" s="383"/>
      <c r="D340" s="383"/>
      <c r="E340" s="383"/>
      <c r="F340" s="536"/>
      <c r="G340" s="536"/>
      <c r="H340" s="383"/>
      <c r="I340" s="383"/>
      <c r="J340" s="383"/>
      <c r="K340" s="383"/>
      <c r="L340" s="383"/>
      <c r="M340" s="383"/>
      <c r="N340" s="383"/>
      <c r="O340" s="383"/>
      <c r="P340" s="383"/>
      <c r="Q340" s="383"/>
      <c r="R340" s="383"/>
      <c r="S340" s="383"/>
      <c r="T340" s="383"/>
      <c r="U340" s="383"/>
      <c r="V340" s="383"/>
      <c r="W340" s="578"/>
      <c r="X340" s="383"/>
      <c r="Y340" s="383"/>
      <c r="Z340" s="383"/>
    </row>
    <row r="341" ht="18.75" customHeight="1">
      <c r="A341" s="383"/>
      <c r="B341" s="383"/>
      <c r="C341" s="383"/>
      <c r="D341" s="383"/>
      <c r="E341" s="383"/>
      <c r="F341" s="536"/>
      <c r="G341" s="536"/>
      <c r="H341" s="383"/>
      <c r="I341" s="383"/>
      <c r="J341" s="383"/>
      <c r="K341" s="383"/>
      <c r="L341" s="383"/>
      <c r="M341" s="383"/>
      <c r="N341" s="383"/>
      <c r="O341" s="383"/>
      <c r="P341" s="383"/>
      <c r="Q341" s="383"/>
      <c r="R341" s="383"/>
      <c r="S341" s="383"/>
      <c r="T341" s="383"/>
      <c r="U341" s="383"/>
      <c r="V341" s="383"/>
      <c r="W341" s="578"/>
      <c r="X341" s="383"/>
      <c r="Y341" s="383"/>
      <c r="Z341" s="383"/>
    </row>
    <row r="342" ht="18.75" customHeight="1">
      <c r="A342" s="383"/>
      <c r="B342" s="383"/>
      <c r="C342" s="383"/>
      <c r="D342" s="383"/>
      <c r="E342" s="383"/>
      <c r="F342" s="536"/>
      <c r="G342" s="536"/>
      <c r="H342" s="383"/>
      <c r="I342" s="383"/>
      <c r="J342" s="383"/>
      <c r="K342" s="383"/>
      <c r="L342" s="383"/>
      <c r="M342" s="383"/>
      <c r="N342" s="383"/>
      <c r="O342" s="383"/>
      <c r="P342" s="383"/>
      <c r="Q342" s="383"/>
      <c r="R342" s="383"/>
      <c r="S342" s="383"/>
      <c r="T342" s="383"/>
      <c r="U342" s="383"/>
      <c r="V342" s="383"/>
      <c r="W342" s="578"/>
      <c r="X342" s="383"/>
      <c r="Y342" s="383"/>
      <c r="Z342" s="383"/>
    </row>
    <row r="343" ht="18.75" customHeight="1">
      <c r="A343" s="383"/>
      <c r="B343" s="383"/>
      <c r="C343" s="383"/>
      <c r="D343" s="383"/>
      <c r="E343" s="383"/>
      <c r="F343" s="536"/>
      <c r="G343" s="536"/>
      <c r="H343" s="383"/>
      <c r="I343" s="383"/>
      <c r="J343" s="383"/>
      <c r="K343" s="383"/>
      <c r="L343" s="383"/>
      <c r="M343" s="383"/>
      <c r="N343" s="383"/>
      <c r="O343" s="383"/>
      <c r="P343" s="383"/>
      <c r="Q343" s="383"/>
      <c r="R343" s="383"/>
      <c r="S343" s="383"/>
      <c r="T343" s="383"/>
      <c r="U343" s="383"/>
      <c r="V343" s="383"/>
      <c r="W343" s="578"/>
      <c r="X343" s="383"/>
      <c r="Y343" s="383"/>
      <c r="Z343" s="383"/>
    </row>
    <row r="344" ht="18.75" customHeight="1">
      <c r="A344" s="383"/>
      <c r="B344" s="383"/>
      <c r="C344" s="383"/>
      <c r="D344" s="383"/>
      <c r="E344" s="383"/>
      <c r="F344" s="536"/>
      <c r="G344" s="536"/>
      <c r="H344" s="383"/>
      <c r="I344" s="383"/>
      <c r="J344" s="383"/>
      <c r="K344" s="383"/>
      <c r="L344" s="383"/>
      <c r="M344" s="383"/>
      <c r="N344" s="383"/>
      <c r="O344" s="383"/>
      <c r="P344" s="383"/>
      <c r="Q344" s="383"/>
      <c r="R344" s="383"/>
      <c r="S344" s="383"/>
      <c r="T344" s="383"/>
      <c r="U344" s="383"/>
      <c r="V344" s="383"/>
      <c r="W344" s="578"/>
      <c r="X344" s="383"/>
      <c r="Y344" s="383"/>
      <c r="Z344" s="383"/>
    </row>
    <row r="345" ht="18.75" customHeight="1">
      <c r="A345" s="383"/>
      <c r="B345" s="383"/>
      <c r="C345" s="383"/>
      <c r="D345" s="383"/>
      <c r="E345" s="383"/>
      <c r="F345" s="536"/>
      <c r="G345" s="536"/>
      <c r="H345" s="383"/>
      <c r="I345" s="383"/>
      <c r="J345" s="383"/>
      <c r="K345" s="383"/>
      <c r="L345" s="383"/>
      <c r="M345" s="383"/>
      <c r="N345" s="383"/>
      <c r="O345" s="383"/>
      <c r="P345" s="383"/>
      <c r="Q345" s="383"/>
      <c r="R345" s="383"/>
      <c r="S345" s="383"/>
      <c r="T345" s="383"/>
      <c r="U345" s="383"/>
      <c r="V345" s="383"/>
      <c r="W345" s="578"/>
      <c r="X345" s="383"/>
      <c r="Y345" s="383"/>
      <c r="Z345" s="383"/>
    </row>
    <row r="346" ht="18.75" customHeight="1">
      <c r="A346" s="383"/>
      <c r="B346" s="383"/>
      <c r="C346" s="383"/>
      <c r="D346" s="383"/>
      <c r="E346" s="383"/>
      <c r="F346" s="536"/>
      <c r="G346" s="536"/>
      <c r="H346" s="383"/>
      <c r="I346" s="383"/>
      <c r="J346" s="383"/>
      <c r="K346" s="383"/>
      <c r="L346" s="383"/>
      <c r="M346" s="383"/>
      <c r="N346" s="383"/>
      <c r="O346" s="383"/>
      <c r="P346" s="383"/>
      <c r="Q346" s="383"/>
      <c r="R346" s="383"/>
      <c r="S346" s="383"/>
      <c r="T346" s="383"/>
      <c r="U346" s="383"/>
      <c r="V346" s="383"/>
      <c r="W346" s="578"/>
      <c r="X346" s="383"/>
      <c r="Y346" s="383"/>
      <c r="Z346" s="383"/>
    </row>
    <row r="347" ht="18.75" customHeight="1">
      <c r="A347" s="383"/>
      <c r="B347" s="383"/>
      <c r="C347" s="383"/>
      <c r="D347" s="383"/>
      <c r="E347" s="383"/>
      <c r="F347" s="536"/>
      <c r="G347" s="536"/>
      <c r="H347" s="383"/>
      <c r="I347" s="383"/>
      <c r="J347" s="383"/>
      <c r="K347" s="383"/>
      <c r="L347" s="383"/>
      <c r="M347" s="383"/>
      <c r="N347" s="383"/>
      <c r="O347" s="383"/>
      <c r="P347" s="383"/>
      <c r="Q347" s="383"/>
      <c r="R347" s="383"/>
      <c r="S347" s="383"/>
      <c r="T347" s="383"/>
      <c r="U347" s="383"/>
      <c r="V347" s="383"/>
      <c r="W347" s="578"/>
      <c r="X347" s="383"/>
      <c r="Y347" s="383"/>
      <c r="Z347" s="383"/>
    </row>
    <row r="348" ht="18.75" customHeight="1">
      <c r="A348" s="383"/>
      <c r="B348" s="383"/>
      <c r="C348" s="383"/>
      <c r="D348" s="383"/>
      <c r="E348" s="383"/>
      <c r="F348" s="536"/>
      <c r="G348" s="536"/>
      <c r="H348" s="383"/>
      <c r="I348" s="383"/>
      <c r="J348" s="383"/>
      <c r="K348" s="383"/>
      <c r="L348" s="383"/>
      <c r="M348" s="383"/>
      <c r="N348" s="383"/>
      <c r="O348" s="383"/>
      <c r="P348" s="383"/>
      <c r="Q348" s="383"/>
      <c r="R348" s="383"/>
      <c r="S348" s="383"/>
      <c r="T348" s="383"/>
      <c r="U348" s="383"/>
      <c r="V348" s="383"/>
      <c r="W348" s="578"/>
      <c r="X348" s="383"/>
      <c r="Y348" s="383"/>
      <c r="Z348" s="383"/>
    </row>
    <row r="349" ht="18.75" customHeight="1">
      <c r="A349" s="383"/>
      <c r="B349" s="383"/>
      <c r="C349" s="383"/>
      <c r="D349" s="383"/>
      <c r="E349" s="383"/>
      <c r="F349" s="536"/>
      <c r="G349" s="536"/>
      <c r="H349" s="383"/>
      <c r="I349" s="383"/>
      <c r="J349" s="383"/>
      <c r="K349" s="383"/>
      <c r="L349" s="383"/>
      <c r="M349" s="383"/>
      <c r="N349" s="383"/>
      <c r="O349" s="383"/>
      <c r="P349" s="383"/>
      <c r="Q349" s="383"/>
      <c r="R349" s="383"/>
      <c r="S349" s="383"/>
      <c r="T349" s="383"/>
      <c r="U349" s="383"/>
      <c r="V349" s="383"/>
      <c r="W349" s="578"/>
      <c r="X349" s="383"/>
      <c r="Y349" s="383"/>
      <c r="Z349" s="383"/>
    </row>
    <row r="350" ht="18.75" customHeight="1">
      <c r="A350" s="383"/>
      <c r="B350" s="383"/>
      <c r="C350" s="383"/>
      <c r="D350" s="383"/>
      <c r="E350" s="383"/>
      <c r="F350" s="536"/>
      <c r="G350" s="536"/>
      <c r="H350" s="383"/>
      <c r="I350" s="383"/>
      <c r="J350" s="383"/>
      <c r="K350" s="383"/>
      <c r="L350" s="383"/>
      <c r="M350" s="383"/>
      <c r="N350" s="383"/>
      <c r="O350" s="383"/>
      <c r="P350" s="383"/>
      <c r="Q350" s="383"/>
      <c r="R350" s="383"/>
      <c r="S350" s="383"/>
      <c r="T350" s="383"/>
      <c r="U350" s="383"/>
      <c r="V350" s="383"/>
      <c r="W350" s="578"/>
      <c r="X350" s="383"/>
      <c r="Y350" s="383"/>
      <c r="Z350" s="383"/>
    </row>
    <row r="351" ht="18.75" customHeight="1">
      <c r="A351" s="383"/>
      <c r="B351" s="383"/>
      <c r="C351" s="383"/>
      <c r="D351" s="383"/>
      <c r="E351" s="383"/>
      <c r="F351" s="536"/>
      <c r="G351" s="536"/>
      <c r="H351" s="383"/>
      <c r="I351" s="383"/>
      <c r="J351" s="383"/>
      <c r="K351" s="383"/>
      <c r="L351" s="383"/>
      <c r="M351" s="383"/>
      <c r="N351" s="383"/>
      <c r="O351" s="383"/>
      <c r="P351" s="383"/>
      <c r="Q351" s="383"/>
      <c r="R351" s="383"/>
      <c r="S351" s="383"/>
      <c r="T351" s="383"/>
      <c r="U351" s="383"/>
      <c r="V351" s="383"/>
      <c r="W351" s="578"/>
      <c r="X351" s="383"/>
      <c r="Y351" s="383"/>
      <c r="Z351" s="383"/>
    </row>
    <row r="352" ht="18.75" customHeight="1">
      <c r="A352" s="383"/>
      <c r="B352" s="383"/>
      <c r="C352" s="383"/>
      <c r="D352" s="383"/>
      <c r="E352" s="383"/>
      <c r="F352" s="536"/>
      <c r="G352" s="536"/>
      <c r="H352" s="383"/>
      <c r="I352" s="383"/>
      <c r="J352" s="383"/>
      <c r="K352" s="383"/>
      <c r="L352" s="383"/>
      <c r="M352" s="383"/>
      <c r="N352" s="383"/>
      <c r="O352" s="383"/>
      <c r="P352" s="383"/>
      <c r="Q352" s="383"/>
      <c r="R352" s="383"/>
      <c r="S352" s="383"/>
      <c r="T352" s="383"/>
      <c r="U352" s="383"/>
      <c r="V352" s="383"/>
      <c r="W352" s="578"/>
      <c r="X352" s="383"/>
      <c r="Y352" s="383"/>
      <c r="Z352" s="383"/>
    </row>
    <row r="353" ht="18.75" customHeight="1">
      <c r="A353" s="383"/>
      <c r="B353" s="383"/>
      <c r="C353" s="383"/>
      <c r="D353" s="383"/>
      <c r="E353" s="383"/>
      <c r="F353" s="536"/>
      <c r="G353" s="536"/>
      <c r="H353" s="383"/>
      <c r="I353" s="383"/>
      <c r="J353" s="383"/>
      <c r="K353" s="383"/>
      <c r="L353" s="383"/>
      <c r="M353" s="383"/>
      <c r="N353" s="383"/>
      <c r="O353" s="383"/>
      <c r="P353" s="383"/>
      <c r="Q353" s="383"/>
      <c r="R353" s="383"/>
      <c r="S353" s="383"/>
      <c r="T353" s="383"/>
      <c r="U353" s="383"/>
      <c r="V353" s="383"/>
      <c r="W353" s="578"/>
      <c r="X353" s="383"/>
      <c r="Y353" s="383"/>
      <c r="Z353" s="383"/>
    </row>
    <row r="354" ht="18.75" customHeight="1">
      <c r="A354" s="383"/>
      <c r="B354" s="383"/>
      <c r="C354" s="383"/>
      <c r="D354" s="383"/>
      <c r="E354" s="383"/>
      <c r="F354" s="536"/>
      <c r="G354" s="536"/>
      <c r="H354" s="383"/>
      <c r="I354" s="383"/>
      <c r="J354" s="383"/>
      <c r="K354" s="383"/>
      <c r="L354" s="383"/>
      <c r="M354" s="383"/>
      <c r="N354" s="383"/>
      <c r="O354" s="383"/>
      <c r="P354" s="383"/>
      <c r="Q354" s="383"/>
      <c r="R354" s="383"/>
      <c r="S354" s="383"/>
      <c r="T354" s="383"/>
      <c r="U354" s="383"/>
      <c r="V354" s="383"/>
      <c r="W354" s="578"/>
      <c r="X354" s="383"/>
      <c r="Y354" s="383"/>
      <c r="Z354" s="383"/>
    </row>
    <row r="355" ht="18.75" customHeight="1">
      <c r="A355" s="383"/>
      <c r="B355" s="383"/>
      <c r="C355" s="383"/>
      <c r="D355" s="383"/>
      <c r="E355" s="383"/>
      <c r="F355" s="536"/>
      <c r="G355" s="536"/>
      <c r="H355" s="383"/>
      <c r="I355" s="383"/>
      <c r="J355" s="383"/>
      <c r="K355" s="383"/>
      <c r="L355" s="383"/>
      <c r="M355" s="383"/>
      <c r="N355" s="383"/>
      <c r="O355" s="383"/>
      <c r="P355" s="383"/>
      <c r="Q355" s="383"/>
      <c r="R355" s="383"/>
      <c r="S355" s="383"/>
      <c r="T355" s="383"/>
      <c r="U355" s="383"/>
      <c r="V355" s="383"/>
      <c r="W355" s="578"/>
      <c r="X355" s="383"/>
      <c r="Y355" s="383"/>
      <c r="Z355" s="383"/>
    </row>
    <row r="356" ht="18.75" customHeight="1">
      <c r="A356" s="383"/>
      <c r="B356" s="383"/>
      <c r="C356" s="383"/>
      <c r="D356" s="383"/>
      <c r="E356" s="383"/>
      <c r="F356" s="536"/>
      <c r="G356" s="536"/>
      <c r="H356" s="383"/>
      <c r="I356" s="383"/>
      <c r="J356" s="383"/>
      <c r="K356" s="383"/>
      <c r="L356" s="383"/>
      <c r="M356" s="383"/>
      <c r="N356" s="383"/>
      <c r="O356" s="383"/>
      <c r="P356" s="383"/>
      <c r="Q356" s="383"/>
      <c r="R356" s="383"/>
      <c r="S356" s="383"/>
      <c r="T356" s="383"/>
      <c r="U356" s="383"/>
      <c r="V356" s="383"/>
      <c r="W356" s="578"/>
      <c r="X356" s="383"/>
      <c r="Y356" s="383"/>
      <c r="Z356" s="383"/>
    </row>
    <row r="357" ht="18.75" customHeight="1">
      <c r="A357" s="383"/>
      <c r="B357" s="383"/>
      <c r="C357" s="383"/>
      <c r="D357" s="383"/>
      <c r="E357" s="383"/>
      <c r="F357" s="536"/>
      <c r="G357" s="536"/>
      <c r="H357" s="383"/>
      <c r="I357" s="383"/>
      <c r="J357" s="383"/>
      <c r="K357" s="383"/>
      <c r="L357" s="383"/>
      <c r="M357" s="383"/>
      <c r="N357" s="383"/>
      <c r="O357" s="383"/>
      <c r="P357" s="383"/>
      <c r="Q357" s="383"/>
      <c r="R357" s="383"/>
      <c r="S357" s="383"/>
      <c r="T357" s="383"/>
      <c r="U357" s="383"/>
      <c r="V357" s="383"/>
      <c r="W357" s="578"/>
      <c r="X357" s="383"/>
      <c r="Y357" s="383"/>
      <c r="Z357" s="383"/>
    </row>
    <row r="358" ht="18.75" customHeight="1">
      <c r="A358" s="383"/>
      <c r="B358" s="383"/>
      <c r="C358" s="383"/>
      <c r="D358" s="383"/>
      <c r="E358" s="383"/>
      <c r="F358" s="536"/>
      <c r="G358" s="536"/>
      <c r="H358" s="383"/>
      <c r="I358" s="383"/>
      <c r="J358" s="383"/>
      <c r="K358" s="383"/>
      <c r="L358" s="383"/>
      <c r="M358" s="383"/>
      <c r="N358" s="383"/>
      <c r="O358" s="383"/>
      <c r="P358" s="383"/>
      <c r="Q358" s="383"/>
      <c r="R358" s="383"/>
      <c r="S358" s="383"/>
      <c r="T358" s="383"/>
      <c r="U358" s="383"/>
      <c r="V358" s="383"/>
      <c r="W358" s="578"/>
      <c r="X358" s="383"/>
      <c r="Y358" s="383"/>
      <c r="Z358" s="383"/>
    </row>
    <row r="359" ht="18.75" customHeight="1">
      <c r="A359" s="383"/>
      <c r="B359" s="383"/>
      <c r="C359" s="383"/>
      <c r="D359" s="383"/>
      <c r="E359" s="383"/>
      <c r="F359" s="536"/>
      <c r="G359" s="536"/>
      <c r="H359" s="383"/>
      <c r="I359" s="383"/>
      <c r="J359" s="383"/>
      <c r="K359" s="383"/>
      <c r="L359" s="383"/>
      <c r="M359" s="383"/>
      <c r="N359" s="383"/>
      <c r="O359" s="383"/>
      <c r="P359" s="383"/>
      <c r="Q359" s="383"/>
      <c r="R359" s="383"/>
      <c r="S359" s="383"/>
      <c r="T359" s="383"/>
      <c r="U359" s="383"/>
      <c r="V359" s="383"/>
      <c r="W359" s="578"/>
      <c r="X359" s="383"/>
      <c r="Y359" s="383"/>
      <c r="Z359" s="383"/>
    </row>
    <row r="360" ht="18.75" customHeight="1">
      <c r="A360" s="383"/>
      <c r="B360" s="383"/>
      <c r="C360" s="383"/>
      <c r="D360" s="383"/>
      <c r="E360" s="383"/>
      <c r="F360" s="536"/>
      <c r="G360" s="536"/>
      <c r="H360" s="383"/>
      <c r="I360" s="383"/>
      <c r="J360" s="383"/>
      <c r="K360" s="383"/>
      <c r="L360" s="383"/>
      <c r="M360" s="383"/>
      <c r="N360" s="383"/>
      <c r="O360" s="383"/>
      <c r="P360" s="383"/>
      <c r="Q360" s="383"/>
      <c r="R360" s="383"/>
      <c r="S360" s="383"/>
      <c r="T360" s="383"/>
      <c r="U360" s="383"/>
      <c r="V360" s="383"/>
      <c r="W360" s="578"/>
      <c r="X360" s="383"/>
      <c r="Y360" s="383"/>
      <c r="Z360" s="383"/>
    </row>
    <row r="361" ht="18.75" customHeight="1">
      <c r="A361" s="383"/>
      <c r="B361" s="383"/>
      <c r="C361" s="383"/>
      <c r="D361" s="383"/>
      <c r="E361" s="383"/>
      <c r="F361" s="536"/>
      <c r="G361" s="536"/>
      <c r="H361" s="383"/>
      <c r="I361" s="383"/>
      <c r="J361" s="383"/>
      <c r="K361" s="383"/>
      <c r="L361" s="383"/>
      <c r="M361" s="383"/>
      <c r="N361" s="383"/>
      <c r="O361" s="383"/>
      <c r="P361" s="383"/>
      <c r="Q361" s="383"/>
      <c r="R361" s="383"/>
      <c r="S361" s="383"/>
      <c r="T361" s="383"/>
      <c r="U361" s="383"/>
      <c r="V361" s="383"/>
      <c r="W361" s="578"/>
      <c r="X361" s="383"/>
      <c r="Y361" s="383"/>
      <c r="Z361" s="383"/>
    </row>
    <row r="362" ht="18.75" customHeight="1">
      <c r="A362" s="383"/>
      <c r="B362" s="383"/>
      <c r="C362" s="383"/>
      <c r="D362" s="383"/>
      <c r="E362" s="383"/>
      <c r="F362" s="536"/>
      <c r="G362" s="536"/>
      <c r="H362" s="383"/>
      <c r="I362" s="383"/>
      <c r="J362" s="383"/>
      <c r="K362" s="383"/>
      <c r="L362" s="383"/>
      <c r="M362" s="383"/>
      <c r="N362" s="383"/>
      <c r="O362" s="383"/>
      <c r="P362" s="383"/>
      <c r="Q362" s="383"/>
      <c r="R362" s="383"/>
      <c r="S362" s="383"/>
      <c r="T362" s="383"/>
      <c r="U362" s="383"/>
      <c r="V362" s="383"/>
      <c r="W362" s="578"/>
      <c r="X362" s="383"/>
      <c r="Y362" s="383"/>
      <c r="Z362" s="383"/>
    </row>
    <row r="363" ht="18.75" customHeight="1">
      <c r="A363" s="383"/>
      <c r="B363" s="383"/>
      <c r="C363" s="383"/>
      <c r="D363" s="383"/>
      <c r="E363" s="383"/>
      <c r="F363" s="536"/>
      <c r="G363" s="536"/>
      <c r="H363" s="383"/>
      <c r="I363" s="383"/>
      <c r="J363" s="383"/>
      <c r="K363" s="383"/>
      <c r="L363" s="383"/>
      <c r="M363" s="383"/>
      <c r="N363" s="383"/>
      <c r="O363" s="383"/>
      <c r="P363" s="383"/>
      <c r="Q363" s="383"/>
      <c r="R363" s="383"/>
      <c r="S363" s="383"/>
      <c r="T363" s="383"/>
      <c r="U363" s="383"/>
      <c r="V363" s="383"/>
      <c r="W363" s="578"/>
      <c r="X363" s="383"/>
      <c r="Y363" s="383"/>
      <c r="Z363" s="383"/>
    </row>
    <row r="364" ht="18.75" customHeight="1">
      <c r="A364" s="383"/>
      <c r="B364" s="383"/>
      <c r="C364" s="383"/>
      <c r="D364" s="383"/>
      <c r="E364" s="383"/>
      <c r="F364" s="536"/>
      <c r="G364" s="536"/>
      <c r="H364" s="383"/>
      <c r="I364" s="383"/>
      <c r="J364" s="383"/>
      <c r="K364" s="383"/>
      <c r="L364" s="383"/>
      <c r="M364" s="383"/>
      <c r="N364" s="383"/>
      <c r="O364" s="383"/>
      <c r="P364" s="383"/>
      <c r="Q364" s="383"/>
      <c r="R364" s="383"/>
      <c r="S364" s="383"/>
      <c r="T364" s="383"/>
      <c r="U364" s="383"/>
      <c r="V364" s="383"/>
      <c r="W364" s="578"/>
      <c r="X364" s="383"/>
      <c r="Y364" s="383"/>
      <c r="Z364" s="383"/>
    </row>
    <row r="365" ht="18.75" customHeight="1">
      <c r="A365" s="383"/>
      <c r="B365" s="383"/>
      <c r="C365" s="383"/>
      <c r="D365" s="383"/>
      <c r="E365" s="383"/>
      <c r="F365" s="536"/>
      <c r="G365" s="536"/>
      <c r="H365" s="383"/>
      <c r="I365" s="383"/>
      <c r="J365" s="383"/>
      <c r="K365" s="383"/>
      <c r="L365" s="383"/>
      <c r="M365" s="383"/>
      <c r="N365" s="383"/>
      <c r="O365" s="383"/>
      <c r="P365" s="383"/>
      <c r="Q365" s="383"/>
      <c r="R365" s="383"/>
      <c r="S365" s="383"/>
      <c r="T365" s="383"/>
      <c r="U365" s="383"/>
      <c r="V365" s="383"/>
      <c r="W365" s="578"/>
      <c r="X365" s="383"/>
      <c r="Y365" s="383"/>
      <c r="Z365" s="383"/>
    </row>
    <row r="366" ht="18.75" customHeight="1">
      <c r="A366" s="383"/>
      <c r="B366" s="383"/>
      <c r="C366" s="383"/>
      <c r="D366" s="383"/>
      <c r="E366" s="383"/>
      <c r="F366" s="536"/>
      <c r="G366" s="536"/>
      <c r="H366" s="383"/>
      <c r="I366" s="383"/>
      <c r="J366" s="383"/>
      <c r="K366" s="383"/>
      <c r="L366" s="383"/>
      <c r="M366" s="383"/>
      <c r="N366" s="383"/>
      <c r="O366" s="383"/>
      <c r="P366" s="383"/>
      <c r="Q366" s="383"/>
      <c r="R366" s="383"/>
      <c r="S366" s="383"/>
      <c r="T366" s="383"/>
      <c r="U366" s="383"/>
      <c r="V366" s="383"/>
      <c r="W366" s="578"/>
      <c r="X366" s="383"/>
      <c r="Y366" s="383"/>
      <c r="Z366" s="383"/>
    </row>
    <row r="367" ht="18.75" customHeight="1">
      <c r="A367" s="383"/>
      <c r="B367" s="383"/>
      <c r="C367" s="383"/>
      <c r="D367" s="383"/>
      <c r="E367" s="383"/>
      <c r="F367" s="536"/>
      <c r="G367" s="536"/>
      <c r="H367" s="383"/>
      <c r="I367" s="383"/>
      <c r="J367" s="383"/>
      <c r="K367" s="383"/>
      <c r="L367" s="383"/>
      <c r="M367" s="383"/>
      <c r="N367" s="383"/>
      <c r="O367" s="383"/>
      <c r="P367" s="383"/>
      <c r="Q367" s="383"/>
      <c r="R367" s="383"/>
      <c r="S367" s="383"/>
      <c r="T367" s="383"/>
      <c r="U367" s="383"/>
      <c r="V367" s="383"/>
      <c r="W367" s="578"/>
      <c r="X367" s="383"/>
      <c r="Y367" s="383"/>
      <c r="Z367" s="383"/>
    </row>
    <row r="368" ht="18.75" customHeight="1">
      <c r="A368" s="383"/>
      <c r="B368" s="383"/>
      <c r="C368" s="383"/>
      <c r="D368" s="383"/>
      <c r="E368" s="383"/>
      <c r="F368" s="536"/>
      <c r="G368" s="536"/>
      <c r="H368" s="383"/>
      <c r="I368" s="383"/>
      <c r="J368" s="383"/>
      <c r="K368" s="383"/>
      <c r="L368" s="383"/>
      <c r="M368" s="383"/>
      <c r="N368" s="383"/>
      <c r="O368" s="383"/>
      <c r="P368" s="383"/>
      <c r="Q368" s="383"/>
      <c r="R368" s="383"/>
      <c r="S368" s="383"/>
      <c r="T368" s="383"/>
      <c r="U368" s="383"/>
      <c r="V368" s="383"/>
      <c r="W368" s="578"/>
      <c r="X368" s="383"/>
      <c r="Y368" s="383"/>
      <c r="Z368" s="383"/>
    </row>
    <row r="369" ht="18.75" customHeight="1">
      <c r="A369" s="383"/>
      <c r="B369" s="383"/>
      <c r="C369" s="383"/>
      <c r="D369" s="383"/>
      <c r="E369" s="383"/>
      <c r="F369" s="536"/>
      <c r="G369" s="536"/>
      <c r="H369" s="383"/>
      <c r="I369" s="383"/>
      <c r="J369" s="383"/>
      <c r="K369" s="383"/>
      <c r="L369" s="383"/>
      <c r="M369" s="383"/>
      <c r="N369" s="383"/>
      <c r="O369" s="383"/>
      <c r="P369" s="383"/>
      <c r="Q369" s="383"/>
      <c r="R369" s="383"/>
      <c r="S369" s="383"/>
      <c r="T369" s="383"/>
      <c r="U369" s="383"/>
      <c r="V369" s="383"/>
      <c r="W369" s="578"/>
      <c r="X369" s="383"/>
      <c r="Y369" s="383"/>
      <c r="Z369" s="383"/>
    </row>
    <row r="370" ht="18.75" customHeight="1">
      <c r="A370" s="383"/>
      <c r="B370" s="383"/>
      <c r="C370" s="383"/>
      <c r="D370" s="383"/>
      <c r="E370" s="383"/>
      <c r="F370" s="536"/>
      <c r="G370" s="536"/>
      <c r="H370" s="383"/>
      <c r="I370" s="383"/>
      <c r="J370" s="383"/>
      <c r="K370" s="383"/>
      <c r="L370" s="383"/>
      <c r="M370" s="383"/>
      <c r="N370" s="383"/>
      <c r="O370" s="383"/>
      <c r="P370" s="383"/>
      <c r="Q370" s="383"/>
      <c r="R370" s="383"/>
      <c r="S370" s="383"/>
      <c r="T370" s="383"/>
      <c r="U370" s="383"/>
      <c r="V370" s="383"/>
      <c r="W370" s="578"/>
      <c r="X370" s="383"/>
      <c r="Y370" s="383"/>
      <c r="Z370" s="383"/>
    </row>
    <row r="371" ht="18.75" customHeight="1">
      <c r="A371" s="383"/>
      <c r="B371" s="383"/>
      <c r="C371" s="383"/>
      <c r="D371" s="383"/>
      <c r="E371" s="383"/>
      <c r="F371" s="536"/>
      <c r="G371" s="536"/>
      <c r="H371" s="383"/>
      <c r="I371" s="383"/>
      <c r="J371" s="383"/>
      <c r="K371" s="383"/>
      <c r="L371" s="383"/>
      <c r="M371" s="383"/>
      <c r="N371" s="383"/>
      <c r="O371" s="383"/>
      <c r="P371" s="383"/>
      <c r="Q371" s="383"/>
      <c r="R371" s="383"/>
      <c r="S371" s="383"/>
      <c r="T371" s="383"/>
      <c r="U371" s="383"/>
      <c r="V371" s="383"/>
      <c r="W371" s="578"/>
      <c r="X371" s="383"/>
      <c r="Y371" s="383"/>
      <c r="Z371" s="383"/>
    </row>
    <row r="372" ht="18.75" customHeight="1">
      <c r="A372" s="383"/>
      <c r="B372" s="383"/>
      <c r="C372" s="383"/>
      <c r="D372" s="383"/>
      <c r="E372" s="383"/>
      <c r="F372" s="536"/>
      <c r="G372" s="536"/>
      <c r="H372" s="383"/>
      <c r="I372" s="383"/>
      <c r="J372" s="383"/>
      <c r="K372" s="383"/>
      <c r="L372" s="383"/>
      <c r="M372" s="383"/>
      <c r="N372" s="383"/>
      <c r="O372" s="383"/>
      <c r="P372" s="383"/>
      <c r="Q372" s="383"/>
      <c r="R372" s="383"/>
      <c r="S372" s="383"/>
      <c r="T372" s="383"/>
      <c r="U372" s="383"/>
      <c r="V372" s="383"/>
      <c r="W372" s="578"/>
      <c r="X372" s="383"/>
      <c r="Y372" s="383"/>
      <c r="Z372" s="383"/>
    </row>
    <row r="373" ht="18.75" customHeight="1">
      <c r="A373" s="383"/>
      <c r="B373" s="383"/>
      <c r="C373" s="383"/>
      <c r="D373" s="383"/>
      <c r="E373" s="383"/>
      <c r="F373" s="536"/>
      <c r="G373" s="536"/>
      <c r="H373" s="383"/>
      <c r="I373" s="383"/>
      <c r="J373" s="383"/>
      <c r="K373" s="383"/>
      <c r="L373" s="383"/>
      <c r="M373" s="383"/>
      <c r="N373" s="383"/>
      <c r="O373" s="383"/>
      <c r="P373" s="383"/>
      <c r="Q373" s="383"/>
      <c r="R373" s="383"/>
      <c r="S373" s="383"/>
      <c r="T373" s="383"/>
      <c r="U373" s="383"/>
      <c r="V373" s="383"/>
      <c r="W373" s="578"/>
      <c r="X373" s="383"/>
      <c r="Y373" s="383"/>
      <c r="Z373" s="383"/>
    </row>
    <row r="374" ht="18.75" customHeight="1">
      <c r="A374" s="383"/>
      <c r="B374" s="383"/>
      <c r="C374" s="383"/>
      <c r="D374" s="383"/>
      <c r="E374" s="383"/>
      <c r="F374" s="536"/>
      <c r="G374" s="536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578"/>
      <c r="X374" s="383"/>
      <c r="Y374" s="383"/>
      <c r="Z374" s="383"/>
    </row>
    <row r="375" ht="18.75" customHeight="1">
      <c r="A375" s="383"/>
      <c r="B375" s="383"/>
      <c r="C375" s="383"/>
      <c r="D375" s="383"/>
      <c r="E375" s="383"/>
      <c r="F375" s="536"/>
      <c r="G375" s="536"/>
      <c r="H375" s="383"/>
      <c r="I375" s="383"/>
      <c r="J375" s="383"/>
      <c r="K375" s="383"/>
      <c r="L375" s="383"/>
      <c r="M375" s="383"/>
      <c r="N375" s="383"/>
      <c r="O375" s="383"/>
      <c r="P375" s="383"/>
      <c r="Q375" s="383"/>
      <c r="R375" s="383"/>
      <c r="S375" s="383"/>
      <c r="T375" s="383"/>
      <c r="U375" s="383"/>
      <c r="V375" s="383"/>
      <c r="W375" s="578"/>
      <c r="X375" s="383"/>
      <c r="Y375" s="383"/>
      <c r="Z375" s="383"/>
    </row>
    <row r="376" ht="18.75" customHeight="1">
      <c r="A376" s="383"/>
      <c r="B376" s="383"/>
      <c r="C376" s="383"/>
      <c r="D376" s="383"/>
      <c r="E376" s="383"/>
      <c r="F376" s="536"/>
      <c r="G376" s="536"/>
      <c r="H376" s="383"/>
      <c r="I376" s="383"/>
      <c r="J376" s="383"/>
      <c r="K376" s="383"/>
      <c r="L376" s="383"/>
      <c r="M376" s="383"/>
      <c r="N376" s="383"/>
      <c r="O376" s="383"/>
      <c r="P376" s="383"/>
      <c r="Q376" s="383"/>
      <c r="R376" s="383"/>
      <c r="S376" s="383"/>
      <c r="T376" s="383"/>
      <c r="U376" s="383"/>
      <c r="V376" s="383"/>
      <c r="W376" s="578"/>
      <c r="X376" s="383"/>
      <c r="Y376" s="383"/>
      <c r="Z376" s="383"/>
    </row>
    <row r="377" ht="18.75" customHeight="1">
      <c r="A377" s="383"/>
      <c r="B377" s="383"/>
      <c r="C377" s="383"/>
      <c r="D377" s="383"/>
      <c r="E377" s="383"/>
      <c r="F377" s="536"/>
      <c r="G377" s="536"/>
      <c r="H377" s="383"/>
      <c r="I377" s="383"/>
      <c r="J377" s="383"/>
      <c r="K377" s="383"/>
      <c r="L377" s="383"/>
      <c r="M377" s="383"/>
      <c r="N377" s="383"/>
      <c r="O377" s="383"/>
      <c r="P377" s="383"/>
      <c r="Q377" s="383"/>
      <c r="R377" s="383"/>
      <c r="S377" s="383"/>
      <c r="T377" s="383"/>
      <c r="U377" s="383"/>
      <c r="V377" s="383"/>
      <c r="W377" s="578"/>
      <c r="X377" s="383"/>
      <c r="Y377" s="383"/>
      <c r="Z377" s="383"/>
    </row>
    <row r="378" ht="18.75" customHeight="1">
      <c r="A378" s="383"/>
      <c r="B378" s="383"/>
      <c r="C378" s="383"/>
      <c r="D378" s="383"/>
      <c r="E378" s="383"/>
      <c r="F378" s="536"/>
      <c r="G378" s="536"/>
      <c r="H378" s="383"/>
      <c r="I378" s="383"/>
      <c r="J378" s="383"/>
      <c r="K378" s="383"/>
      <c r="L378" s="383"/>
      <c r="M378" s="383"/>
      <c r="N378" s="383"/>
      <c r="O378" s="383"/>
      <c r="P378" s="383"/>
      <c r="Q378" s="383"/>
      <c r="R378" s="383"/>
      <c r="S378" s="383"/>
      <c r="T378" s="383"/>
      <c r="U378" s="383"/>
      <c r="V378" s="383"/>
      <c r="W378" s="578"/>
      <c r="X378" s="383"/>
      <c r="Y378" s="383"/>
      <c r="Z378" s="383"/>
    </row>
    <row r="379" ht="18.75" customHeight="1">
      <c r="A379" s="383"/>
      <c r="B379" s="383"/>
      <c r="C379" s="383"/>
      <c r="D379" s="383"/>
      <c r="E379" s="383"/>
      <c r="F379" s="536"/>
      <c r="G379" s="536"/>
      <c r="H379" s="383"/>
      <c r="I379" s="383"/>
      <c r="J379" s="383"/>
      <c r="K379" s="383"/>
      <c r="L379" s="383"/>
      <c r="M379" s="383"/>
      <c r="N379" s="383"/>
      <c r="O379" s="383"/>
      <c r="P379" s="383"/>
      <c r="Q379" s="383"/>
      <c r="R379" s="383"/>
      <c r="S379" s="383"/>
      <c r="T379" s="383"/>
      <c r="U379" s="383"/>
      <c r="V379" s="383"/>
      <c r="W379" s="578"/>
      <c r="X379" s="383"/>
      <c r="Y379" s="383"/>
      <c r="Z379" s="383"/>
    </row>
    <row r="380" ht="18.75" customHeight="1">
      <c r="A380" s="383"/>
      <c r="B380" s="383"/>
      <c r="C380" s="383"/>
      <c r="D380" s="383"/>
      <c r="E380" s="383"/>
      <c r="F380" s="536"/>
      <c r="G380" s="536"/>
      <c r="H380" s="383"/>
      <c r="I380" s="383"/>
      <c r="J380" s="383"/>
      <c r="K380" s="383"/>
      <c r="L380" s="383"/>
      <c r="M380" s="383"/>
      <c r="N380" s="383"/>
      <c r="O380" s="383"/>
      <c r="P380" s="383"/>
      <c r="Q380" s="383"/>
      <c r="R380" s="383"/>
      <c r="S380" s="383"/>
      <c r="T380" s="383"/>
      <c r="U380" s="383"/>
      <c r="V380" s="383"/>
      <c r="W380" s="578"/>
      <c r="X380" s="383"/>
      <c r="Y380" s="383"/>
      <c r="Z380" s="383"/>
    </row>
    <row r="381" ht="18.75" customHeight="1">
      <c r="A381" s="383"/>
      <c r="B381" s="383"/>
      <c r="C381" s="383"/>
      <c r="D381" s="383"/>
      <c r="E381" s="383"/>
      <c r="F381" s="536"/>
      <c r="G381" s="536"/>
      <c r="H381" s="383"/>
      <c r="I381" s="383"/>
      <c r="J381" s="383"/>
      <c r="K381" s="383"/>
      <c r="L381" s="383"/>
      <c r="M381" s="383"/>
      <c r="N381" s="383"/>
      <c r="O381" s="383"/>
      <c r="P381" s="383"/>
      <c r="Q381" s="383"/>
      <c r="R381" s="383"/>
      <c r="S381" s="383"/>
      <c r="T381" s="383"/>
      <c r="U381" s="383"/>
      <c r="V381" s="383"/>
      <c r="W381" s="578"/>
      <c r="X381" s="383"/>
      <c r="Y381" s="383"/>
      <c r="Z381" s="383"/>
    </row>
    <row r="382" ht="18.75" customHeight="1">
      <c r="A382" s="383"/>
      <c r="B382" s="383"/>
      <c r="C382" s="383"/>
      <c r="D382" s="383"/>
      <c r="E382" s="383"/>
      <c r="F382" s="536"/>
      <c r="G382" s="536"/>
      <c r="H382" s="383"/>
      <c r="I382" s="383"/>
      <c r="J382" s="383"/>
      <c r="K382" s="383"/>
      <c r="L382" s="383"/>
      <c r="M382" s="383"/>
      <c r="N382" s="383"/>
      <c r="O382" s="383"/>
      <c r="P382" s="383"/>
      <c r="Q382" s="383"/>
      <c r="R382" s="383"/>
      <c r="S382" s="383"/>
      <c r="T382" s="383"/>
      <c r="U382" s="383"/>
      <c r="V382" s="383"/>
      <c r="W382" s="578"/>
      <c r="X382" s="383"/>
      <c r="Y382" s="383"/>
      <c r="Z382" s="383"/>
    </row>
    <row r="383" ht="18.75" customHeight="1">
      <c r="A383" s="383"/>
      <c r="B383" s="383"/>
      <c r="C383" s="383"/>
      <c r="D383" s="383"/>
      <c r="E383" s="383"/>
      <c r="F383" s="536"/>
      <c r="G383" s="536"/>
      <c r="H383" s="383"/>
      <c r="I383" s="383"/>
      <c r="J383" s="383"/>
      <c r="K383" s="383"/>
      <c r="L383" s="383"/>
      <c r="M383" s="383"/>
      <c r="N383" s="383"/>
      <c r="O383" s="383"/>
      <c r="P383" s="383"/>
      <c r="Q383" s="383"/>
      <c r="R383" s="383"/>
      <c r="S383" s="383"/>
      <c r="T383" s="383"/>
      <c r="U383" s="383"/>
      <c r="V383" s="383"/>
      <c r="W383" s="578"/>
      <c r="X383" s="383"/>
      <c r="Y383" s="383"/>
      <c r="Z383" s="383"/>
    </row>
    <row r="384" ht="18.75" customHeight="1">
      <c r="A384" s="383"/>
      <c r="B384" s="383"/>
      <c r="C384" s="383"/>
      <c r="D384" s="383"/>
      <c r="E384" s="383"/>
      <c r="F384" s="536"/>
      <c r="G384" s="536"/>
      <c r="H384" s="383"/>
      <c r="I384" s="383"/>
      <c r="J384" s="383"/>
      <c r="K384" s="383"/>
      <c r="L384" s="383"/>
      <c r="M384" s="383"/>
      <c r="N384" s="383"/>
      <c r="O384" s="383"/>
      <c r="P384" s="383"/>
      <c r="Q384" s="383"/>
      <c r="R384" s="383"/>
      <c r="S384" s="383"/>
      <c r="T384" s="383"/>
      <c r="U384" s="383"/>
      <c r="V384" s="383"/>
      <c r="W384" s="578"/>
      <c r="X384" s="383"/>
      <c r="Y384" s="383"/>
      <c r="Z384" s="383"/>
    </row>
    <row r="385" ht="18.75" customHeight="1">
      <c r="A385" s="383"/>
      <c r="B385" s="383"/>
      <c r="C385" s="383"/>
      <c r="D385" s="383"/>
      <c r="E385" s="383"/>
      <c r="F385" s="536"/>
      <c r="G385" s="536"/>
      <c r="H385" s="383"/>
      <c r="I385" s="383"/>
      <c r="J385" s="383"/>
      <c r="K385" s="383"/>
      <c r="L385" s="383"/>
      <c r="M385" s="383"/>
      <c r="N385" s="383"/>
      <c r="O385" s="383"/>
      <c r="P385" s="383"/>
      <c r="Q385" s="383"/>
      <c r="R385" s="383"/>
      <c r="S385" s="383"/>
      <c r="T385" s="383"/>
      <c r="U385" s="383"/>
      <c r="V385" s="383"/>
      <c r="W385" s="578"/>
      <c r="X385" s="383"/>
      <c r="Y385" s="383"/>
      <c r="Z385" s="383"/>
    </row>
    <row r="386" ht="18.75" customHeight="1">
      <c r="A386" s="383"/>
      <c r="B386" s="383"/>
      <c r="C386" s="383"/>
      <c r="D386" s="383"/>
      <c r="E386" s="383"/>
      <c r="F386" s="536"/>
      <c r="G386" s="536"/>
      <c r="H386" s="383"/>
      <c r="I386" s="383"/>
      <c r="J386" s="383"/>
      <c r="K386" s="383"/>
      <c r="L386" s="383"/>
      <c r="M386" s="383"/>
      <c r="N386" s="383"/>
      <c r="O386" s="383"/>
      <c r="P386" s="383"/>
      <c r="Q386" s="383"/>
      <c r="R386" s="383"/>
      <c r="S386" s="383"/>
      <c r="T386" s="383"/>
      <c r="U386" s="383"/>
      <c r="V386" s="383"/>
      <c r="W386" s="578"/>
      <c r="X386" s="383"/>
      <c r="Y386" s="383"/>
      <c r="Z386" s="383"/>
    </row>
    <row r="387" ht="18.75" customHeight="1">
      <c r="A387" s="383"/>
      <c r="B387" s="383"/>
      <c r="C387" s="383"/>
      <c r="D387" s="383"/>
      <c r="E387" s="383"/>
      <c r="F387" s="536"/>
      <c r="G387" s="536"/>
      <c r="H387" s="383"/>
      <c r="I387" s="383"/>
      <c r="J387" s="383"/>
      <c r="K387" s="383"/>
      <c r="L387" s="383"/>
      <c r="M387" s="383"/>
      <c r="N387" s="383"/>
      <c r="O387" s="383"/>
      <c r="P387" s="383"/>
      <c r="Q387" s="383"/>
      <c r="R387" s="383"/>
      <c r="S387" s="383"/>
      <c r="T387" s="383"/>
      <c r="U387" s="383"/>
      <c r="V387" s="383"/>
      <c r="W387" s="578"/>
      <c r="X387" s="383"/>
      <c r="Y387" s="383"/>
      <c r="Z387" s="383"/>
    </row>
    <row r="388" ht="18.75" customHeight="1">
      <c r="A388" s="383"/>
      <c r="B388" s="383"/>
      <c r="C388" s="383"/>
      <c r="D388" s="383"/>
      <c r="E388" s="383"/>
      <c r="F388" s="536"/>
      <c r="G388" s="536"/>
      <c r="H388" s="383"/>
      <c r="I388" s="383"/>
      <c r="J388" s="383"/>
      <c r="K388" s="383"/>
      <c r="L388" s="383"/>
      <c r="M388" s="383"/>
      <c r="N388" s="383"/>
      <c r="O388" s="383"/>
      <c r="P388" s="383"/>
      <c r="Q388" s="383"/>
      <c r="R388" s="383"/>
      <c r="S388" s="383"/>
      <c r="T388" s="383"/>
      <c r="U388" s="383"/>
      <c r="V388" s="383"/>
      <c r="W388" s="578"/>
      <c r="X388" s="383"/>
      <c r="Y388" s="383"/>
      <c r="Z388" s="383"/>
    </row>
    <row r="389" ht="18.75" customHeight="1">
      <c r="A389" s="383"/>
      <c r="B389" s="383"/>
      <c r="C389" s="383"/>
      <c r="D389" s="383"/>
      <c r="E389" s="383"/>
      <c r="F389" s="536"/>
      <c r="G389" s="536"/>
      <c r="H389" s="383"/>
      <c r="I389" s="383"/>
      <c r="J389" s="383"/>
      <c r="K389" s="383"/>
      <c r="L389" s="383"/>
      <c r="M389" s="383"/>
      <c r="N389" s="383"/>
      <c r="O389" s="383"/>
      <c r="P389" s="383"/>
      <c r="Q389" s="383"/>
      <c r="R389" s="383"/>
      <c r="S389" s="383"/>
      <c r="T389" s="383"/>
      <c r="U389" s="383"/>
      <c r="V389" s="383"/>
      <c r="W389" s="578"/>
      <c r="X389" s="383"/>
      <c r="Y389" s="383"/>
      <c r="Z389" s="383"/>
    </row>
    <row r="390" ht="18.75" customHeight="1">
      <c r="A390" s="383"/>
      <c r="B390" s="383"/>
      <c r="C390" s="383"/>
      <c r="D390" s="383"/>
      <c r="E390" s="383"/>
      <c r="F390" s="536"/>
      <c r="G390" s="536"/>
      <c r="H390" s="383"/>
      <c r="I390" s="383"/>
      <c r="J390" s="383"/>
      <c r="K390" s="383"/>
      <c r="L390" s="383"/>
      <c r="M390" s="383"/>
      <c r="N390" s="383"/>
      <c r="O390" s="383"/>
      <c r="P390" s="383"/>
      <c r="Q390" s="383"/>
      <c r="R390" s="383"/>
      <c r="S390" s="383"/>
      <c r="T390" s="383"/>
      <c r="U390" s="383"/>
      <c r="V390" s="383"/>
      <c r="W390" s="578"/>
      <c r="X390" s="383"/>
      <c r="Y390" s="383"/>
      <c r="Z390" s="383"/>
    </row>
    <row r="391" ht="18.75" customHeight="1">
      <c r="A391" s="383"/>
      <c r="B391" s="383"/>
      <c r="C391" s="383"/>
      <c r="D391" s="383"/>
      <c r="E391" s="383"/>
      <c r="F391" s="536"/>
      <c r="G391" s="536"/>
      <c r="H391" s="383"/>
      <c r="I391" s="383"/>
      <c r="J391" s="383"/>
      <c r="K391" s="383"/>
      <c r="L391" s="383"/>
      <c r="M391" s="383"/>
      <c r="N391" s="383"/>
      <c r="O391" s="383"/>
      <c r="P391" s="383"/>
      <c r="Q391" s="383"/>
      <c r="R391" s="383"/>
      <c r="S391" s="383"/>
      <c r="T391" s="383"/>
      <c r="U391" s="383"/>
      <c r="V391" s="383"/>
      <c r="W391" s="578"/>
      <c r="X391" s="383"/>
      <c r="Y391" s="383"/>
      <c r="Z391" s="383"/>
    </row>
    <row r="392" ht="18.75" customHeight="1">
      <c r="A392" s="383"/>
      <c r="B392" s="383"/>
      <c r="C392" s="383"/>
      <c r="D392" s="383"/>
      <c r="E392" s="383"/>
      <c r="F392" s="536"/>
      <c r="G392" s="536"/>
      <c r="H392" s="383"/>
      <c r="I392" s="383"/>
      <c r="J392" s="383"/>
      <c r="K392" s="383"/>
      <c r="L392" s="383"/>
      <c r="M392" s="383"/>
      <c r="N392" s="383"/>
      <c r="O392" s="383"/>
      <c r="P392" s="383"/>
      <c r="Q392" s="383"/>
      <c r="R392" s="383"/>
      <c r="S392" s="383"/>
      <c r="T392" s="383"/>
      <c r="U392" s="383"/>
      <c r="V392" s="383"/>
      <c r="W392" s="578"/>
      <c r="X392" s="383"/>
      <c r="Y392" s="383"/>
      <c r="Z392" s="383"/>
    </row>
    <row r="393" ht="18.75" customHeight="1">
      <c r="A393" s="383"/>
      <c r="B393" s="383"/>
      <c r="C393" s="383"/>
      <c r="D393" s="383"/>
      <c r="E393" s="383"/>
      <c r="F393" s="536"/>
      <c r="G393" s="536"/>
      <c r="H393" s="383"/>
      <c r="I393" s="383"/>
      <c r="J393" s="383"/>
      <c r="K393" s="383"/>
      <c r="L393" s="383"/>
      <c r="M393" s="383"/>
      <c r="N393" s="383"/>
      <c r="O393" s="383"/>
      <c r="P393" s="383"/>
      <c r="Q393" s="383"/>
      <c r="R393" s="383"/>
      <c r="S393" s="383"/>
      <c r="T393" s="383"/>
      <c r="U393" s="383"/>
      <c r="V393" s="383"/>
      <c r="W393" s="578"/>
      <c r="X393" s="383"/>
      <c r="Y393" s="383"/>
      <c r="Z393" s="383"/>
    </row>
    <row r="394" ht="18.75" customHeight="1">
      <c r="A394" s="383"/>
      <c r="B394" s="383"/>
      <c r="C394" s="383"/>
      <c r="D394" s="383"/>
      <c r="E394" s="383"/>
      <c r="F394" s="536"/>
      <c r="G394" s="536"/>
      <c r="H394" s="383"/>
      <c r="I394" s="383"/>
      <c r="J394" s="383"/>
      <c r="K394" s="383"/>
      <c r="L394" s="383"/>
      <c r="M394" s="383"/>
      <c r="N394" s="383"/>
      <c r="O394" s="383"/>
      <c r="P394" s="383"/>
      <c r="Q394" s="383"/>
      <c r="R394" s="383"/>
      <c r="S394" s="383"/>
      <c r="T394" s="383"/>
      <c r="U394" s="383"/>
      <c r="V394" s="383"/>
      <c r="W394" s="578"/>
      <c r="X394" s="383"/>
      <c r="Y394" s="383"/>
      <c r="Z394" s="383"/>
    </row>
    <row r="395" ht="18.75" customHeight="1">
      <c r="A395" s="383"/>
      <c r="B395" s="383"/>
      <c r="C395" s="383"/>
      <c r="D395" s="383"/>
      <c r="E395" s="383"/>
      <c r="F395" s="536"/>
      <c r="G395" s="536"/>
      <c r="H395" s="383"/>
      <c r="I395" s="383"/>
      <c r="J395" s="383"/>
      <c r="K395" s="383"/>
      <c r="L395" s="383"/>
      <c r="M395" s="383"/>
      <c r="N395" s="383"/>
      <c r="O395" s="383"/>
      <c r="P395" s="383"/>
      <c r="Q395" s="383"/>
      <c r="R395" s="383"/>
      <c r="S395" s="383"/>
      <c r="T395" s="383"/>
      <c r="U395" s="383"/>
      <c r="V395" s="383"/>
      <c r="W395" s="578"/>
      <c r="X395" s="383"/>
      <c r="Y395" s="383"/>
      <c r="Z395" s="383"/>
    </row>
    <row r="396" ht="18.75" customHeight="1">
      <c r="A396" s="383"/>
      <c r="B396" s="383"/>
      <c r="C396" s="383"/>
      <c r="D396" s="383"/>
      <c r="E396" s="383"/>
      <c r="F396" s="536"/>
      <c r="G396" s="536"/>
      <c r="H396" s="383"/>
      <c r="I396" s="383"/>
      <c r="J396" s="383"/>
      <c r="K396" s="383"/>
      <c r="L396" s="383"/>
      <c r="M396" s="383"/>
      <c r="N396" s="383"/>
      <c r="O396" s="383"/>
      <c r="P396" s="383"/>
      <c r="Q396" s="383"/>
      <c r="R396" s="383"/>
      <c r="S396" s="383"/>
      <c r="T396" s="383"/>
      <c r="U396" s="383"/>
      <c r="V396" s="383"/>
      <c r="W396" s="578"/>
      <c r="X396" s="383"/>
      <c r="Y396" s="383"/>
      <c r="Z396" s="383"/>
    </row>
    <row r="397" ht="18.75" customHeight="1">
      <c r="A397" s="383"/>
      <c r="B397" s="383"/>
      <c r="C397" s="383"/>
      <c r="D397" s="383"/>
      <c r="E397" s="383"/>
      <c r="F397" s="536"/>
      <c r="G397" s="536"/>
      <c r="H397" s="383"/>
      <c r="I397" s="383"/>
      <c r="J397" s="383"/>
      <c r="K397" s="383"/>
      <c r="L397" s="383"/>
      <c r="M397" s="383"/>
      <c r="N397" s="383"/>
      <c r="O397" s="383"/>
      <c r="P397" s="383"/>
      <c r="Q397" s="383"/>
      <c r="R397" s="383"/>
      <c r="S397" s="383"/>
      <c r="T397" s="383"/>
      <c r="U397" s="383"/>
      <c r="V397" s="383"/>
      <c r="W397" s="578"/>
      <c r="X397" s="383"/>
      <c r="Y397" s="383"/>
      <c r="Z397" s="383"/>
    </row>
    <row r="398" ht="18.75" customHeight="1">
      <c r="A398" s="383"/>
      <c r="B398" s="383"/>
      <c r="C398" s="383"/>
      <c r="D398" s="383"/>
      <c r="E398" s="383"/>
      <c r="F398" s="536"/>
      <c r="G398" s="536"/>
      <c r="H398" s="383"/>
      <c r="I398" s="383"/>
      <c r="J398" s="383"/>
      <c r="K398" s="383"/>
      <c r="L398" s="383"/>
      <c r="M398" s="383"/>
      <c r="N398" s="383"/>
      <c r="O398" s="383"/>
      <c r="P398" s="383"/>
      <c r="Q398" s="383"/>
      <c r="R398" s="383"/>
      <c r="S398" s="383"/>
      <c r="T398" s="383"/>
      <c r="U398" s="383"/>
      <c r="V398" s="383"/>
      <c r="W398" s="578"/>
      <c r="X398" s="383"/>
      <c r="Y398" s="383"/>
      <c r="Z398" s="383"/>
    </row>
    <row r="399" ht="18.75" customHeight="1">
      <c r="A399" s="383"/>
      <c r="B399" s="383"/>
      <c r="C399" s="383"/>
      <c r="D399" s="383"/>
      <c r="E399" s="383"/>
      <c r="F399" s="536"/>
      <c r="G399" s="536"/>
      <c r="H399" s="383"/>
      <c r="I399" s="383"/>
      <c r="J399" s="383"/>
      <c r="K399" s="383"/>
      <c r="L399" s="383"/>
      <c r="M399" s="383"/>
      <c r="N399" s="383"/>
      <c r="O399" s="383"/>
      <c r="P399" s="383"/>
      <c r="Q399" s="383"/>
      <c r="R399" s="383"/>
      <c r="S399" s="383"/>
      <c r="T399" s="383"/>
      <c r="U399" s="383"/>
      <c r="V399" s="383"/>
      <c r="W399" s="578"/>
      <c r="X399" s="383"/>
      <c r="Y399" s="383"/>
      <c r="Z399" s="383"/>
    </row>
    <row r="400" ht="18.75" customHeight="1">
      <c r="A400" s="383"/>
      <c r="B400" s="383"/>
      <c r="C400" s="383"/>
      <c r="D400" s="383"/>
      <c r="E400" s="383"/>
      <c r="F400" s="536"/>
      <c r="G400" s="536"/>
      <c r="H400" s="383"/>
      <c r="I400" s="383"/>
      <c r="J400" s="383"/>
      <c r="K400" s="383"/>
      <c r="L400" s="383"/>
      <c r="M400" s="383"/>
      <c r="N400" s="383"/>
      <c r="O400" s="383"/>
      <c r="P400" s="383"/>
      <c r="Q400" s="383"/>
      <c r="R400" s="383"/>
      <c r="S400" s="383"/>
      <c r="T400" s="383"/>
      <c r="U400" s="383"/>
      <c r="V400" s="383"/>
      <c r="W400" s="578"/>
      <c r="X400" s="383"/>
      <c r="Y400" s="383"/>
      <c r="Z400" s="383"/>
    </row>
    <row r="401" ht="18.75" customHeight="1">
      <c r="A401" s="383"/>
      <c r="B401" s="383"/>
      <c r="C401" s="383"/>
      <c r="D401" s="383"/>
      <c r="E401" s="383"/>
      <c r="F401" s="536"/>
      <c r="G401" s="536"/>
      <c r="H401" s="383"/>
      <c r="I401" s="383"/>
      <c r="J401" s="383"/>
      <c r="K401" s="383"/>
      <c r="L401" s="383"/>
      <c r="M401" s="383"/>
      <c r="N401" s="383"/>
      <c r="O401" s="383"/>
      <c r="P401" s="383"/>
      <c r="Q401" s="383"/>
      <c r="R401" s="383"/>
      <c r="S401" s="383"/>
      <c r="T401" s="383"/>
      <c r="U401" s="383"/>
      <c r="V401" s="383"/>
      <c r="W401" s="578"/>
      <c r="X401" s="383"/>
      <c r="Y401" s="383"/>
      <c r="Z401" s="383"/>
    </row>
    <row r="402" ht="18.75" customHeight="1">
      <c r="A402" s="383"/>
      <c r="B402" s="383"/>
      <c r="C402" s="383"/>
      <c r="D402" s="383"/>
      <c r="E402" s="383"/>
      <c r="F402" s="536"/>
      <c r="G402" s="536"/>
      <c r="H402" s="383"/>
      <c r="I402" s="383"/>
      <c r="J402" s="383"/>
      <c r="K402" s="383"/>
      <c r="L402" s="383"/>
      <c r="M402" s="383"/>
      <c r="N402" s="383"/>
      <c r="O402" s="383"/>
      <c r="P402" s="383"/>
      <c r="Q402" s="383"/>
      <c r="R402" s="383"/>
      <c r="S402" s="383"/>
      <c r="T402" s="383"/>
      <c r="U402" s="383"/>
      <c r="V402" s="383"/>
      <c r="W402" s="578"/>
      <c r="X402" s="383"/>
      <c r="Y402" s="383"/>
      <c r="Z402" s="383"/>
    </row>
    <row r="403" ht="18.75" customHeight="1">
      <c r="A403" s="383"/>
      <c r="B403" s="383"/>
      <c r="C403" s="383"/>
      <c r="D403" s="383"/>
      <c r="E403" s="383"/>
      <c r="F403" s="536"/>
      <c r="G403" s="536"/>
      <c r="H403" s="383"/>
      <c r="I403" s="383"/>
      <c r="J403" s="383"/>
      <c r="K403" s="383"/>
      <c r="L403" s="383"/>
      <c r="M403" s="383"/>
      <c r="N403" s="383"/>
      <c r="O403" s="383"/>
      <c r="P403" s="383"/>
      <c r="Q403" s="383"/>
      <c r="R403" s="383"/>
      <c r="S403" s="383"/>
      <c r="T403" s="383"/>
      <c r="U403" s="383"/>
      <c r="V403" s="383"/>
      <c r="W403" s="578"/>
      <c r="X403" s="383"/>
      <c r="Y403" s="383"/>
      <c r="Z403" s="383"/>
    </row>
    <row r="404" ht="18.75" customHeight="1">
      <c r="A404" s="383"/>
      <c r="B404" s="383"/>
      <c r="C404" s="383"/>
      <c r="D404" s="383"/>
      <c r="E404" s="383"/>
      <c r="F404" s="536"/>
      <c r="G404" s="536"/>
      <c r="H404" s="383"/>
      <c r="I404" s="383"/>
      <c r="J404" s="383"/>
      <c r="K404" s="383"/>
      <c r="L404" s="383"/>
      <c r="M404" s="383"/>
      <c r="N404" s="383"/>
      <c r="O404" s="383"/>
      <c r="P404" s="383"/>
      <c r="Q404" s="383"/>
      <c r="R404" s="383"/>
      <c r="S404" s="383"/>
      <c r="T404" s="383"/>
      <c r="U404" s="383"/>
      <c r="V404" s="383"/>
      <c r="W404" s="578"/>
      <c r="X404" s="383"/>
      <c r="Y404" s="383"/>
      <c r="Z404" s="383"/>
    </row>
    <row r="405" ht="18.75" customHeight="1">
      <c r="A405" s="383"/>
      <c r="B405" s="383"/>
      <c r="C405" s="383"/>
      <c r="D405" s="383"/>
      <c r="E405" s="383"/>
      <c r="F405" s="536"/>
      <c r="G405" s="536"/>
      <c r="H405" s="383"/>
      <c r="I405" s="383"/>
      <c r="J405" s="383"/>
      <c r="K405" s="383"/>
      <c r="L405" s="383"/>
      <c r="M405" s="383"/>
      <c r="N405" s="383"/>
      <c r="O405" s="383"/>
      <c r="P405" s="383"/>
      <c r="Q405" s="383"/>
      <c r="R405" s="383"/>
      <c r="S405" s="383"/>
      <c r="T405" s="383"/>
      <c r="U405" s="383"/>
      <c r="V405" s="383"/>
      <c r="W405" s="578"/>
      <c r="X405" s="383"/>
      <c r="Y405" s="383"/>
      <c r="Z405" s="383"/>
    </row>
    <row r="406" ht="18.75" customHeight="1">
      <c r="A406" s="383"/>
      <c r="B406" s="383"/>
      <c r="C406" s="383"/>
      <c r="D406" s="383"/>
      <c r="E406" s="383"/>
      <c r="F406" s="536"/>
      <c r="G406" s="536"/>
      <c r="H406" s="383"/>
      <c r="I406" s="383"/>
      <c r="J406" s="383"/>
      <c r="K406" s="383"/>
      <c r="L406" s="383"/>
      <c r="M406" s="383"/>
      <c r="N406" s="383"/>
      <c r="O406" s="383"/>
      <c r="P406" s="383"/>
      <c r="Q406" s="383"/>
      <c r="R406" s="383"/>
      <c r="S406" s="383"/>
      <c r="T406" s="383"/>
      <c r="U406" s="383"/>
      <c r="V406" s="383"/>
      <c r="W406" s="578"/>
      <c r="X406" s="383"/>
      <c r="Y406" s="383"/>
      <c r="Z406" s="383"/>
    </row>
    <row r="407" ht="18.75" customHeight="1">
      <c r="A407" s="383"/>
      <c r="B407" s="383"/>
      <c r="C407" s="383"/>
      <c r="D407" s="383"/>
      <c r="E407" s="383"/>
      <c r="F407" s="536"/>
      <c r="G407" s="536"/>
      <c r="H407" s="383"/>
      <c r="I407" s="383"/>
      <c r="J407" s="383"/>
      <c r="K407" s="383"/>
      <c r="L407" s="383"/>
      <c r="M407" s="383"/>
      <c r="N407" s="383"/>
      <c r="O407" s="383"/>
      <c r="P407" s="383"/>
      <c r="Q407" s="383"/>
      <c r="R407" s="383"/>
      <c r="S407" s="383"/>
      <c r="T407" s="383"/>
      <c r="U407" s="383"/>
      <c r="V407" s="383"/>
      <c r="W407" s="578"/>
      <c r="X407" s="383"/>
      <c r="Y407" s="383"/>
      <c r="Z407" s="383"/>
    </row>
    <row r="408" ht="18.75" customHeight="1">
      <c r="A408" s="383"/>
      <c r="B408" s="383"/>
      <c r="C408" s="383"/>
      <c r="D408" s="383"/>
      <c r="E408" s="383"/>
      <c r="F408" s="536"/>
      <c r="G408" s="536"/>
      <c r="H408" s="383"/>
      <c r="I408" s="383"/>
      <c r="J408" s="383"/>
      <c r="K408" s="383"/>
      <c r="L408" s="383"/>
      <c r="M408" s="383"/>
      <c r="N408" s="383"/>
      <c r="O408" s="383"/>
      <c r="P408" s="383"/>
      <c r="Q408" s="383"/>
      <c r="R408" s="383"/>
      <c r="S408" s="383"/>
      <c r="T408" s="383"/>
      <c r="U408" s="383"/>
      <c r="V408" s="383"/>
      <c r="W408" s="578"/>
      <c r="X408" s="383"/>
      <c r="Y408" s="383"/>
      <c r="Z408" s="383"/>
    </row>
    <row r="409" ht="18.75" customHeight="1">
      <c r="A409" s="383"/>
      <c r="B409" s="383"/>
      <c r="C409" s="383"/>
      <c r="D409" s="383"/>
      <c r="E409" s="383"/>
      <c r="F409" s="536"/>
      <c r="G409" s="536"/>
      <c r="H409" s="383"/>
      <c r="I409" s="383"/>
      <c r="J409" s="383"/>
      <c r="K409" s="383"/>
      <c r="L409" s="383"/>
      <c r="M409" s="383"/>
      <c r="N409" s="383"/>
      <c r="O409" s="383"/>
      <c r="P409" s="383"/>
      <c r="Q409" s="383"/>
      <c r="R409" s="383"/>
      <c r="S409" s="383"/>
      <c r="T409" s="383"/>
      <c r="U409" s="383"/>
      <c r="V409" s="383"/>
      <c r="W409" s="578"/>
      <c r="X409" s="383"/>
      <c r="Y409" s="383"/>
      <c r="Z409" s="383"/>
    </row>
    <row r="410" ht="18.75" customHeight="1">
      <c r="A410" s="383"/>
      <c r="B410" s="383"/>
      <c r="C410" s="383"/>
      <c r="D410" s="383"/>
      <c r="E410" s="383"/>
      <c r="F410" s="536"/>
      <c r="G410" s="536"/>
      <c r="H410" s="383"/>
      <c r="I410" s="383"/>
      <c r="J410" s="383"/>
      <c r="K410" s="383"/>
      <c r="L410" s="383"/>
      <c r="M410" s="383"/>
      <c r="N410" s="383"/>
      <c r="O410" s="383"/>
      <c r="P410" s="383"/>
      <c r="Q410" s="383"/>
      <c r="R410" s="383"/>
      <c r="S410" s="383"/>
      <c r="T410" s="383"/>
      <c r="U410" s="383"/>
      <c r="V410" s="383"/>
      <c r="W410" s="578"/>
      <c r="X410" s="383"/>
      <c r="Y410" s="383"/>
      <c r="Z410" s="383"/>
    </row>
    <row r="411" ht="18.75" customHeight="1">
      <c r="A411" s="383"/>
      <c r="B411" s="383"/>
      <c r="C411" s="383"/>
      <c r="D411" s="383"/>
      <c r="E411" s="383"/>
      <c r="F411" s="536"/>
      <c r="G411" s="536"/>
      <c r="H411" s="383"/>
      <c r="I411" s="383"/>
      <c r="J411" s="383"/>
      <c r="K411" s="383"/>
      <c r="L411" s="383"/>
      <c r="M411" s="383"/>
      <c r="N411" s="383"/>
      <c r="O411" s="383"/>
      <c r="P411" s="383"/>
      <c r="Q411" s="383"/>
      <c r="R411" s="383"/>
      <c r="S411" s="383"/>
      <c r="T411" s="383"/>
      <c r="U411" s="383"/>
      <c r="V411" s="383"/>
      <c r="W411" s="578"/>
      <c r="X411" s="383"/>
      <c r="Y411" s="383"/>
      <c r="Z411" s="383"/>
    </row>
    <row r="412" ht="18.75" customHeight="1">
      <c r="A412" s="383"/>
      <c r="B412" s="383"/>
      <c r="C412" s="383"/>
      <c r="D412" s="383"/>
      <c r="E412" s="383"/>
      <c r="F412" s="536"/>
      <c r="G412" s="536"/>
      <c r="H412" s="383"/>
      <c r="I412" s="383"/>
      <c r="J412" s="383"/>
      <c r="K412" s="383"/>
      <c r="L412" s="383"/>
      <c r="M412" s="383"/>
      <c r="N412" s="383"/>
      <c r="O412" s="383"/>
      <c r="P412" s="383"/>
      <c r="Q412" s="383"/>
      <c r="R412" s="383"/>
      <c r="S412" s="383"/>
      <c r="T412" s="383"/>
      <c r="U412" s="383"/>
      <c r="V412" s="383"/>
      <c r="W412" s="578"/>
      <c r="X412" s="383"/>
      <c r="Y412" s="383"/>
      <c r="Z412" s="383"/>
    </row>
    <row r="413" ht="18.75" customHeight="1">
      <c r="A413" s="383"/>
      <c r="B413" s="383"/>
      <c r="C413" s="383"/>
      <c r="D413" s="383"/>
      <c r="E413" s="383"/>
      <c r="F413" s="536"/>
      <c r="G413" s="536"/>
      <c r="H413" s="383"/>
      <c r="I413" s="383"/>
      <c r="J413" s="383"/>
      <c r="K413" s="383"/>
      <c r="L413" s="383"/>
      <c r="M413" s="383"/>
      <c r="N413" s="383"/>
      <c r="O413" s="383"/>
      <c r="P413" s="383"/>
      <c r="Q413" s="383"/>
      <c r="R413" s="383"/>
      <c r="S413" s="383"/>
      <c r="T413" s="383"/>
      <c r="U413" s="383"/>
      <c r="V413" s="383"/>
      <c r="W413" s="578"/>
      <c r="X413" s="383"/>
      <c r="Y413" s="383"/>
      <c r="Z413" s="383"/>
    </row>
    <row r="414" ht="18.75" customHeight="1">
      <c r="A414" s="383"/>
      <c r="B414" s="383"/>
      <c r="C414" s="383"/>
      <c r="D414" s="383"/>
      <c r="E414" s="383"/>
      <c r="F414" s="536"/>
      <c r="G414" s="536"/>
      <c r="H414" s="383"/>
      <c r="I414" s="383"/>
      <c r="J414" s="383"/>
      <c r="K414" s="383"/>
      <c r="L414" s="383"/>
      <c r="M414" s="383"/>
      <c r="N414" s="383"/>
      <c r="O414" s="383"/>
      <c r="P414" s="383"/>
      <c r="Q414" s="383"/>
      <c r="R414" s="383"/>
      <c r="S414" s="383"/>
      <c r="T414" s="383"/>
      <c r="U414" s="383"/>
      <c r="V414" s="383"/>
      <c r="W414" s="578"/>
      <c r="X414" s="383"/>
      <c r="Y414" s="383"/>
      <c r="Z414" s="383"/>
    </row>
    <row r="415" ht="18.75" customHeight="1">
      <c r="A415" s="383"/>
      <c r="B415" s="383"/>
      <c r="C415" s="383"/>
      <c r="D415" s="383"/>
      <c r="E415" s="383"/>
      <c r="F415" s="536"/>
      <c r="G415" s="536"/>
      <c r="H415" s="383"/>
      <c r="I415" s="383"/>
      <c r="J415" s="383"/>
      <c r="K415" s="383"/>
      <c r="L415" s="383"/>
      <c r="M415" s="383"/>
      <c r="N415" s="383"/>
      <c r="O415" s="383"/>
      <c r="P415" s="383"/>
      <c r="Q415" s="383"/>
      <c r="R415" s="383"/>
      <c r="S415" s="383"/>
      <c r="T415" s="383"/>
      <c r="U415" s="383"/>
      <c r="V415" s="383"/>
      <c r="W415" s="578"/>
      <c r="X415" s="383"/>
      <c r="Y415" s="383"/>
      <c r="Z415" s="383"/>
    </row>
    <row r="416" ht="18.75" customHeight="1">
      <c r="A416" s="383"/>
      <c r="B416" s="383"/>
      <c r="C416" s="383"/>
      <c r="D416" s="383"/>
      <c r="E416" s="383"/>
      <c r="F416" s="536"/>
      <c r="G416" s="536"/>
      <c r="H416" s="383"/>
      <c r="I416" s="383"/>
      <c r="J416" s="383"/>
      <c r="K416" s="383"/>
      <c r="L416" s="383"/>
      <c r="M416" s="383"/>
      <c r="N416" s="383"/>
      <c r="O416" s="383"/>
      <c r="P416" s="383"/>
      <c r="Q416" s="383"/>
      <c r="R416" s="383"/>
      <c r="S416" s="383"/>
      <c r="T416" s="383"/>
      <c r="U416" s="383"/>
      <c r="V416" s="383"/>
      <c r="W416" s="578"/>
      <c r="X416" s="383"/>
      <c r="Y416" s="383"/>
      <c r="Z416" s="383"/>
    </row>
    <row r="417" ht="18.75" customHeight="1">
      <c r="A417" s="383"/>
      <c r="B417" s="383"/>
      <c r="C417" s="383"/>
      <c r="D417" s="383"/>
      <c r="E417" s="383"/>
      <c r="F417" s="536"/>
      <c r="G417" s="536"/>
      <c r="H417" s="383"/>
      <c r="I417" s="383"/>
      <c r="J417" s="383"/>
      <c r="K417" s="383"/>
      <c r="L417" s="383"/>
      <c r="M417" s="383"/>
      <c r="N417" s="383"/>
      <c r="O417" s="383"/>
      <c r="P417" s="383"/>
      <c r="Q417" s="383"/>
      <c r="R417" s="383"/>
      <c r="S417" s="383"/>
      <c r="T417" s="383"/>
      <c r="U417" s="383"/>
      <c r="V417" s="383"/>
      <c r="W417" s="578"/>
      <c r="X417" s="383"/>
      <c r="Y417" s="383"/>
      <c r="Z417" s="383"/>
    </row>
    <row r="418" ht="18.75" customHeight="1">
      <c r="A418" s="383"/>
      <c r="B418" s="383"/>
      <c r="C418" s="383"/>
      <c r="D418" s="383"/>
      <c r="E418" s="383"/>
      <c r="F418" s="536"/>
      <c r="G418" s="536"/>
      <c r="H418" s="383"/>
      <c r="I418" s="383"/>
      <c r="J418" s="383"/>
      <c r="K418" s="383"/>
      <c r="L418" s="383"/>
      <c r="M418" s="383"/>
      <c r="N418" s="383"/>
      <c r="O418" s="383"/>
      <c r="P418" s="383"/>
      <c r="Q418" s="383"/>
      <c r="R418" s="383"/>
      <c r="S418" s="383"/>
      <c r="T418" s="383"/>
      <c r="U418" s="383"/>
      <c r="V418" s="383"/>
      <c r="W418" s="578"/>
      <c r="X418" s="383"/>
      <c r="Y418" s="383"/>
      <c r="Z418" s="383"/>
    </row>
    <row r="419" ht="18.75" customHeight="1">
      <c r="A419" s="383"/>
      <c r="B419" s="383"/>
      <c r="C419" s="383"/>
      <c r="D419" s="383"/>
      <c r="E419" s="383"/>
      <c r="F419" s="536"/>
      <c r="G419" s="536"/>
      <c r="H419" s="383"/>
      <c r="I419" s="383"/>
      <c r="J419" s="383"/>
      <c r="K419" s="383"/>
      <c r="L419" s="383"/>
      <c r="M419" s="383"/>
      <c r="N419" s="383"/>
      <c r="O419" s="383"/>
      <c r="P419" s="383"/>
      <c r="Q419" s="383"/>
      <c r="R419" s="383"/>
      <c r="S419" s="383"/>
      <c r="T419" s="383"/>
      <c r="U419" s="383"/>
      <c r="V419" s="383"/>
      <c r="W419" s="578"/>
      <c r="X419" s="383"/>
      <c r="Y419" s="383"/>
      <c r="Z419" s="383"/>
    </row>
    <row r="420" ht="18.75" customHeight="1">
      <c r="A420" s="383"/>
      <c r="B420" s="383"/>
      <c r="C420" s="383"/>
      <c r="D420" s="383"/>
      <c r="E420" s="383"/>
      <c r="F420" s="536"/>
      <c r="G420" s="536"/>
      <c r="H420" s="383"/>
      <c r="I420" s="383"/>
      <c r="J420" s="383"/>
      <c r="K420" s="383"/>
      <c r="L420" s="383"/>
      <c r="M420" s="383"/>
      <c r="N420" s="383"/>
      <c r="O420" s="383"/>
      <c r="P420" s="383"/>
      <c r="Q420" s="383"/>
      <c r="R420" s="383"/>
      <c r="S420" s="383"/>
      <c r="T420" s="383"/>
      <c r="U420" s="383"/>
      <c r="V420" s="383"/>
      <c r="W420" s="578"/>
      <c r="X420" s="383"/>
      <c r="Y420" s="383"/>
      <c r="Z420" s="383"/>
    </row>
    <row r="421" ht="18.75" customHeight="1">
      <c r="A421" s="383"/>
      <c r="B421" s="383"/>
      <c r="C421" s="383"/>
      <c r="D421" s="383"/>
      <c r="E421" s="383"/>
      <c r="F421" s="536"/>
      <c r="G421" s="536"/>
      <c r="H421" s="383"/>
      <c r="I421" s="383"/>
      <c r="J421" s="383"/>
      <c r="K421" s="383"/>
      <c r="L421" s="383"/>
      <c r="M421" s="383"/>
      <c r="N421" s="383"/>
      <c r="O421" s="383"/>
      <c r="P421" s="383"/>
      <c r="Q421" s="383"/>
      <c r="R421" s="383"/>
      <c r="S421" s="383"/>
      <c r="T421" s="383"/>
      <c r="U421" s="383"/>
      <c r="V421" s="383"/>
      <c r="W421" s="578"/>
      <c r="X421" s="383"/>
      <c r="Y421" s="383"/>
      <c r="Z421" s="383"/>
    </row>
    <row r="422" ht="18.75" customHeight="1">
      <c r="A422" s="383"/>
      <c r="B422" s="383"/>
      <c r="C422" s="383"/>
      <c r="D422" s="383"/>
      <c r="E422" s="383"/>
      <c r="F422" s="536"/>
      <c r="G422" s="536"/>
      <c r="H422" s="383"/>
      <c r="I422" s="383"/>
      <c r="J422" s="383"/>
      <c r="K422" s="383"/>
      <c r="L422" s="383"/>
      <c r="M422" s="383"/>
      <c r="N422" s="383"/>
      <c r="O422" s="383"/>
      <c r="P422" s="383"/>
      <c r="Q422" s="383"/>
      <c r="R422" s="383"/>
      <c r="S422" s="383"/>
      <c r="T422" s="383"/>
      <c r="U422" s="383"/>
      <c r="V422" s="383"/>
      <c r="W422" s="578"/>
      <c r="X422" s="383"/>
      <c r="Y422" s="383"/>
      <c r="Z422" s="383"/>
    </row>
    <row r="423" ht="18.75" customHeight="1">
      <c r="A423" s="383"/>
      <c r="B423" s="383"/>
      <c r="C423" s="383"/>
      <c r="D423" s="383"/>
      <c r="E423" s="383"/>
      <c r="F423" s="536"/>
      <c r="G423" s="536"/>
      <c r="H423" s="383"/>
      <c r="I423" s="383"/>
      <c r="J423" s="383"/>
      <c r="K423" s="383"/>
      <c r="L423" s="383"/>
      <c r="M423" s="383"/>
      <c r="N423" s="383"/>
      <c r="O423" s="383"/>
      <c r="P423" s="383"/>
      <c r="Q423" s="383"/>
      <c r="R423" s="383"/>
      <c r="S423" s="383"/>
      <c r="T423" s="383"/>
      <c r="U423" s="383"/>
      <c r="V423" s="383"/>
      <c r="W423" s="578"/>
      <c r="X423" s="383"/>
      <c r="Y423" s="383"/>
      <c r="Z423" s="383"/>
    </row>
    <row r="424" ht="18.75" customHeight="1">
      <c r="A424" s="383"/>
      <c r="B424" s="383"/>
      <c r="C424" s="383"/>
      <c r="D424" s="383"/>
      <c r="E424" s="383"/>
      <c r="F424" s="536"/>
      <c r="G424" s="536"/>
      <c r="H424" s="383"/>
      <c r="I424" s="383"/>
      <c r="J424" s="383"/>
      <c r="K424" s="383"/>
      <c r="L424" s="383"/>
      <c r="M424" s="383"/>
      <c r="N424" s="383"/>
      <c r="O424" s="383"/>
      <c r="P424" s="383"/>
      <c r="Q424" s="383"/>
      <c r="R424" s="383"/>
      <c r="S424" s="383"/>
      <c r="T424" s="383"/>
      <c r="U424" s="383"/>
      <c r="V424" s="383"/>
      <c r="W424" s="578"/>
      <c r="X424" s="383"/>
      <c r="Y424" s="383"/>
      <c r="Z424" s="383"/>
    </row>
    <row r="425" ht="18.75" customHeight="1">
      <c r="A425" s="383"/>
      <c r="B425" s="383"/>
      <c r="C425" s="383"/>
      <c r="D425" s="383"/>
      <c r="E425" s="383"/>
      <c r="F425" s="536"/>
      <c r="G425" s="536"/>
      <c r="H425" s="383"/>
      <c r="I425" s="383"/>
      <c r="J425" s="383"/>
      <c r="K425" s="383"/>
      <c r="L425" s="383"/>
      <c r="M425" s="383"/>
      <c r="N425" s="383"/>
      <c r="O425" s="383"/>
      <c r="P425" s="383"/>
      <c r="Q425" s="383"/>
      <c r="R425" s="383"/>
      <c r="S425" s="383"/>
      <c r="T425" s="383"/>
      <c r="U425" s="383"/>
      <c r="V425" s="383"/>
      <c r="W425" s="578"/>
      <c r="X425" s="383"/>
      <c r="Y425" s="383"/>
      <c r="Z425" s="383"/>
    </row>
    <row r="426" ht="18.75" customHeight="1">
      <c r="A426" s="383"/>
      <c r="B426" s="383"/>
      <c r="C426" s="383"/>
      <c r="D426" s="383"/>
      <c r="E426" s="383"/>
      <c r="F426" s="536"/>
      <c r="G426" s="536"/>
      <c r="H426" s="383"/>
      <c r="I426" s="383"/>
      <c r="J426" s="383"/>
      <c r="K426" s="383"/>
      <c r="L426" s="383"/>
      <c r="M426" s="383"/>
      <c r="N426" s="383"/>
      <c r="O426" s="383"/>
      <c r="P426" s="383"/>
      <c r="Q426" s="383"/>
      <c r="R426" s="383"/>
      <c r="S426" s="383"/>
      <c r="T426" s="383"/>
      <c r="U426" s="383"/>
      <c r="V426" s="383"/>
      <c r="W426" s="578"/>
      <c r="X426" s="383"/>
      <c r="Y426" s="383"/>
      <c r="Z426" s="383"/>
    </row>
    <row r="427" ht="18.75" customHeight="1">
      <c r="A427" s="383"/>
      <c r="B427" s="383"/>
      <c r="C427" s="383"/>
      <c r="D427" s="383"/>
      <c r="E427" s="383"/>
      <c r="F427" s="536"/>
      <c r="G427" s="536"/>
      <c r="H427" s="383"/>
      <c r="I427" s="383"/>
      <c r="J427" s="383"/>
      <c r="K427" s="383"/>
      <c r="L427" s="383"/>
      <c r="M427" s="383"/>
      <c r="N427" s="383"/>
      <c r="O427" s="383"/>
      <c r="P427" s="383"/>
      <c r="Q427" s="383"/>
      <c r="R427" s="383"/>
      <c r="S427" s="383"/>
      <c r="T427" s="383"/>
      <c r="U427" s="383"/>
      <c r="V427" s="383"/>
      <c r="W427" s="578"/>
      <c r="X427" s="383"/>
      <c r="Y427" s="383"/>
      <c r="Z427" s="383"/>
    </row>
    <row r="428" ht="18.75" customHeight="1">
      <c r="A428" s="383"/>
      <c r="B428" s="383"/>
      <c r="C428" s="383"/>
      <c r="D428" s="383"/>
      <c r="E428" s="383"/>
      <c r="F428" s="536"/>
      <c r="G428" s="536"/>
      <c r="H428" s="383"/>
      <c r="I428" s="383"/>
      <c r="J428" s="383"/>
      <c r="K428" s="383"/>
      <c r="L428" s="383"/>
      <c r="M428" s="383"/>
      <c r="N428" s="383"/>
      <c r="O428" s="383"/>
      <c r="P428" s="383"/>
      <c r="Q428" s="383"/>
      <c r="R428" s="383"/>
      <c r="S428" s="383"/>
      <c r="T428" s="383"/>
      <c r="U428" s="383"/>
      <c r="V428" s="383"/>
      <c r="W428" s="578"/>
      <c r="X428" s="383"/>
      <c r="Y428" s="383"/>
      <c r="Z428" s="383"/>
    </row>
    <row r="429" ht="18.75" customHeight="1">
      <c r="A429" s="383"/>
      <c r="B429" s="383"/>
      <c r="C429" s="383"/>
      <c r="D429" s="383"/>
      <c r="E429" s="383"/>
      <c r="F429" s="536"/>
      <c r="G429" s="536"/>
      <c r="H429" s="383"/>
      <c r="I429" s="383"/>
      <c r="J429" s="383"/>
      <c r="K429" s="383"/>
      <c r="L429" s="383"/>
      <c r="M429" s="383"/>
      <c r="N429" s="383"/>
      <c r="O429" s="383"/>
      <c r="P429" s="383"/>
      <c r="Q429" s="383"/>
      <c r="R429" s="383"/>
      <c r="S429" s="383"/>
      <c r="T429" s="383"/>
      <c r="U429" s="383"/>
      <c r="V429" s="383"/>
      <c r="W429" s="578"/>
      <c r="X429" s="383"/>
      <c r="Y429" s="383"/>
      <c r="Z429" s="383"/>
    </row>
    <row r="430" ht="18.75" customHeight="1">
      <c r="A430" s="383"/>
      <c r="B430" s="383"/>
      <c r="C430" s="383"/>
      <c r="D430" s="383"/>
      <c r="E430" s="383"/>
      <c r="F430" s="536"/>
      <c r="G430" s="536"/>
      <c r="H430" s="383"/>
      <c r="I430" s="383"/>
      <c r="J430" s="383"/>
      <c r="K430" s="383"/>
      <c r="L430" s="383"/>
      <c r="M430" s="383"/>
      <c r="N430" s="383"/>
      <c r="O430" s="383"/>
      <c r="P430" s="383"/>
      <c r="Q430" s="383"/>
      <c r="R430" s="383"/>
      <c r="S430" s="383"/>
      <c r="T430" s="383"/>
      <c r="U430" s="383"/>
      <c r="V430" s="383"/>
      <c r="W430" s="578"/>
      <c r="X430" s="383"/>
      <c r="Y430" s="383"/>
      <c r="Z430" s="383"/>
    </row>
    <row r="431" ht="18.75" customHeight="1">
      <c r="A431" s="383"/>
      <c r="B431" s="383"/>
      <c r="C431" s="383"/>
      <c r="D431" s="383"/>
      <c r="E431" s="383"/>
      <c r="F431" s="536"/>
      <c r="G431" s="536"/>
      <c r="H431" s="383"/>
      <c r="I431" s="383"/>
      <c r="J431" s="383"/>
      <c r="K431" s="383"/>
      <c r="L431" s="383"/>
      <c r="M431" s="383"/>
      <c r="N431" s="383"/>
      <c r="O431" s="383"/>
      <c r="P431" s="383"/>
      <c r="Q431" s="383"/>
      <c r="R431" s="383"/>
      <c r="S431" s="383"/>
      <c r="T431" s="383"/>
      <c r="U431" s="383"/>
      <c r="V431" s="383"/>
      <c r="W431" s="578"/>
      <c r="X431" s="383"/>
      <c r="Y431" s="383"/>
      <c r="Z431" s="383"/>
    </row>
    <row r="432" ht="18.75" customHeight="1">
      <c r="A432" s="383"/>
      <c r="B432" s="383"/>
      <c r="C432" s="383"/>
      <c r="D432" s="383"/>
      <c r="E432" s="383"/>
      <c r="F432" s="536"/>
      <c r="G432" s="536"/>
      <c r="H432" s="383"/>
      <c r="I432" s="383"/>
      <c r="J432" s="383"/>
      <c r="K432" s="383"/>
      <c r="L432" s="383"/>
      <c r="M432" s="383"/>
      <c r="N432" s="383"/>
      <c r="O432" s="383"/>
      <c r="P432" s="383"/>
      <c r="Q432" s="383"/>
      <c r="R432" s="383"/>
      <c r="S432" s="383"/>
      <c r="T432" s="383"/>
      <c r="U432" s="383"/>
      <c r="V432" s="383"/>
      <c r="W432" s="578"/>
      <c r="X432" s="383"/>
      <c r="Y432" s="383"/>
      <c r="Z432" s="383"/>
    </row>
    <row r="433" ht="18.75" customHeight="1">
      <c r="A433" s="383"/>
      <c r="B433" s="383"/>
      <c r="C433" s="383"/>
      <c r="D433" s="383"/>
      <c r="E433" s="383"/>
      <c r="F433" s="536"/>
      <c r="G433" s="536"/>
      <c r="H433" s="383"/>
      <c r="I433" s="383"/>
      <c r="J433" s="383"/>
      <c r="K433" s="383"/>
      <c r="L433" s="383"/>
      <c r="M433" s="383"/>
      <c r="N433" s="383"/>
      <c r="O433" s="383"/>
      <c r="P433" s="383"/>
      <c r="Q433" s="383"/>
      <c r="R433" s="383"/>
      <c r="S433" s="383"/>
      <c r="T433" s="383"/>
      <c r="U433" s="383"/>
      <c r="V433" s="383"/>
      <c r="W433" s="578"/>
      <c r="X433" s="383"/>
      <c r="Y433" s="383"/>
      <c r="Z433" s="383"/>
    </row>
    <row r="434" ht="18.75" customHeight="1">
      <c r="A434" s="383"/>
      <c r="B434" s="383"/>
      <c r="C434" s="383"/>
      <c r="D434" s="383"/>
      <c r="E434" s="383"/>
      <c r="F434" s="536"/>
      <c r="G434" s="536"/>
      <c r="H434" s="383"/>
      <c r="I434" s="383"/>
      <c r="J434" s="383"/>
      <c r="K434" s="383"/>
      <c r="L434" s="383"/>
      <c r="M434" s="383"/>
      <c r="N434" s="383"/>
      <c r="O434" s="383"/>
      <c r="P434" s="383"/>
      <c r="Q434" s="383"/>
      <c r="R434" s="383"/>
      <c r="S434" s="383"/>
      <c r="T434" s="383"/>
      <c r="U434" s="383"/>
      <c r="V434" s="383"/>
      <c r="W434" s="578"/>
      <c r="X434" s="383"/>
      <c r="Y434" s="383"/>
      <c r="Z434" s="383"/>
    </row>
    <row r="435" ht="18.75" customHeight="1">
      <c r="A435" s="383"/>
      <c r="B435" s="383"/>
      <c r="C435" s="383"/>
      <c r="D435" s="383"/>
      <c r="E435" s="383"/>
      <c r="F435" s="536"/>
      <c r="G435" s="536"/>
      <c r="H435" s="383"/>
      <c r="I435" s="383"/>
      <c r="J435" s="383"/>
      <c r="K435" s="383"/>
      <c r="L435" s="383"/>
      <c r="M435" s="383"/>
      <c r="N435" s="383"/>
      <c r="O435" s="383"/>
      <c r="P435" s="383"/>
      <c r="Q435" s="383"/>
      <c r="R435" s="383"/>
      <c r="S435" s="383"/>
      <c r="T435" s="383"/>
      <c r="U435" s="383"/>
      <c r="V435" s="383"/>
      <c r="W435" s="578"/>
      <c r="X435" s="383"/>
      <c r="Y435" s="383"/>
      <c r="Z435" s="383"/>
    </row>
    <row r="436" ht="18.75" customHeight="1">
      <c r="A436" s="383"/>
      <c r="B436" s="383"/>
      <c r="C436" s="383"/>
      <c r="D436" s="383"/>
      <c r="E436" s="383"/>
      <c r="F436" s="536"/>
      <c r="G436" s="536"/>
      <c r="H436" s="383"/>
      <c r="I436" s="383"/>
      <c r="J436" s="383"/>
      <c r="K436" s="383"/>
      <c r="L436" s="383"/>
      <c r="M436" s="383"/>
      <c r="N436" s="383"/>
      <c r="O436" s="383"/>
      <c r="P436" s="383"/>
      <c r="Q436" s="383"/>
      <c r="R436" s="383"/>
      <c r="S436" s="383"/>
      <c r="T436" s="383"/>
      <c r="U436" s="383"/>
      <c r="V436" s="383"/>
      <c r="W436" s="578"/>
      <c r="X436" s="383"/>
      <c r="Y436" s="383"/>
      <c r="Z436" s="383"/>
    </row>
    <row r="437" ht="18.75" customHeight="1">
      <c r="A437" s="383"/>
      <c r="B437" s="383"/>
      <c r="C437" s="383"/>
      <c r="D437" s="383"/>
      <c r="E437" s="383"/>
      <c r="F437" s="536"/>
      <c r="G437" s="536"/>
      <c r="H437" s="383"/>
      <c r="I437" s="383"/>
      <c r="J437" s="383"/>
      <c r="K437" s="383"/>
      <c r="L437" s="383"/>
      <c r="M437" s="383"/>
      <c r="N437" s="383"/>
      <c r="O437" s="383"/>
      <c r="P437" s="383"/>
      <c r="Q437" s="383"/>
      <c r="R437" s="383"/>
      <c r="S437" s="383"/>
      <c r="T437" s="383"/>
      <c r="U437" s="383"/>
      <c r="V437" s="383"/>
      <c r="W437" s="578"/>
      <c r="X437" s="383"/>
      <c r="Y437" s="383"/>
      <c r="Z437" s="383"/>
    </row>
    <row r="438" ht="18.75" customHeight="1">
      <c r="A438" s="383"/>
      <c r="B438" s="383"/>
      <c r="C438" s="383"/>
      <c r="D438" s="383"/>
      <c r="E438" s="383"/>
      <c r="F438" s="536"/>
      <c r="G438" s="536"/>
      <c r="H438" s="383"/>
      <c r="I438" s="383"/>
      <c r="J438" s="383"/>
      <c r="K438" s="383"/>
      <c r="L438" s="383"/>
      <c r="M438" s="383"/>
      <c r="N438" s="383"/>
      <c r="O438" s="383"/>
      <c r="P438" s="383"/>
      <c r="Q438" s="383"/>
      <c r="R438" s="383"/>
      <c r="S438" s="383"/>
      <c r="T438" s="383"/>
      <c r="U438" s="383"/>
      <c r="V438" s="383"/>
      <c r="W438" s="578"/>
      <c r="X438" s="383"/>
      <c r="Y438" s="383"/>
      <c r="Z438" s="383"/>
    </row>
    <row r="439" ht="18.75" customHeight="1">
      <c r="A439" s="383"/>
      <c r="B439" s="383"/>
      <c r="C439" s="383"/>
      <c r="D439" s="383"/>
      <c r="E439" s="383"/>
      <c r="F439" s="536"/>
      <c r="G439" s="536"/>
      <c r="H439" s="383"/>
      <c r="I439" s="383"/>
      <c r="J439" s="383"/>
      <c r="K439" s="383"/>
      <c r="L439" s="383"/>
      <c r="M439" s="383"/>
      <c r="N439" s="383"/>
      <c r="O439" s="383"/>
      <c r="P439" s="383"/>
      <c r="Q439" s="383"/>
      <c r="R439" s="383"/>
      <c r="S439" s="383"/>
      <c r="T439" s="383"/>
      <c r="U439" s="383"/>
      <c r="V439" s="383"/>
      <c r="W439" s="578"/>
      <c r="X439" s="383"/>
      <c r="Y439" s="383"/>
      <c r="Z439" s="383"/>
    </row>
    <row r="440" ht="18.75" customHeight="1">
      <c r="A440" s="383"/>
      <c r="B440" s="383"/>
      <c r="C440" s="383"/>
      <c r="D440" s="383"/>
      <c r="E440" s="383"/>
      <c r="F440" s="536"/>
      <c r="G440" s="536"/>
      <c r="H440" s="383"/>
      <c r="I440" s="383"/>
      <c r="J440" s="383"/>
      <c r="K440" s="383"/>
      <c r="L440" s="383"/>
      <c r="M440" s="383"/>
      <c r="N440" s="383"/>
      <c r="O440" s="383"/>
      <c r="P440" s="383"/>
      <c r="Q440" s="383"/>
      <c r="R440" s="383"/>
      <c r="S440" s="383"/>
      <c r="T440" s="383"/>
      <c r="U440" s="383"/>
      <c r="V440" s="383"/>
      <c r="W440" s="578"/>
      <c r="X440" s="383"/>
      <c r="Y440" s="383"/>
      <c r="Z440" s="383"/>
    </row>
    <row r="441" ht="18.75" customHeight="1">
      <c r="A441" s="383"/>
      <c r="B441" s="383"/>
      <c r="C441" s="383"/>
      <c r="D441" s="383"/>
      <c r="E441" s="383"/>
      <c r="F441" s="536"/>
      <c r="G441" s="536"/>
      <c r="H441" s="383"/>
      <c r="I441" s="383"/>
      <c r="J441" s="383"/>
      <c r="K441" s="383"/>
      <c r="L441" s="383"/>
      <c r="M441" s="383"/>
      <c r="N441" s="383"/>
      <c r="O441" s="383"/>
      <c r="P441" s="383"/>
      <c r="Q441" s="383"/>
      <c r="R441" s="383"/>
      <c r="S441" s="383"/>
      <c r="T441" s="383"/>
      <c r="U441" s="383"/>
      <c r="V441" s="383"/>
      <c r="W441" s="578"/>
      <c r="X441" s="383"/>
      <c r="Y441" s="383"/>
      <c r="Z441" s="383"/>
    </row>
    <row r="442" ht="18.75" customHeight="1">
      <c r="A442" s="383"/>
      <c r="B442" s="383"/>
      <c r="C442" s="383"/>
      <c r="D442" s="383"/>
      <c r="E442" s="383"/>
      <c r="F442" s="536"/>
      <c r="G442" s="536"/>
      <c r="H442" s="383"/>
      <c r="I442" s="383"/>
      <c r="J442" s="383"/>
      <c r="K442" s="383"/>
      <c r="L442" s="383"/>
      <c r="M442" s="383"/>
      <c r="N442" s="383"/>
      <c r="O442" s="383"/>
      <c r="P442" s="383"/>
      <c r="Q442" s="383"/>
      <c r="R442" s="383"/>
      <c r="S442" s="383"/>
      <c r="T442" s="383"/>
      <c r="U442" s="383"/>
      <c r="V442" s="383"/>
      <c r="W442" s="578"/>
      <c r="X442" s="383"/>
      <c r="Y442" s="383"/>
      <c r="Z442" s="383"/>
    </row>
    <row r="443" ht="18.75" customHeight="1">
      <c r="A443" s="383"/>
      <c r="B443" s="383"/>
      <c r="C443" s="383"/>
      <c r="D443" s="383"/>
      <c r="E443" s="383"/>
      <c r="F443" s="536"/>
      <c r="G443" s="536"/>
      <c r="H443" s="383"/>
      <c r="I443" s="383"/>
      <c r="J443" s="383"/>
      <c r="K443" s="383"/>
      <c r="L443" s="383"/>
      <c r="M443" s="383"/>
      <c r="N443" s="383"/>
      <c r="O443" s="383"/>
      <c r="P443" s="383"/>
      <c r="Q443" s="383"/>
      <c r="R443" s="383"/>
      <c r="S443" s="383"/>
      <c r="T443" s="383"/>
      <c r="U443" s="383"/>
      <c r="V443" s="383"/>
      <c r="W443" s="578"/>
      <c r="X443" s="383"/>
      <c r="Y443" s="383"/>
      <c r="Z443" s="383"/>
    </row>
    <row r="444" ht="18.75" customHeight="1">
      <c r="A444" s="383"/>
      <c r="B444" s="383"/>
      <c r="C444" s="383"/>
      <c r="D444" s="383"/>
      <c r="E444" s="383"/>
      <c r="F444" s="536"/>
      <c r="G444" s="536"/>
      <c r="H444" s="383"/>
      <c r="I444" s="383"/>
      <c r="J444" s="383"/>
      <c r="K444" s="383"/>
      <c r="L444" s="383"/>
      <c r="M444" s="383"/>
      <c r="N444" s="383"/>
      <c r="O444" s="383"/>
      <c r="P444" s="383"/>
      <c r="Q444" s="383"/>
      <c r="R444" s="383"/>
      <c r="S444" s="383"/>
      <c r="T444" s="383"/>
      <c r="U444" s="383"/>
      <c r="V444" s="383"/>
      <c r="W444" s="578"/>
      <c r="X444" s="383"/>
      <c r="Y444" s="383"/>
      <c r="Z444" s="383"/>
    </row>
    <row r="445" ht="18.75" customHeight="1">
      <c r="A445" s="383"/>
      <c r="B445" s="383"/>
      <c r="C445" s="383"/>
      <c r="D445" s="383"/>
      <c r="E445" s="383"/>
      <c r="F445" s="536"/>
      <c r="G445" s="536"/>
      <c r="H445" s="383"/>
      <c r="I445" s="383"/>
      <c r="J445" s="383"/>
      <c r="K445" s="383"/>
      <c r="L445" s="383"/>
      <c r="M445" s="383"/>
      <c r="N445" s="383"/>
      <c r="O445" s="383"/>
      <c r="P445" s="383"/>
      <c r="Q445" s="383"/>
      <c r="R445" s="383"/>
      <c r="S445" s="383"/>
      <c r="T445" s="383"/>
      <c r="U445" s="383"/>
      <c r="V445" s="383"/>
      <c r="W445" s="578"/>
      <c r="X445" s="383"/>
      <c r="Y445" s="383"/>
      <c r="Z445" s="383"/>
    </row>
    <row r="446" ht="18.75" customHeight="1">
      <c r="A446" s="383"/>
      <c r="B446" s="383"/>
      <c r="C446" s="383"/>
      <c r="D446" s="383"/>
      <c r="E446" s="383"/>
      <c r="F446" s="536"/>
      <c r="G446" s="536"/>
      <c r="H446" s="383"/>
      <c r="I446" s="383"/>
      <c r="J446" s="383"/>
      <c r="K446" s="383"/>
      <c r="L446" s="383"/>
      <c r="M446" s="383"/>
      <c r="N446" s="383"/>
      <c r="O446" s="383"/>
      <c r="P446" s="383"/>
      <c r="Q446" s="383"/>
      <c r="R446" s="383"/>
      <c r="S446" s="383"/>
      <c r="T446" s="383"/>
      <c r="U446" s="383"/>
      <c r="V446" s="383"/>
      <c r="W446" s="578"/>
      <c r="X446" s="383"/>
      <c r="Y446" s="383"/>
      <c r="Z446" s="383"/>
    </row>
    <row r="447" ht="18.75" customHeight="1">
      <c r="A447" s="383"/>
      <c r="B447" s="383"/>
      <c r="C447" s="383"/>
      <c r="D447" s="383"/>
      <c r="E447" s="383"/>
      <c r="F447" s="536"/>
      <c r="G447" s="536"/>
      <c r="H447" s="383"/>
      <c r="I447" s="383"/>
      <c r="J447" s="383"/>
      <c r="K447" s="383"/>
      <c r="L447" s="383"/>
      <c r="M447" s="383"/>
      <c r="N447" s="383"/>
      <c r="O447" s="383"/>
      <c r="P447" s="383"/>
      <c r="Q447" s="383"/>
      <c r="R447" s="383"/>
      <c r="S447" s="383"/>
      <c r="T447" s="383"/>
      <c r="U447" s="383"/>
      <c r="V447" s="383"/>
      <c r="W447" s="578"/>
      <c r="X447" s="383"/>
      <c r="Y447" s="383"/>
      <c r="Z447" s="383"/>
    </row>
    <row r="448" ht="18.75" customHeight="1">
      <c r="A448" s="383"/>
      <c r="B448" s="383"/>
      <c r="C448" s="383"/>
      <c r="D448" s="383"/>
      <c r="E448" s="383"/>
      <c r="F448" s="536"/>
      <c r="G448" s="536"/>
      <c r="H448" s="383"/>
      <c r="I448" s="383"/>
      <c r="J448" s="383"/>
      <c r="K448" s="383"/>
      <c r="L448" s="383"/>
      <c r="M448" s="383"/>
      <c r="N448" s="383"/>
      <c r="O448" s="383"/>
      <c r="P448" s="383"/>
      <c r="Q448" s="383"/>
      <c r="R448" s="383"/>
      <c r="S448" s="383"/>
      <c r="T448" s="383"/>
      <c r="U448" s="383"/>
      <c r="V448" s="383"/>
      <c r="W448" s="578"/>
      <c r="X448" s="383"/>
      <c r="Y448" s="383"/>
      <c r="Z448" s="383"/>
    </row>
    <row r="449" ht="18.75" customHeight="1">
      <c r="A449" s="383"/>
      <c r="B449" s="383"/>
      <c r="C449" s="383"/>
      <c r="D449" s="383"/>
      <c r="E449" s="383"/>
      <c r="F449" s="536"/>
      <c r="G449" s="536"/>
      <c r="H449" s="383"/>
      <c r="I449" s="383"/>
      <c r="J449" s="383"/>
      <c r="K449" s="383"/>
      <c r="L449" s="383"/>
      <c r="M449" s="383"/>
      <c r="N449" s="383"/>
      <c r="O449" s="383"/>
      <c r="P449" s="383"/>
      <c r="Q449" s="383"/>
      <c r="R449" s="383"/>
      <c r="S449" s="383"/>
      <c r="T449" s="383"/>
      <c r="U449" s="383"/>
      <c r="V449" s="383"/>
      <c r="W449" s="578"/>
      <c r="X449" s="383"/>
      <c r="Y449" s="383"/>
      <c r="Z449" s="383"/>
    </row>
    <row r="450" ht="18.75" customHeight="1">
      <c r="A450" s="383"/>
      <c r="B450" s="383"/>
      <c r="C450" s="383"/>
      <c r="D450" s="383"/>
      <c r="E450" s="383"/>
      <c r="F450" s="536"/>
      <c r="G450" s="536"/>
      <c r="H450" s="383"/>
      <c r="I450" s="383"/>
      <c r="J450" s="383"/>
      <c r="K450" s="383"/>
      <c r="L450" s="383"/>
      <c r="M450" s="383"/>
      <c r="N450" s="383"/>
      <c r="O450" s="383"/>
      <c r="P450" s="383"/>
      <c r="Q450" s="383"/>
      <c r="R450" s="383"/>
      <c r="S450" s="383"/>
      <c r="T450" s="383"/>
      <c r="U450" s="383"/>
      <c r="V450" s="383"/>
      <c r="W450" s="578"/>
      <c r="X450" s="383"/>
      <c r="Y450" s="383"/>
      <c r="Z450" s="383"/>
    </row>
    <row r="451" ht="18.75" customHeight="1">
      <c r="A451" s="383"/>
      <c r="B451" s="383"/>
      <c r="C451" s="383"/>
      <c r="D451" s="383"/>
      <c r="E451" s="383"/>
      <c r="F451" s="536"/>
      <c r="G451" s="536"/>
      <c r="H451" s="383"/>
      <c r="I451" s="383"/>
      <c r="J451" s="383"/>
      <c r="K451" s="383"/>
      <c r="L451" s="383"/>
      <c r="M451" s="383"/>
      <c r="N451" s="383"/>
      <c r="O451" s="383"/>
      <c r="P451" s="383"/>
      <c r="Q451" s="383"/>
      <c r="R451" s="383"/>
      <c r="S451" s="383"/>
      <c r="T451" s="383"/>
      <c r="U451" s="383"/>
      <c r="V451" s="383"/>
      <c r="W451" s="578"/>
      <c r="X451" s="383"/>
      <c r="Y451" s="383"/>
      <c r="Z451" s="383"/>
    </row>
    <row r="452" ht="18.75" customHeight="1">
      <c r="A452" s="383"/>
      <c r="B452" s="383"/>
      <c r="C452" s="383"/>
      <c r="D452" s="383"/>
      <c r="E452" s="383"/>
      <c r="F452" s="536"/>
      <c r="G452" s="536"/>
      <c r="H452" s="383"/>
      <c r="I452" s="383"/>
      <c r="J452" s="383"/>
      <c r="K452" s="383"/>
      <c r="L452" s="383"/>
      <c r="M452" s="383"/>
      <c r="N452" s="383"/>
      <c r="O452" s="383"/>
      <c r="P452" s="383"/>
      <c r="Q452" s="383"/>
      <c r="R452" s="383"/>
      <c r="S452" s="383"/>
      <c r="T452" s="383"/>
      <c r="U452" s="383"/>
      <c r="V452" s="383"/>
      <c r="W452" s="578"/>
      <c r="X452" s="383"/>
      <c r="Y452" s="383"/>
      <c r="Z452" s="383"/>
    </row>
    <row r="453" ht="18.75" customHeight="1">
      <c r="A453" s="383"/>
      <c r="B453" s="383"/>
      <c r="C453" s="383"/>
      <c r="D453" s="383"/>
      <c r="E453" s="383"/>
      <c r="F453" s="536"/>
      <c r="G453" s="536"/>
      <c r="H453" s="383"/>
      <c r="I453" s="383"/>
      <c r="J453" s="383"/>
      <c r="K453" s="383"/>
      <c r="L453" s="383"/>
      <c r="M453" s="383"/>
      <c r="N453" s="383"/>
      <c r="O453" s="383"/>
      <c r="P453" s="383"/>
      <c r="Q453" s="383"/>
      <c r="R453" s="383"/>
      <c r="S453" s="383"/>
      <c r="T453" s="383"/>
      <c r="U453" s="383"/>
      <c r="V453" s="383"/>
      <c r="W453" s="578"/>
      <c r="X453" s="383"/>
      <c r="Y453" s="383"/>
      <c r="Z453" s="383"/>
    </row>
    <row r="454" ht="18.75" customHeight="1">
      <c r="A454" s="383"/>
      <c r="B454" s="383"/>
      <c r="C454" s="383"/>
      <c r="D454" s="383"/>
      <c r="E454" s="383"/>
      <c r="F454" s="536"/>
      <c r="G454" s="536"/>
      <c r="H454" s="383"/>
      <c r="I454" s="383"/>
      <c r="J454" s="383"/>
      <c r="K454" s="383"/>
      <c r="L454" s="383"/>
      <c r="M454" s="383"/>
      <c r="N454" s="383"/>
      <c r="O454" s="383"/>
      <c r="P454" s="383"/>
      <c r="Q454" s="383"/>
      <c r="R454" s="383"/>
      <c r="S454" s="383"/>
      <c r="T454" s="383"/>
      <c r="U454" s="383"/>
      <c r="V454" s="383"/>
      <c r="W454" s="578"/>
      <c r="X454" s="383"/>
      <c r="Y454" s="383"/>
      <c r="Z454" s="383"/>
    </row>
    <row r="455" ht="18.75" customHeight="1">
      <c r="A455" s="383"/>
      <c r="B455" s="383"/>
      <c r="C455" s="383"/>
      <c r="D455" s="383"/>
      <c r="E455" s="383"/>
      <c r="F455" s="536"/>
      <c r="G455" s="536"/>
      <c r="H455" s="383"/>
      <c r="I455" s="383"/>
      <c r="J455" s="383"/>
      <c r="K455" s="383"/>
      <c r="L455" s="383"/>
      <c r="M455" s="383"/>
      <c r="N455" s="383"/>
      <c r="O455" s="383"/>
      <c r="P455" s="383"/>
      <c r="Q455" s="383"/>
      <c r="R455" s="383"/>
      <c r="S455" s="383"/>
      <c r="T455" s="383"/>
      <c r="U455" s="383"/>
      <c r="V455" s="383"/>
      <c r="W455" s="578"/>
      <c r="X455" s="383"/>
      <c r="Y455" s="383"/>
      <c r="Z455" s="383"/>
    </row>
    <row r="456" ht="18.75" customHeight="1">
      <c r="A456" s="383"/>
      <c r="B456" s="383"/>
      <c r="C456" s="383"/>
      <c r="D456" s="383"/>
      <c r="E456" s="383"/>
      <c r="F456" s="536"/>
      <c r="G456" s="536"/>
      <c r="H456" s="383"/>
      <c r="I456" s="383"/>
      <c r="J456" s="383"/>
      <c r="K456" s="383"/>
      <c r="L456" s="383"/>
      <c r="M456" s="383"/>
      <c r="N456" s="383"/>
      <c r="O456" s="383"/>
      <c r="P456" s="383"/>
      <c r="Q456" s="383"/>
      <c r="R456" s="383"/>
      <c r="S456" s="383"/>
      <c r="T456" s="383"/>
      <c r="U456" s="383"/>
      <c r="V456" s="383"/>
      <c r="W456" s="578"/>
      <c r="X456" s="383"/>
      <c r="Y456" s="383"/>
      <c r="Z456" s="383"/>
    </row>
    <row r="457" ht="18.75" customHeight="1">
      <c r="A457" s="383"/>
      <c r="B457" s="383"/>
      <c r="C457" s="383"/>
      <c r="D457" s="383"/>
      <c r="E457" s="383"/>
      <c r="F457" s="536"/>
      <c r="G457" s="536"/>
      <c r="H457" s="383"/>
      <c r="I457" s="383"/>
      <c r="J457" s="383"/>
      <c r="K457" s="383"/>
      <c r="L457" s="383"/>
      <c r="M457" s="383"/>
      <c r="N457" s="383"/>
      <c r="O457" s="383"/>
      <c r="P457" s="383"/>
      <c r="Q457" s="383"/>
      <c r="R457" s="383"/>
      <c r="S457" s="383"/>
      <c r="T457" s="383"/>
      <c r="U457" s="383"/>
      <c r="V457" s="383"/>
      <c r="W457" s="578"/>
      <c r="X457" s="383"/>
      <c r="Y457" s="383"/>
      <c r="Z457" s="383"/>
    </row>
    <row r="458" ht="18.75" customHeight="1">
      <c r="A458" s="383"/>
      <c r="B458" s="383"/>
      <c r="C458" s="383"/>
      <c r="D458" s="383"/>
      <c r="E458" s="383"/>
      <c r="F458" s="536"/>
      <c r="G458" s="536"/>
      <c r="H458" s="383"/>
      <c r="I458" s="383"/>
      <c r="J458" s="383"/>
      <c r="K458" s="383"/>
      <c r="L458" s="383"/>
      <c r="M458" s="383"/>
      <c r="N458" s="383"/>
      <c r="O458" s="383"/>
      <c r="P458" s="383"/>
      <c r="Q458" s="383"/>
      <c r="R458" s="383"/>
      <c r="S458" s="383"/>
      <c r="T458" s="383"/>
      <c r="U458" s="383"/>
      <c r="V458" s="383"/>
      <c r="W458" s="578"/>
      <c r="X458" s="383"/>
      <c r="Y458" s="383"/>
      <c r="Z458" s="383"/>
    </row>
    <row r="459" ht="18.75" customHeight="1">
      <c r="A459" s="383"/>
      <c r="B459" s="383"/>
      <c r="C459" s="383"/>
      <c r="D459" s="383"/>
      <c r="E459" s="383"/>
      <c r="F459" s="536"/>
      <c r="G459" s="536"/>
      <c r="H459" s="383"/>
      <c r="I459" s="383"/>
      <c r="J459" s="383"/>
      <c r="K459" s="383"/>
      <c r="L459" s="383"/>
      <c r="M459" s="383"/>
      <c r="N459" s="383"/>
      <c r="O459" s="383"/>
      <c r="P459" s="383"/>
      <c r="Q459" s="383"/>
      <c r="R459" s="383"/>
      <c r="S459" s="383"/>
      <c r="T459" s="383"/>
      <c r="U459" s="383"/>
      <c r="V459" s="383"/>
      <c r="W459" s="578"/>
      <c r="X459" s="383"/>
      <c r="Y459" s="383"/>
      <c r="Z459" s="383"/>
    </row>
    <row r="460" ht="18.75" customHeight="1">
      <c r="A460" s="383"/>
      <c r="B460" s="383"/>
      <c r="C460" s="383"/>
      <c r="D460" s="383"/>
      <c r="E460" s="383"/>
      <c r="F460" s="536"/>
      <c r="G460" s="536"/>
      <c r="H460" s="383"/>
      <c r="I460" s="383"/>
      <c r="J460" s="383"/>
      <c r="K460" s="383"/>
      <c r="L460" s="383"/>
      <c r="M460" s="383"/>
      <c r="N460" s="383"/>
      <c r="O460" s="383"/>
      <c r="P460" s="383"/>
      <c r="Q460" s="383"/>
      <c r="R460" s="383"/>
      <c r="S460" s="383"/>
      <c r="T460" s="383"/>
      <c r="U460" s="383"/>
      <c r="V460" s="383"/>
      <c r="W460" s="578"/>
      <c r="X460" s="383"/>
      <c r="Y460" s="383"/>
      <c r="Z460" s="383"/>
    </row>
    <row r="461" ht="18.75" customHeight="1">
      <c r="A461" s="383"/>
      <c r="B461" s="383"/>
      <c r="C461" s="383"/>
      <c r="D461" s="383"/>
      <c r="E461" s="383"/>
      <c r="F461" s="536"/>
      <c r="G461" s="536"/>
      <c r="H461" s="383"/>
      <c r="I461" s="383"/>
      <c r="J461" s="383"/>
      <c r="K461" s="383"/>
      <c r="L461" s="383"/>
      <c r="M461" s="383"/>
      <c r="N461" s="383"/>
      <c r="O461" s="383"/>
      <c r="P461" s="383"/>
      <c r="Q461" s="383"/>
      <c r="R461" s="383"/>
      <c r="S461" s="383"/>
      <c r="T461" s="383"/>
      <c r="U461" s="383"/>
      <c r="V461" s="383"/>
      <c r="W461" s="578"/>
      <c r="X461" s="383"/>
      <c r="Y461" s="383"/>
      <c r="Z461" s="383"/>
    </row>
    <row r="462" ht="18.75" customHeight="1">
      <c r="A462" s="383"/>
      <c r="B462" s="383"/>
      <c r="C462" s="383"/>
      <c r="D462" s="383"/>
      <c r="E462" s="383"/>
      <c r="F462" s="536"/>
      <c r="G462" s="536"/>
      <c r="H462" s="383"/>
      <c r="I462" s="383"/>
      <c r="J462" s="383"/>
      <c r="K462" s="383"/>
      <c r="L462" s="383"/>
      <c r="M462" s="383"/>
      <c r="N462" s="383"/>
      <c r="O462" s="383"/>
      <c r="P462" s="383"/>
      <c r="Q462" s="383"/>
      <c r="R462" s="383"/>
      <c r="S462" s="383"/>
      <c r="T462" s="383"/>
      <c r="U462" s="383"/>
      <c r="V462" s="383"/>
      <c r="W462" s="578"/>
      <c r="X462" s="383"/>
      <c r="Y462" s="383"/>
      <c r="Z462" s="383"/>
    </row>
    <row r="463" ht="18.75" customHeight="1">
      <c r="A463" s="383"/>
      <c r="B463" s="383"/>
      <c r="C463" s="383"/>
      <c r="D463" s="383"/>
      <c r="E463" s="383"/>
      <c r="F463" s="536"/>
      <c r="G463" s="536"/>
      <c r="H463" s="383"/>
      <c r="I463" s="383"/>
      <c r="J463" s="383"/>
      <c r="K463" s="383"/>
      <c r="L463" s="383"/>
      <c r="M463" s="383"/>
      <c r="N463" s="383"/>
      <c r="O463" s="383"/>
      <c r="P463" s="383"/>
      <c r="Q463" s="383"/>
      <c r="R463" s="383"/>
      <c r="S463" s="383"/>
      <c r="T463" s="383"/>
      <c r="U463" s="383"/>
      <c r="V463" s="383"/>
      <c r="W463" s="578"/>
      <c r="X463" s="383"/>
      <c r="Y463" s="383"/>
      <c r="Z463" s="383"/>
    </row>
    <row r="464" ht="18.75" customHeight="1">
      <c r="A464" s="383"/>
      <c r="B464" s="383"/>
      <c r="C464" s="383"/>
      <c r="D464" s="383"/>
      <c r="E464" s="383"/>
      <c r="F464" s="536"/>
      <c r="G464" s="536"/>
      <c r="H464" s="383"/>
      <c r="I464" s="383"/>
      <c r="J464" s="383"/>
      <c r="K464" s="383"/>
      <c r="L464" s="383"/>
      <c r="M464" s="383"/>
      <c r="N464" s="383"/>
      <c r="O464" s="383"/>
      <c r="P464" s="383"/>
      <c r="Q464" s="383"/>
      <c r="R464" s="383"/>
      <c r="S464" s="383"/>
      <c r="T464" s="383"/>
      <c r="U464" s="383"/>
      <c r="V464" s="383"/>
      <c r="W464" s="578"/>
      <c r="X464" s="383"/>
      <c r="Y464" s="383"/>
      <c r="Z464" s="383"/>
    </row>
    <row r="465" ht="18.75" customHeight="1">
      <c r="A465" s="383"/>
      <c r="B465" s="383"/>
      <c r="C465" s="383"/>
      <c r="D465" s="383"/>
      <c r="E465" s="383"/>
      <c r="F465" s="536"/>
      <c r="G465" s="536"/>
      <c r="H465" s="383"/>
      <c r="I465" s="383"/>
      <c r="J465" s="383"/>
      <c r="K465" s="383"/>
      <c r="L465" s="383"/>
      <c r="M465" s="383"/>
      <c r="N465" s="383"/>
      <c r="O465" s="383"/>
      <c r="P465" s="383"/>
      <c r="Q465" s="383"/>
      <c r="R465" s="383"/>
      <c r="S465" s="383"/>
      <c r="T465" s="383"/>
      <c r="U465" s="383"/>
      <c r="V465" s="383"/>
      <c r="W465" s="578"/>
      <c r="X465" s="383"/>
      <c r="Y465" s="383"/>
      <c r="Z465" s="383"/>
    </row>
    <row r="466" ht="18.75" customHeight="1">
      <c r="A466" s="383"/>
      <c r="B466" s="383"/>
      <c r="C466" s="383"/>
      <c r="D466" s="383"/>
      <c r="E466" s="383"/>
      <c r="F466" s="536"/>
      <c r="G466" s="536"/>
      <c r="H466" s="383"/>
      <c r="I466" s="383"/>
      <c r="J466" s="383"/>
      <c r="K466" s="383"/>
      <c r="L466" s="383"/>
      <c r="M466" s="383"/>
      <c r="N466" s="383"/>
      <c r="O466" s="383"/>
      <c r="P466" s="383"/>
      <c r="Q466" s="383"/>
      <c r="R466" s="383"/>
      <c r="S466" s="383"/>
      <c r="T466" s="383"/>
      <c r="U466" s="383"/>
      <c r="V466" s="383"/>
      <c r="W466" s="578"/>
      <c r="X466" s="383"/>
      <c r="Y466" s="383"/>
      <c r="Z466" s="383"/>
    </row>
    <row r="467" ht="18.75" customHeight="1">
      <c r="A467" s="383"/>
      <c r="B467" s="383"/>
      <c r="C467" s="383"/>
      <c r="D467" s="383"/>
      <c r="E467" s="383"/>
      <c r="F467" s="536"/>
      <c r="G467" s="536"/>
      <c r="H467" s="383"/>
      <c r="I467" s="383"/>
      <c r="J467" s="383"/>
      <c r="K467" s="383"/>
      <c r="L467" s="383"/>
      <c r="M467" s="383"/>
      <c r="N467" s="383"/>
      <c r="O467" s="383"/>
      <c r="P467" s="383"/>
      <c r="Q467" s="383"/>
      <c r="R467" s="383"/>
      <c r="S467" s="383"/>
      <c r="T467" s="383"/>
      <c r="U467" s="383"/>
      <c r="V467" s="383"/>
      <c r="W467" s="578"/>
      <c r="X467" s="383"/>
      <c r="Y467" s="383"/>
      <c r="Z467" s="383"/>
    </row>
    <row r="468" ht="18.75" customHeight="1">
      <c r="A468" s="383"/>
      <c r="B468" s="383"/>
      <c r="C468" s="383"/>
      <c r="D468" s="383"/>
      <c r="E468" s="383"/>
      <c r="F468" s="536"/>
      <c r="G468" s="536"/>
      <c r="H468" s="383"/>
      <c r="I468" s="383"/>
      <c r="J468" s="383"/>
      <c r="K468" s="383"/>
      <c r="L468" s="383"/>
      <c r="M468" s="383"/>
      <c r="N468" s="383"/>
      <c r="O468" s="383"/>
      <c r="P468" s="383"/>
      <c r="Q468" s="383"/>
      <c r="R468" s="383"/>
      <c r="S468" s="383"/>
      <c r="T468" s="383"/>
      <c r="U468" s="383"/>
      <c r="V468" s="383"/>
      <c r="W468" s="578"/>
      <c r="X468" s="383"/>
      <c r="Y468" s="383"/>
      <c r="Z468" s="383"/>
    </row>
    <row r="469" ht="18.75" customHeight="1">
      <c r="A469" s="383"/>
      <c r="B469" s="383"/>
      <c r="C469" s="383"/>
      <c r="D469" s="383"/>
      <c r="E469" s="383"/>
      <c r="F469" s="536"/>
      <c r="G469" s="536"/>
      <c r="H469" s="383"/>
      <c r="I469" s="383"/>
      <c r="J469" s="383"/>
      <c r="K469" s="383"/>
      <c r="L469" s="383"/>
      <c r="M469" s="383"/>
      <c r="N469" s="383"/>
      <c r="O469" s="383"/>
      <c r="P469" s="383"/>
      <c r="Q469" s="383"/>
      <c r="R469" s="383"/>
      <c r="S469" s="383"/>
      <c r="T469" s="383"/>
      <c r="U469" s="383"/>
      <c r="V469" s="383"/>
      <c r="W469" s="578"/>
      <c r="X469" s="383"/>
      <c r="Y469" s="383"/>
      <c r="Z469" s="383"/>
    </row>
    <row r="470" ht="18.75" customHeight="1">
      <c r="A470" s="383"/>
      <c r="B470" s="383"/>
      <c r="C470" s="383"/>
      <c r="D470" s="383"/>
      <c r="E470" s="383"/>
      <c r="F470" s="536"/>
      <c r="G470" s="536"/>
      <c r="H470" s="383"/>
      <c r="I470" s="383"/>
      <c r="J470" s="383"/>
      <c r="K470" s="383"/>
      <c r="L470" s="383"/>
      <c r="M470" s="383"/>
      <c r="N470" s="383"/>
      <c r="O470" s="383"/>
      <c r="P470" s="383"/>
      <c r="Q470" s="383"/>
      <c r="R470" s="383"/>
      <c r="S470" s="383"/>
      <c r="T470" s="383"/>
      <c r="U470" s="383"/>
      <c r="V470" s="383"/>
      <c r="W470" s="578"/>
      <c r="X470" s="383"/>
      <c r="Y470" s="383"/>
      <c r="Z470" s="383"/>
    </row>
    <row r="471" ht="18.75" customHeight="1">
      <c r="A471" s="383"/>
      <c r="B471" s="383"/>
      <c r="C471" s="383"/>
      <c r="D471" s="383"/>
      <c r="E471" s="383"/>
      <c r="F471" s="536"/>
      <c r="G471" s="536"/>
      <c r="H471" s="383"/>
      <c r="I471" s="383"/>
      <c r="J471" s="383"/>
      <c r="K471" s="383"/>
      <c r="L471" s="383"/>
      <c r="M471" s="383"/>
      <c r="N471" s="383"/>
      <c r="O471" s="383"/>
      <c r="P471" s="383"/>
      <c r="Q471" s="383"/>
      <c r="R471" s="383"/>
      <c r="S471" s="383"/>
      <c r="T471" s="383"/>
      <c r="U471" s="383"/>
      <c r="V471" s="383"/>
      <c r="W471" s="578"/>
      <c r="X471" s="383"/>
      <c r="Y471" s="383"/>
      <c r="Z471" s="383"/>
    </row>
    <row r="472" ht="18.75" customHeight="1">
      <c r="A472" s="383"/>
      <c r="B472" s="383"/>
      <c r="C472" s="383"/>
      <c r="D472" s="383"/>
      <c r="E472" s="383"/>
      <c r="F472" s="536"/>
      <c r="G472" s="536"/>
      <c r="H472" s="383"/>
      <c r="I472" s="383"/>
      <c r="J472" s="383"/>
      <c r="K472" s="383"/>
      <c r="L472" s="383"/>
      <c r="M472" s="383"/>
      <c r="N472" s="383"/>
      <c r="O472" s="383"/>
      <c r="P472" s="383"/>
      <c r="Q472" s="383"/>
      <c r="R472" s="383"/>
      <c r="S472" s="383"/>
      <c r="T472" s="383"/>
      <c r="U472" s="383"/>
      <c r="V472" s="383"/>
      <c r="W472" s="578"/>
      <c r="X472" s="383"/>
      <c r="Y472" s="383"/>
      <c r="Z472" s="383"/>
    </row>
    <row r="473" ht="18.75" customHeight="1">
      <c r="A473" s="383"/>
      <c r="B473" s="383"/>
      <c r="C473" s="383"/>
      <c r="D473" s="383"/>
      <c r="E473" s="383"/>
      <c r="F473" s="536"/>
      <c r="G473" s="536"/>
      <c r="H473" s="383"/>
      <c r="I473" s="383"/>
      <c r="J473" s="383"/>
      <c r="K473" s="383"/>
      <c r="L473" s="383"/>
      <c r="M473" s="383"/>
      <c r="N473" s="383"/>
      <c r="O473" s="383"/>
      <c r="P473" s="383"/>
      <c r="Q473" s="383"/>
      <c r="R473" s="383"/>
      <c r="S473" s="383"/>
      <c r="T473" s="383"/>
      <c r="U473" s="383"/>
      <c r="V473" s="383"/>
      <c r="W473" s="578"/>
      <c r="X473" s="383"/>
      <c r="Y473" s="383"/>
      <c r="Z473" s="383"/>
    </row>
    <row r="474" ht="18.75" customHeight="1">
      <c r="A474" s="383"/>
      <c r="B474" s="383"/>
      <c r="C474" s="383"/>
      <c r="D474" s="383"/>
      <c r="E474" s="383"/>
      <c r="F474" s="536"/>
      <c r="G474" s="536"/>
      <c r="H474" s="383"/>
      <c r="I474" s="383"/>
      <c r="J474" s="383"/>
      <c r="K474" s="383"/>
      <c r="L474" s="383"/>
      <c r="M474" s="383"/>
      <c r="N474" s="383"/>
      <c r="O474" s="383"/>
      <c r="P474" s="383"/>
      <c r="Q474" s="383"/>
      <c r="R474" s="383"/>
      <c r="S474" s="383"/>
      <c r="T474" s="383"/>
      <c r="U474" s="383"/>
      <c r="V474" s="383"/>
      <c r="W474" s="578"/>
      <c r="X474" s="383"/>
      <c r="Y474" s="383"/>
      <c r="Z474" s="383"/>
    </row>
    <row r="475" ht="18.75" customHeight="1">
      <c r="A475" s="383"/>
      <c r="B475" s="383"/>
      <c r="C475" s="383"/>
      <c r="D475" s="383"/>
      <c r="E475" s="383"/>
      <c r="F475" s="536"/>
      <c r="G475" s="536"/>
      <c r="H475" s="383"/>
      <c r="I475" s="383"/>
      <c r="J475" s="383"/>
      <c r="K475" s="383"/>
      <c r="L475" s="383"/>
      <c r="M475" s="383"/>
      <c r="N475" s="383"/>
      <c r="O475" s="383"/>
      <c r="P475" s="383"/>
      <c r="Q475" s="383"/>
      <c r="R475" s="383"/>
      <c r="S475" s="383"/>
      <c r="T475" s="383"/>
      <c r="U475" s="383"/>
      <c r="V475" s="383"/>
      <c r="W475" s="578"/>
      <c r="X475" s="383"/>
      <c r="Y475" s="383"/>
      <c r="Z475" s="383"/>
    </row>
    <row r="476" ht="18.75" customHeight="1">
      <c r="A476" s="383"/>
      <c r="B476" s="383"/>
      <c r="C476" s="383"/>
      <c r="D476" s="383"/>
      <c r="E476" s="383"/>
      <c r="F476" s="536"/>
      <c r="G476" s="536"/>
      <c r="H476" s="383"/>
      <c r="I476" s="383"/>
      <c r="J476" s="383"/>
      <c r="K476" s="383"/>
      <c r="L476" s="383"/>
      <c r="M476" s="383"/>
      <c r="N476" s="383"/>
      <c r="O476" s="383"/>
      <c r="P476" s="383"/>
      <c r="Q476" s="383"/>
      <c r="R476" s="383"/>
      <c r="S476" s="383"/>
      <c r="T476" s="383"/>
      <c r="U476" s="383"/>
      <c r="V476" s="383"/>
      <c r="W476" s="578"/>
      <c r="X476" s="383"/>
      <c r="Y476" s="383"/>
      <c r="Z476" s="383"/>
    </row>
    <row r="477" ht="18.75" customHeight="1">
      <c r="A477" s="383"/>
      <c r="B477" s="383"/>
      <c r="C477" s="383"/>
      <c r="D477" s="383"/>
      <c r="E477" s="383"/>
      <c r="F477" s="536"/>
      <c r="G477" s="536"/>
      <c r="H477" s="383"/>
      <c r="I477" s="383"/>
      <c r="J477" s="383"/>
      <c r="K477" s="383"/>
      <c r="L477" s="383"/>
      <c r="M477" s="383"/>
      <c r="N477" s="383"/>
      <c r="O477" s="383"/>
      <c r="P477" s="383"/>
      <c r="Q477" s="383"/>
      <c r="R477" s="383"/>
      <c r="S477" s="383"/>
      <c r="T477" s="383"/>
      <c r="U477" s="383"/>
      <c r="V477" s="383"/>
      <c r="W477" s="578"/>
      <c r="X477" s="383"/>
      <c r="Y477" s="383"/>
      <c r="Z477" s="383"/>
    </row>
    <row r="478" ht="18.75" customHeight="1">
      <c r="A478" s="383"/>
      <c r="B478" s="383"/>
      <c r="C478" s="383"/>
      <c r="D478" s="383"/>
      <c r="E478" s="383"/>
      <c r="F478" s="536"/>
      <c r="G478" s="536"/>
      <c r="H478" s="383"/>
      <c r="I478" s="383"/>
      <c r="J478" s="383"/>
      <c r="K478" s="383"/>
      <c r="L478" s="383"/>
      <c r="M478" s="383"/>
      <c r="N478" s="383"/>
      <c r="O478" s="383"/>
      <c r="P478" s="383"/>
      <c r="Q478" s="383"/>
      <c r="R478" s="383"/>
      <c r="S478" s="383"/>
      <c r="T478" s="383"/>
      <c r="U478" s="383"/>
      <c r="V478" s="383"/>
      <c r="W478" s="578"/>
      <c r="X478" s="383"/>
      <c r="Y478" s="383"/>
      <c r="Z478" s="383"/>
    </row>
    <row r="479" ht="18.75" customHeight="1">
      <c r="A479" s="383"/>
      <c r="B479" s="383"/>
      <c r="C479" s="383"/>
      <c r="D479" s="383"/>
      <c r="E479" s="383"/>
      <c r="F479" s="536"/>
      <c r="G479" s="536"/>
      <c r="H479" s="383"/>
      <c r="I479" s="383"/>
      <c r="J479" s="383"/>
      <c r="K479" s="383"/>
      <c r="L479" s="383"/>
      <c r="M479" s="383"/>
      <c r="N479" s="383"/>
      <c r="O479" s="383"/>
      <c r="P479" s="383"/>
      <c r="Q479" s="383"/>
      <c r="R479" s="383"/>
      <c r="S479" s="383"/>
      <c r="T479" s="383"/>
      <c r="U479" s="383"/>
      <c r="V479" s="383"/>
      <c r="W479" s="578"/>
      <c r="X479" s="383"/>
      <c r="Y479" s="383"/>
      <c r="Z479" s="383"/>
    </row>
    <row r="480" ht="18.75" customHeight="1">
      <c r="A480" s="383"/>
      <c r="B480" s="383"/>
      <c r="C480" s="383"/>
      <c r="D480" s="383"/>
      <c r="E480" s="383"/>
      <c r="F480" s="536"/>
      <c r="G480" s="536"/>
      <c r="H480" s="383"/>
      <c r="I480" s="383"/>
      <c r="J480" s="383"/>
      <c r="K480" s="383"/>
      <c r="L480" s="383"/>
      <c r="M480" s="383"/>
      <c r="N480" s="383"/>
      <c r="O480" s="383"/>
      <c r="P480" s="383"/>
      <c r="Q480" s="383"/>
      <c r="R480" s="383"/>
      <c r="S480" s="383"/>
      <c r="T480" s="383"/>
      <c r="U480" s="383"/>
      <c r="V480" s="383"/>
      <c r="W480" s="578"/>
      <c r="X480" s="383"/>
      <c r="Y480" s="383"/>
      <c r="Z480" s="383"/>
    </row>
    <row r="481" ht="18.75" customHeight="1">
      <c r="A481" s="383"/>
      <c r="B481" s="383"/>
      <c r="C481" s="383"/>
      <c r="D481" s="383"/>
      <c r="E481" s="383"/>
      <c r="F481" s="536"/>
      <c r="G481" s="536"/>
      <c r="H481" s="383"/>
      <c r="I481" s="383"/>
      <c r="J481" s="383"/>
      <c r="K481" s="383"/>
      <c r="L481" s="383"/>
      <c r="M481" s="383"/>
      <c r="N481" s="383"/>
      <c r="O481" s="383"/>
      <c r="P481" s="383"/>
      <c r="Q481" s="383"/>
      <c r="R481" s="383"/>
      <c r="S481" s="383"/>
      <c r="T481" s="383"/>
      <c r="U481" s="383"/>
      <c r="V481" s="383"/>
      <c r="W481" s="578"/>
      <c r="X481" s="383"/>
      <c r="Y481" s="383"/>
      <c r="Z481" s="383"/>
    </row>
    <row r="482" ht="18.75" customHeight="1">
      <c r="A482" s="383"/>
      <c r="B482" s="383"/>
      <c r="C482" s="383"/>
      <c r="D482" s="383"/>
      <c r="E482" s="383"/>
      <c r="F482" s="536"/>
      <c r="G482" s="536"/>
      <c r="H482" s="383"/>
      <c r="I482" s="383"/>
      <c r="J482" s="383"/>
      <c r="K482" s="383"/>
      <c r="L482" s="383"/>
      <c r="M482" s="383"/>
      <c r="N482" s="383"/>
      <c r="O482" s="383"/>
      <c r="P482" s="383"/>
      <c r="Q482" s="383"/>
      <c r="R482" s="383"/>
      <c r="S482" s="383"/>
      <c r="T482" s="383"/>
      <c r="U482" s="383"/>
      <c r="V482" s="383"/>
      <c r="W482" s="578"/>
      <c r="X482" s="383"/>
      <c r="Y482" s="383"/>
      <c r="Z482" s="383"/>
    </row>
    <row r="483" ht="18.75" customHeight="1">
      <c r="A483" s="383"/>
      <c r="B483" s="383"/>
      <c r="C483" s="383"/>
      <c r="D483" s="383"/>
      <c r="E483" s="383"/>
      <c r="F483" s="536"/>
      <c r="G483" s="536"/>
      <c r="H483" s="383"/>
      <c r="I483" s="383"/>
      <c r="J483" s="383"/>
      <c r="K483" s="383"/>
      <c r="L483" s="383"/>
      <c r="M483" s="383"/>
      <c r="N483" s="383"/>
      <c r="O483" s="383"/>
      <c r="P483" s="383"/>
      <c r="Q483" s="383"/>
      <c r="R483" s="383"/>
      <c r="S483" s="383"/>
      <c r="T483" s="383"/>
      <c r="U483" s="383"/>
      <c r="V483" s="383"/>
      <c r="W483" s="578"/>
      <c r="X483" s="383"/>
      <c r="Y483" s="383"/>
      <c r="Z483" s="383"/>
    </row>
    <row r="484" ht="18.75" customHeight="1">
      <c r="A484" s="383"/>
      <c r="B484" s="383"/>
      <c r="C484" s="383"/>
      <c r="D484" s="383"/>
      <c r="E484" s="383"/>
      <c r="F484" s="536"/>
      <c r="G484" s="536"/>
      <c r="H484" s="383"/>
      <c r="I484" s="383"/>
      <c r="J484" s="383"/>
      <c r="K484" s="383"/>
      <c r="L484" s="383"/>
      <c r="M484" s="383"/>
      <c r="N484" s="383"/>
      <c r="O484" s="383"/>
      <c r="P484" s="383"/>
      <c r="Q484" s="383"/>
      <c r="R484" s="383"/>
      <c r="S484" s="383"/>
      <c r="T484" s="383"/>
      <c r="U484" s="383"/>
      <c r="V484" s="383"/>
      <c r="W484" s="578"/>
      <c r="X484" s="383"/>
      <c r="Y484" s="383"/>
      <c r="Z484" s="383"/>
    </row>
    <row r="485" ht="18.75" customHeight="1">
      <c r="A485" s="383"/>
      <c r="B485" s="383"/>
      <c r="C485" s="383"/>
      <c r="D485" s="383"/>
      <c r="E485" s="383"/>
      <c r="F485" s="536"/>
      <c r="G485" s="536"/>
      <c r="H485" s="383"/>
      <c r="I485" s="383"/>
      <c r="J485" s="383"/>
      <c r="K485" s="383"/>
      <c r="L485" s="383"/>
      <c r="M485" s="383"/>
      <c r="N485" s="383"/>
      <c r="O485" s="383"/>
      <c r="P485" s="383"/>
      <c r="Q485" s="383"/>
      <c r="R485" s="383"/>
      <c r="S485" s="383"/>
      <c r="T485" s="383"/>
      <c r="U485" s="383"/>
      <c r="V485" s="383"/>
      <c r="W485" s="578"/>
      <c r="X485" s="383"/>
      <c r="Y485" s="383"/>
      <c r="Z485" s="383"/>
    </row>
    <row r="486" ht="18.75" customHeight="1">
      <c r="A486" s="383"/>
      <c r="B486" s="383"/>
      <c r="C486" s="383"/>
      <c r="D486" s="383"/>
      <c r="E486" s="383"/>
      <c r="F486" s="536"/>
      <c r="G486" s="536"/>
      <c r="H486" s="383"/>
      <c r="I486" s="383"/>
      <c r="J486" s="383"/>
      <c r="K486" s="383"/>
      <c r="L486" s="383"/>
      <c r="M486" s="383"/>
      <c r="N486" s="383"/>
      <c r="O486" s="383"/>
      <c r="P486" s="383"/>
      <c r="Q486" s="383"/>
      <c r="R486" s="383"/>
      <c r="S486" s="383"/>
      <c r="T486" s="383"/>
      <c r="U486" s="383"/>
      <c r="V486" s="383"/>
      <c r="W486" s="578"/>
      <c r="X486" s="383"/>
      <c r="Y486" s="383"/>
      <c r="Z486" s="383"/>
    </row>
    <row r="487" ht="18.75" customHeight="1">
      <c r="A487" s="383"/>
      <c r="B487" s="383"/>
      <c r="C487" s="383"/>
      <c r="D487" s="383"/>
      <c r="E487" s="383"/>
      <c r="F487" s="536"/>
      <c r="G487" s="536"/>
      <c r="H487" s="383"/>
      <c r="I487" s="383"/>
      <c r="J487" s="383"/>
      <c r="K487" s="383"/>
      <c r="L487" s="383"/>
      <c r="M487" s="383"/>
      <c r="N487" s="383"/>
      <c r="O487" s="383"/>
      <c r="P487" s="383"/>
      <c r="Q487" s="383"/>
      <c r="R487" s="383"/>
      <c r="S487" s="383"/>
      <c r="T487" s="383"/>
      <c r="U487" s="383"/>
      <c r="V487" s="383"/>
      <c r="W487" s="578"/>
      <c r="X487" s="383"/>
      <c r="Y487" s="383"/>
      <c r="Z487" s="383"/>
    </row>
    <row r="488" ht="18.75" customHeight="1">
      <c r="A488" s="383"/>
      <c r="B488" s="383"/>
      <c r="C488" s="383"/>
      <c r="D488" s="383"/>
      <c r="E488" s="383"/>
      <c r="F488" s="536"/>
      <c r="G488" s="536"/>
      <c r="H488" s="383"/>
      <c r="I488" s="383"/>
      <c r="J488" s="383"/>
      <c r="K488" s="383"/>
      <c r="L488" s="383"/>
      <c r="M488" s="383"/>
      <c r="N488" s="383"/>
      <c r="O488" s="383"/>
      <c r="P488" s="383"/>
      <c r="Q488" s="383"/>
      <c r="R488" s="383"/>
      <c r="S488" s="383"/>
      <c r="T488" s="383"/>
      <c r="U488" s="383"/>
      <c r="V488" s="383"/>
      <c r="W488" s="578"/>
      <c r="X488" s="383"/>
      <c r="Y488" s="383"/>
      <c r="Z488" s="383"/>
    </row>
    <row r="489" ht="18.75" customHeight="1">
      <c r="A489" s="383"/>
      <c r="B489" s="383"/>
      <c r="C489" s="383"/>
      <c r="D489" s="383"/>
      <c r="E489" s="383"/>
      <c r="F489" s="536"/>
      <c r="G489" s="536"/>
      <c r="H489" s="383"/>
      <c r="I489" s="383"/>
      <c r="J489" s="383"/>
      <c r="K489" s="383"/>
      <c r="L489" s="383"/>
      <c r="M489" s="383"/>
      <c r="N489" s="383"/>
      <c r="O489" s="383"/>
      <c r="P489" s="383"/>
      <c r="Q489" s="383"/>
      <c r="R489" s="383"/>
      <c r="S489" s="383"/>
      <c r="T489" s="383"/>
      <c r="U489" s="383"/>
      <c r="V489" s="383"/>
      <c r="W489" s="578"/>
      <c r="X489" s="383"/>
      <c r="Y489" s="383"/>
      <c r="Z489" s="383"/>
    </row>
    <row r="490" ht="18.75" customHeight="1">
      <c r="A490" s="383"/>
      <c r="B490" s="383"/>
      <c r="C490" s="383"/>
      <c r="D490" s="383"/>
      <c r="E490" s="383"/>
      <c r="F490" s="536"/>
      <c r="G490" s="536"/>
      <c r="H490" s="383"/>
      <c r="I490" s="383"/>
      <c r="J490" s="383"/>
      <c r="K490" s="383"/>
      <c r="L490" s="383"/>
      <c r="M490" s="383"/>
      <c r="N490" s="383"/>
      <c r="O490" s="383"/>
      <c r="P490" s="383"/>
      <c r="Q490" s="383"/>
      <c r="R490" s="383"/>
      <c r="S490" s="383"/>
      <c r="T490" s="383"/>
      <c r="U490" s="383"/>
      <c r="V490" s="383"/>
      <c r="W490" s="578"/>
      <c r="X490" s="383"/>
      <c r="Y490" s="383"/>
      <c r="Z490" s="383"/>
    </row>
    <row r="491" ht="18.75" customHeight="1">
      <c r="A491" s="383"/>
      <c r="B491" s="383"/>
      <c r="C491" s="383"/>
      <c r="D491" s="383"/>
      <c r="E491" s="383"/>
      <c r="F491" s="536"/>
      <c r="G491" s="536"/>
      <c r="H491" s="383"/>
      <c r="I491" s="383"/>
      <c r="J491" s="383"/>
      <c r="K491" s="383"/>
      <c r="L491" s="383"/>
      <c r="M491" s="383"/>
      <c r="N491" s="383"/>
      <c r="O491" s="383"/>
      <c r="P491" s="383"/>
      <c r="Q491" s="383"/>
      <c r="R491" s="383"/>
      <c r="S491" s="383"/>
      <c r="T491" s="383"/>
      <c r="U491" s="383"/>
      <c r="V491" s="383"/>
      <c r="W491" s="578"/>
      <c r="X491" s="383"/>
      <c r="Y491" s="383"/>
      <c r="Z491" s="383"/>
    </row>
    <row r="492" ht="18.75" customHeight="1">
      <c r="A492" s="383"/>
      <c r="B492" s="383"/>
      <c r="C492" s="383"/>
      <c r="D492" s="383"/>
      <c r="E492" s="383"/>
      <c r="F492" s="536"/>
      <c r="G492" s="536"/>
      <c r="H492" s="383"/>
      <c r="I492" s="383"/>
      <c r="J492" s="383"/>
      <c r="K492" s="383"/>
      <c r="L492" s="383"/>
      <c r="M492" s="383"/>
      <c r="N492" s="383"/>
      <c r="O492" s="383"/>
      <c r="P492" s="383"/>
      <c r="Q492" s="383"/>
      <c r="R492" s="383"/>
      <c r="S492" s="383"/>
      <c r="T492" s="383"/>
      <c r="U492" s="383"/>
      <c r="V492" s="383"/>
      <c r="W492" s="578"/>
      <c r="X492" s="383"/>
      <c r="Y492" s="383"/>
      <c r="Z492" s="383"/>
    </row>
    <row r="493" ht="18.75" customHeight="1">
      <c r="A493" s="383"/>
      <c r="B493" s="383"/>
      <c r="C493" s="383"/>
      <c r="D493" s="383"/>
      <c r="E493" s="383"/>
      <c r="F493" s="536"/>
      <c r="G493" s="536"/>
      <c r="H493" s="383"/>
      <c r="I493" s="383"/>
      <c r="J493" s="383"/>
      <c r="K493" s="383"/>
      <c r="L493" s="383"/>
      <c r="M493" s="383"/>
      <c r="N493" s="383"/>
      <c r="O493" s="383"/>
      <c r="P493" s="383"/>
      <c r="Q493" s="383"/>
      <c r="R493" s="383"/>
      <c r="S493" s="383"/>
      <c r="T493" s="383"/>
      <c r="U493" s="383"/>
      <c r="V493" s="383"/>
      <c r="W493" s="578"/>
      <c r="X493" s="383"/>
      <c r="Y493" s="383"/>
      <c r="Z493" s="383"/>
    </row>
    <row r="494" ht="18.75" customHeight="1">
      <c r="A494" s="383"/>
      <c r="B494" s="383"/>
      <c r="C494" s="383"/>
      <c r="D494" s="383"/>
      <c r="E494" s="383"/>
      <c r="F494" s="536"/>
      <c r="G494" s="536"/>
      <c r="H494" s="383"/>
      <c r="I494" s="383"/>
      <c r="J494" s="383"/>
      <c r="K494" s="383"/>
      <c r="L494" s="383"/>
      <c r="M494" s="383"/>
      <c r="N494" s="383"/>
      <c r="O494" s="383"/>
      <c r="P494" s="383"/>
      <c r="Q494" s="383"/>
      <c r="R494" s="383"/>
      <c r="S494" s="383"/>
      <c r="T494" s="383"/>
      <c r="U494" s="383"/>
      <c r="V494" s="383"/>
      <c r="W494" s="578"/>
      <c r="X494" s="383"/>
      <c r="Y494" s="383"/>
      <c r="Z494" s="383"/>
    </row>
    <row r="495" ht="18.75" customHeight="1">
      <c r="A495" s="383"/>
      <c r="B495" s="383"/>
      <c r="C495" s="383"/>
      <c r="D495" s="383"/>
      <c r="E495" s="383"/>
      <c r="F495" s="536"/>
      <c r="G495" s="536"/>
      <c r="H495" s="383"/>
      <c r="I495" s="383"/>
      <c r="J495" s="383"/>
      <c r="K495" s="383"/>
      <c r="L495" s="383"/>
      <c r="M495" s="383"/>
      <c r="N495" s="383"/>
      <c r="O495" s="383"/>
      <c r="P495" s="383"/>
      <c r="Q495" s="383"/>
      <c r="R495" s="383"/>
      <c r="S495" s="383"/>
      <c r="T495" s="383"/>
      <c r="U495" s="383"/>
      <c r="V495" s="383"/>
      <c r="W495" s="578"/>
      <c r="X495" s="383"/>
      <c r="Y495" s="383"/>
      <c r="Z495" s="383"/>
    </row>
    <row r="496" ht="18.75" customHeight="1">
      <c r="A496" s="383"/>
      <c r="B496" s="383"/>
      <c r="C496" s="383"/>
      <c r="D496" s="383"/>
      <c r="E496" s="383"/>
      <c r="F496" s="536"/>
      <c r="G496" s="536"/>
      <c r="H496" s="383"/>
      <c r="I496" s="383"/>
      <c r="J496" s="383"/>
      <c r="K496" s="383"/>
      <c r="L496" s="383"/>
      <c r="M496" s="383"/>
      <c r="N496" s="383"/>
      <c r="O496" s="383"/>
      <c r="P496" s="383"/>
      <c r="Q496" s="383"/>
      <c r="R496" s="383"/>
      <c r="S496" s="383"/>
      <c r="T496" s="383"/>
      <c r="U496" s="383"/>
      <c r="V496" s="383"/>
      <c r="W496" s="578"/>
      <c r="X496" s="383"/>
      <c r="Y496" s="383"/>
      <c r="Z496" s="383"/>
    </row>
    <row r="497" ht="18.75" customHeight="1">
      <c r="A497" s="383"/>
      <c r="B497" s="383"/>
      <c r="C497" s="383"/>
      <c r="D497" s="383"/>
      <c r="E497" s="383"/>
      <c r="F497" s="536"/>
      <c r="G497" s="536"/>
      <c r="H497" s="383"/>
      <c r="I497" s="383"/>
      <c r="J497" s="383"/>
      <c r="K497" s="383"/>
      <c r="L497" s="383"/>
      <c r="M497" s="383"/>
      <c r="N497" s="383"/>
      <c r="O497" s="383"/>
      <c r="P497" s="383"/>
      <c r="Q497" s="383"/>
      <c r="R497" s="383"/>
      <c r="S497" s="383"/>
      <c r="T497" s="383"/>
      <c r="U497" s="383"/>
      <c r="V497" s="383"/>
      <c r="W497" s="578"/>
      <c r="X497" s="383"/>
      <c r="Y497" s="383"/>
      <c r="Z497" s="383"/>
    </row>
    <row r="498" ht="18.75" customHeight="1">
      <c r="A498" s="383"/>
      <c r="B498" s="383"/>
      <c r="C498" s="383"/>
      <c r="D498" s="383"/>
      <c r="E498" s="383"/>
      <c r="F498" s="536"/>
      <c r="G498" s="536"/>
      <c r="H498" s="383"/>
      <c r="I498" s="383"/>
      <c r="J498" s="383"/>
      <c r="K498" s="383"/>
      <c r="L498" s="383"/>
      <c r="M498" s="383"/>
      <c r="N498" s="383"/>
      <c r="O498" s="383"/>
      <c r="P498" s="383"/>
      <c r="Q498" s="383"/>
      <c r="R498" s="383"/>
      <c r="S498" s="383"/>
      <c r="T498" s="383"/>
      <c r="U498" s="383"/>
      <c r="V498" s="383"/>
      <c r="W498" s="578"/>
      <c r="X498" s="383"/>
      <c r="Y498" s="383"/>
      <c r="Z498" s="383"/>
    </row>
    <row r="499" ht="18.75" customHeight="1">
      <c r="A499" s="383"/>
      <c r="B499" s="383"/>
      <c r="C499" s="383"/>
      <c r="D499" s="383"/>
      <c r="E499" s="383"/>
      <c r="F499" s="536"/>
      <c r="G499" s="536"/>
      <c r="H499" s="383"/>
      <c r="I499" s="383"/>
      <c r="J499" s="383"/>
      <c r="K499" s="383"/>
      <c r="L499" s="383"/>
      <c r="M499" s="383"/>
      <c r="N499" s="383"/>
      <c r="O499" s="383"/>
      <c r="P499" s="383"/>
      <c r="Q499" s="383"/>
      <c r="R499" s="383"/>
      <c r="S499" s="383"/>
      <c r="T499" s="383"/>
      <c r="U499" s="383"/>
      <c r="V499" s="383"/>
      <c r="W499" s="578"/>
      <c r="X499" s="383"/>
      <c r="Y499" s="383"/>
      <c r="Z499" s="383"/>
    </row>
    <row r="500" ht="18.75" customHeight="1">
      <c r="A500" s="383"/>
      <c r="B500" s="383"/>
      <c r="C500" s="383"/>
      <c r="D500" s="383"/>
      <c r="E500" s="383"/>
      <c r="F500" s="536"/>
      <c r="G500" s="536"/>
      <c r="H500" s="383"/>
      <c r="I500" s="383"/>
      <c r="J500" s="383"/>
      <c r="K500" s="383"/>
      <c r="L500" s="383"/>
      <c r="M500" s="383"/>
      <c r="N500" s="383"/>
      <c r="O500" s="383"/>
      <c r="P500" s="383"/>
      <c r="Q500" s="383"/>
      <c r="R500" s="383"/>
      <c r="S500" s="383"/>
      <c r="T500" s="383"/>
      <c r="U500" s="383"/>
      <c r="V500" s="383"/>
      <c r="W500" s="578"/>
      <c r="X500" s="383"/>
      <c r="Y500" s="383"/>
      <c r="Z500" s="383"/>
    </row>
    <row r="501" ht="18.75" customHeight="1">
      <c r="A501" s="383"/>
      <c r="B501" s="383"/>
      <c r="C501" s="383"/>
      <c r="D501" s="383"/>
      <c r="E501" s="383"/>
      <c r="F501" s="536"/>
      <c r="G501" s="536"/>
      <c r="H501" s="383"/>
      <c r="I501" s="383"/>
      <c r="J501" s="383"/>
      <c r="K501" s="383"/>
      <c r="L501" s="383"/>
      <c r="M501" s="383"/>
      <c r="N501" s="383"/>
      <c r="O501" s="383"/>
      <c r="P501" s="383"/>
      <c r="Q501" s="383"/>
      <c r="R501" s="383"/>
      <c r="S501" s="383"/>
      <c r="T501" s="383"/>
      <c r="U501" s="383"/>
      <c r="V501" s="383"/>
      <c r="W501" s="578"/>
      <c r="X501" s="383"/>
      <c r="Y501" s="383"/>
      <c r="Z501" s="383"/>
    </row>
    <row r="502" ht="18.75" customHeight="1">
      <c r="A502" s="383"/>
      <c r="B502" s="383"/>
      <c r="C502" s="383"/>
      <c r="D502" s="383"/>
      <c r="E502" s="383"/>
      <c r="F502" s="536"/>
      <c r="G502" s="536"/>
      <c r="H502" s="383"/>
      <c r="I502" s="383"/>
      <c r="J502" s="383"/>
      <c r="K502" s="383"/>
      <c r="L502" s="383"/>
      <c r="M502" s="383"/>
      <c r="N502" s="383"/>
      <c r="O502" s="383"/>
      <c r="P502" s="383"/>
      <c r="Q502" s="383"/>
      <c r="R502" s="383"/>
      <c r="S502" s="383"/>
      <c r="T502" s="383"/>
      <c r="U502" s="383"/>
      <c r="V502" s="383"/>
      <c r="W502" s="578"/>
      <c r="X502" s="383"/>
      <c r="Y502" s="383"/>
      <c r="Z502" s="383"/>
    </row>
    <row r="503" ht="18.75" customHeight="1">
      <c r="A503" s="383"/>
      <c r="B503" s="383"/>
      <c r="C503" s="383"/>
      <c r="D503" s="383"/>
      <c r="E503" s="383"/>
      <c r="F503" s="536"/>
      <c r="G503" s="536"/>
      <c r="H503" s="383"/>
      <c r="I503" s="383"/>
      <c r="J503" s="383"/>
      <c r="K503" s="383"/>
      <c r="L503" s="383"/>
      <c r="M503" s="383"/>
      <c r="N503" s="383"/>
      <c r="O503" s="383"/>
      <c r="P503" s="383"/>
      <c r="Q503" s="383"/>
      <c r="R503" s="383"/>
      <c r="S503" s="383"/>
      <c r="T503" s="383"/>
      <c r="U503" s="383"/>
      <c r="V503" s="383"/>
      <c r="W503" s="578"/>
      <c r="X503" s="383"/>
      <c r="Y503" s="383"/>
      <c r="Z503" s="383"/>
    </row>
    <row r="504" ht="18.75" customHeight="1">
      <c r="A504" s="383"/>
      <c r="B504" s="383"/>
      <c r="C504" s="383"/>
      <c r="D504" s="383"/>
      <c r="E504" s="383"/>
      <c r="F504" s="536"/>
      <c r="G504" s="536"/>
      <c r="H504" s="383"/>
      <c r="I504" s="383"/>
      <c r="J504" s="383"/>
      <c r="K504" s="383"/>
      <c r="L504" s="383"/>
      <c r="M504" s="383"/>
      <c r="N504" s="383"/>
      <c r="O504" s="383"/>
      <c r="P504" s="383"/>
      <c r="Q504" s="383"/>
      <c r="R504" s="383"/>
      <c r="S504" s="383"/>
      <c r="T504" s="383"/>
      <c r="U504" s="383"/>
      <c r="V504" s="383"/>
      <c r="W504" s="578"/>
      <c r="X504" s="383"/>
      <c r="Y504" s="383"/>
      <c r="Z504" s="383"/>
    </row>
    <row r="505" ht="18.75" customHeight="1">
      <c r="A505" s="383"/>
      <c r="B505" s="383"/>
      <c r="C505" s="383"/>
      <c r="D505" s="383"/>
      <c r="E505" s="383"/>
      <c r="F505" s="536"/>
      <c r="G505" s="536"/>
      <c r="H505" s="383"/>
      <c r="I505" s="383"/>
      <c r="J505" s="383"/>
      <c r="K505" s="383"/>
      <c r="L505" s="383"/>
      <c r="M505" s="383"/>
      <c r="N505" s="383"/>
      <c r="O505" s="383"/>
      <c r="P505" s="383"/>
      <c r="Q505" s="383"/>
      <c r="R505" s="383"/>
      <c r="S505" s="383"/>
      <c r="T505" s="383"/>
      <c r="U505" s="383"/>
      <c r="V505" s="383"/>
      <c r="W505" s="578"/>
      <c r="X505" s="383"/>
      <c r="Y505" s="383"/>
      <c r="Z505" s="383"/>
    </row>
    <row r="506" ht="18.75" customHeight="1">
      <c r="A506" s="383"/>
      <c r="B506" s="383"/>
      <c r="C506" s="383"/>
      <c r="D506" s="383"/>
      <c r="E506" s="383"/>
      <c r="F506" s="536"/>
      <c r="G506" s="536"/>
      <c r="H506" s="383"/>
      <c r="I506" s="383"/>
      <c r="J506" s="383"/>
      <c r="K506" s="383"/>
      <c r="L506" s="383"/>
      <c r="M506" s="383"/>
      <c r="N506" s="383"/>
      <c r="O506" s="383"/>
      <c r="P506" s="383"/>
      <c r="Q506" s="383"/>
      <c r="R506" s="383"/>
      <c r="S506" s="383"/>
      <c r="T506" s="383"/>
      <c r="U506" s="383"/>
      <c r="V506" s="383"/>
      <c r="W506" s="578"/>
      <c r="X506" s="383"/>
      <c r="Y506" s="383"/>
      <c r="Z506" s="383"/>
    </row>
    <row r="507" ht="18.75" customHeight="1">
      <c r="A507" s="383"/>
      <c r="B507" s="383"/>
      <c r="C507" s="383"/>
      <c r="D507" s="383"/>
      <c r="E507" s="383"/>
      <c r="F507" s="536"/>
      <c r="G507" s="536"/>
      <c r="H507" s="383"/>
      <c r="I507" s="383"/>
      <c r="J507" s="383"/>
      <c r="K507" s="383"/>
      <c r="L507" s="383"/>
      <c r="M507" s="383"/>
      <c r="N507" s="383"/>
      <c r="O507" s="383"/>
      <c r="P507" s="383"/>
      <c r="Q507" s="383"/>
      <c r="R507" s="383"/>
      <c r="S507" s="383"/>
      <c r="T507" s="383"/>
      <c r="U507" s="383"/>
      <c r="V507" s="383"/>
      <c r="W507" s="578"/>
      <c r="X507" s="383"/>
      <c r="Y507" s="383"/>
      <c r="Z507" s="383"/>
    </row>
    <row r="508" ht="18.75" customHeight="1">
      <c r="A508" s="383"/>
      <c r="B508" s="383"/>
      <c r="C508" s="383"/>
      <c r="D508" s="383"/>
      <c r="E508" s="383"/>
      <c r="F508" s="536"/>
      <c r="G508" s="536"/>
      <c r="H508" s="383"/>
      <c r="I508" s="383"/>
      <c r="J508" s="383"/>
      <c r="K508" s="383"/>
      <c r="L508" s="383"/>
      <c r="M508" s="383"/>
      <c r="N508" s="383"/>
      <c r="O508" s="383"/>
      <c r="P508" s="383"/>
      <c r="Q508" s="383"/>
      <c r="R508" s="383"/>
      <c r="S508" s="383"/>
      <c r="T508" s="383"/>
      <c r="U508" s="383"/>
      <c r="V508" s="383"/>
      <c r="W508" s="578"/>
      <c r="X508" s="383"/>
      <c r="Y508" s="383"/>
      <c r="Z508" s="383"/>
    </row>
    <row r="509" ht="18.75" customHeight="1">
      <c r="A509" s="383"/>
      <c r="B509" s="383"/>
      <c r="C509" s="383"/>
      <c r="D509" s="383"/>
      <c r="E509" s="383"/>
      <c r="F509" s="536"/>
      <c r="G509" s="536"/>
      <c r="H509" s="383"/>
      <c r="I509" s="383"/>
      <c r="J509" s="383"/>
      <c r="K509" s="383"/>
      <c r="L509" s="383"/>
      <c r="M509" s="383"/>
      <c r="N509" s="383"/>
      <c r="O509" s="383"/>
      <c r="P509" s="383"/>
      <c r="Q509" s="383"/>
      <c r="R509" s="383"/>
      <c r="S509" s="383"/>
      <c r="T509" s="383"/>
      <c r="U509" s="383"/>
      <c r="V509" s="383"/>
      <c r="W509" s="578"/>
      <c r="X509" s="383"/>
      <c r="Y509" s="383"/>
      <c r="Z509" s="383"/>
    </row>
    <row r="510" ht="18.75" customHeight="1">
      <c r="A510" s="383"/>
      <c r="B510" s="383"/>
      <c r="C510" s="383"/>
      <c r="D510" s="383"/>
      <c r="E510" s="383"/>
      <c r="F510" s="536"/>
      <c r="G510" s="536"/>
      <c r="H510" s="383"/>
      <c r="I510" s="383"/>
      <c r="J510" s="383"/>
      <c r="K510" s="383"/>
      <c r="L510" s="383"/>
      <c r="M510" s="383"/>
      <c r="N510" s="383"/>
      <c r="O510" s="383"/>
      <c r="P510" s="383"/>
      <c r="Q510" s="383"/>
      <c r="R510" s="383"/>
      <c r="S510" s="383"/>
      <c r="T510" s="383"/>
      <c r="U510" s="383"/>
      <c r="V510" s="383"/>
      <c r="W510" s="578"/>
      <c r="X510" s="383"/>
      <c r="Y510" s="383"/>
      <c r="Z510" s="383"/>
    </row>
    <row r="511" ht="18.75" customHeight="1">
      <c r="A511" s="383"/>
      <c r="B511" s="383"/>
      <c r="C511" s="383"/>
      <c r="D511" s="383"/>
      <c r="E511" s="383"/>
      <c r="F511" s="536"/>
      <c r="G511" s="536"/>
      <c r="H511" s="383"/>
      <c r="I511" s="383"/>
      <c r="J511" s="383"/>
      <c r="K511" s="383"/>
      <c r="L511" s="383"/>
      <c r="M511" s="383"/>
      <c r="N511" s="383"/>
      <c r="O511" s="383"/>
      <c r="P511" s="383"/>
      <c r="Q511" s="383"/>
      <c r="R511" s="383"/>
      <c r="S511" s="383"/>
      <c r="T511" s="383"/>
      <c r="U511" s="383"/>
      <c r="V511" s="383"/>
      <c r="W511" s="578"/>
      <c r="X511" s="383"/>
      <c r="Y511" s="383"/>
      <c r="Z511" s="383"/>
    </row>
    <row r="512" ht="18.75" customHeight="1">
      <c r="A512" s="383"/>
      <c r="B512" s="383"/>
      <c r="C512" s="383"/>
      <c r="D512" s="383"/>
      <c r="E512" s="383"/>
      <c r="F512" s="536"/>
      <c r="G512" s="536"/>
      <c r="H512" s="383"/>
      <c r="I512" s="383"/>
      <c r="J512" s="383"/>
      <c r="K512" s="383"/>
      <c r="L512" s="383"/>
      <c r="M512" s="383"/>
      <c r="N512" s="383"/>
      <c r="O512" s="383"/>
      <c r="P512" s="383"/>
      <c r="Q512" s="383"/>
      <c r="R512" s="383"/>
      <c r="S512" s="383"/>
      <c r="T512" s="383"/>
      <c r="U512" s="383"/>
      <c r="V512" s="383"/>
      <c r="W512" s="578"/>
      <c r="X512" s="383"/>
      <c r="Y512" s="383"/>
      <c r="Z512" s="383"/>
    </row>
    <row r="513" ht="18.75" customHeight="1">
      <c r="A513" s="383"/>
      <c r="B513" s="383"/>
      <c r="C513" s="383"/>
      <c r="D513" s="383"/>
      <c r="E513" s="383"/>
      <c r="F513" s="536"/>
      <c r="G513" s="536"/>
      <c r="H513" s="383"/>
      <c r="I513" s="383"/>
      <c r="J513" s="383"/>
      <c r="K513" s="383"/>
      <c r="L513" s="383"/>
      <c r="M513" s="383"/>
      <c r="N513" s="383"/>
      <c r="O513" s="383"/>
      <c r="P513" s="383"/>
      <c r="Q513" s="383"/>
      <c r="R513" s="383"/>
      <c r="S513" s="383"/>
      <c r="T513" s="383"/>
      <c r="U513" s="383"/>
      <c r="V513" s="383"/>
      <c r="W513" s="578"/>
      <c r="X513" s="383"/>
      <c r="Y513" s="383"/>
      <c r="Z513" s="383"/>
    </row>
    <row r="514" ht="18.75" customHeight="1">
      <c r="A514" s="383"/>
      <c r="B514" s="383"/>
      <c r="C514" s="383"/>
      <c r="D514" s="383"/>
      <c r="E514" s="383"/>
      <c r="F514" s="536"/>
      <c r="G514" s="536"/>
      <c r="H514" s="383"/>
      <c r="I514" s="383"/>
      <c r="J514" s="383"/>
      <c r="K514" s="383"/>
      <c r="L514" s="383"/>
      <c r="M514" s="383"/>
      <c r="N514" s="383"/>
      <c r="O514" s="383"/>
      <c r="P514" s="383"/>
      <c r="Q514" s="383"/>
      <c r="R514" s="383"/>
      <c r="S514" s="383"/>
      <c r="T514" s="383"/>
      <c r="U514" s="383"/>
      <c r="V514" s="383"/>
      <c r="W514" s="578"/>
      <c r="X514" s="383"/>
      <c r="Y514" s="383"/>
      <c r="Z514" s="383"/>
    </row>
    <row r="515" ht="18.75" customHeight="1">
      <c r="A515" s="383"/>
      <c r="B515" s="383"/>
      <c r="C515" s="383"/>
      <c r="D515" s="383"/>
      <c r="E515" s="383"/>
      <c r="F515" s="536"/>
      <c r="G515" s="536"/>
      <c r="H515" s="383"/>
      <c r="I515" s="383"/>
      <c r="J515" s="383"/>
      <c r="K515" s="383"/>
      <c r="L515" s="383"/>
      <c r="M515" s="383"/>
      <c r="N515" s="383"/>
      <c r="O515" s="383"/>
      <c r="P515" s="383"/>
      <c r="Q515" s="383"/>
      <c r="R515" s="383"/>
      <c r="S515" s="383"/>
      <c r="T515" s="383"/>
      <c r="U515" s="383"/>
      <c r="V515" s="383"/>
      <c r="W515" s="578"/>
      <c r="X515" s="383"/>
      <c r="Y515" s="383"/>
      <c r="Z515" s="383"/>
    </row>
    <row r="516" ht="18.75" customHeight="1">
      <c r="A516" s="383"/>
      <c r="B516" s="383"/>
      <c r="C516" s="383"/>
      <c r="D516" s="383"/>
      <c r="E516" s="383"/>
      <c r="F516" s="536"/>
      <c r="G516" s="536"/>
      <c r="H516" s="383"/>
      <c r="I516" s="383"/>
      <c r="J516" s="383"/>
      <c r="K516" s="383"/>
      <c r="L516" s="383"/>
      <c r="M516" s="383"/>
      <c r="N516" s="383"/>
      <c r="O516" s="383"/>
      <c r="P516" s="383"/>
      <c r="Q516" s="383"/>
      <c r="R516" s="383"/>
      <c r="S516" s="383"/>
      <c r="T516" s="383"/>
      <c r="U516" s="383"/>
      <c r="V516" s="383"/>
      <c r="W516" s="578"/>
      <c r="X516" s="383"/>
      <c r="Y516" s="383"/>
      <c r="Z516" s="383"/>
    </row>
    <row r="517" ht="18.75" customHeight="1">
      <c r="A517" s="383"/>
      <c r="B517" s="383"/>
      <c r="C517" s="383"/>
      <c r="D517" s="383"/>
      <c r="E517" s="383"/>
      <c r="F517" s="536"/>
      <c r="G517" s="536"/>
      <c r="H517" s="383"/>
      <c r="I517" s="383"/>
      <c r="J517" s="383"/>
      <c r="K517" s="383"/>
      <c r="L517" s="383"/>
      <c r="M517" s="383"/>
      <c r="N517" s="383"/>
      <c r="O517" s="383"/>
      <c r="P517" s="383"/>
      <c r="Q517" s="383"/>
      <c r="R517" s="383"/>
      <c r="S517" s="383"/>
      <c r="T517" s="383"/>
      <c r="U517" s="383"/>
      <c r="V517" s="383"/>
      <c r="W517" s="578"/>
      <c r="X517" s="383"/>
      <c r="Y517" s="383"/>
      <c r="Z517" s="383"/>
    </row>
    <row r="518" ht="18.75" customHeight="1">
      <c r="A518" s="383"/>
      <c r="B518" s="383"/>
      <c r="C518" s="383"/>
      <c r="D518" s="383"/>
      <c r="E518" s="383"/>
      <c r="F518" s="536"/>
      <c r="G518" s="536"/>
      <c r="H518" s="383"/>
      <c r="I518" s="383"/>
      <c r="J518" s="383"/>
      <c r="K518" s="383"/>
      <c r="L518" s="383"/>
      <c r="M518" s="383"/>
      <c r="N518" s="383"/>
      <c r="O518" s="383"/>
      <c r="P518" s="383"/>
      <c r="Q518" s="383"/>
      <c r="R518" s="383"/>
      <c r="S518" s="383"/>
      <c r="T518" s="383"/>
      <c r="U518" s="383"/>
      <c r="V518" s="383"/>
      <c r="W518" s="578"/>
      <c r="X518" s="383"/>
      <c r="Y518" s="383"/>
      <c r="Z518" s="383"/>
    </row>
    <row r="519" ht="18.75" customHeight="1">
      <c r="A519" s="383"/>
      <c r="B519" s="383"/>
      <c r="C519" s="383"/>
      <c r="D519" s="383"/>
      <c r="E519" s="383"/>
      <c r="F519" s="536"/>
      <c r="G519" s="536"/>
      <c r="H519" s="383"/>
      <c r="I519" s="383"/>
      <c r="J519" s="383"/>
      <c r="K519" s="383"/>
      <c r="L519" s="383"/>
      <c r="M519" s="383"/>
      <c r="N519" s="383"/>
      <c r="O519" s="383"/>
      <c r="P519" s="383"/>
      <c r="Q519" s="383"/>
      <c r="R519" s="383"/>
      <c r="S519" s="383"/>
      <c r="T519" s="383"/>
      <c r="U519" s="383"/>
      <c r="V519" s="383"/>
      <c r="W519" s="578"/>
      <c r="X519" s="383"/>
      <c r="Y519" s="383"/>
      <c r="Z519" s="383"/>
    </row>
    <row r="520" ht="18.75" customHeight="1">
      <c r="A520" s="383"/>
      <c r="B520" s="383"/>
      <c r="C520" s="383"/>
      <c r="D520" s="383"/>
      <c r="E520" s="383"/>
      <c r="F520" s="536"/>
      <c r="G520" s="536"/>
      <c r="H520" s="383"/>
      <c r="I520" s="383"/>
      <c r="J520" s="383"/>
      <c r="K520" s="383"/>
      <c r="L520" s="383"/>
      <c r="M520" s="383"/>
      <c r="N520" s="383"/>
      <c r="O520" s="383"/>
      <c r="P520" s="383"/>
      <c r="Q520" s="383"/>
      <c r="R520" s="383"/>
      <c r="S520" s="383"/>
      <c r="T520" s="383"/>
      <c r="U520" s="383"/>
      <c r="V520" s="383"/>
      <c r="W520" s="578"/>
      <c r="X520" s="383"/>
      <c r="Y520" s="383"/>
      <c r="Z520" s="383"/>
    </row>
    <row r="521" ht="18.75" customHeight="1">
      <c r="A521" s="383"/>
      <c r="B521" s="383"/>
      <c r="C521" s="383"/>
      <c r="D521" s="383"/>
      <c r="E521" s="383"/>
      <c r="F521" s="536"/>
      <c r="G521" s="536"/>
      <c r="H521" s="383"/>
      <c r="I521" s="383"/>
      <c r="J521" s="383"/>
      <c r="K521" s="383"/>
      <c r="L521" s="383"/>
      <c r="M521" s="383"/>
      <c r="N521" s="383"/>
      <c r="O521" s="383"/>
      <c r="P521" s="383"/>
      <c r="Q521" s="383"/>
      <c r="R521" s="383"/>
      <c r="S521" s="383"/>
      <c r="T521" s="383"/>
      <c r="U521" s="383"/>
      <c r="V521" s="383"/>
      <c r="W521" s="578"/>
      <c r="X521" s="383"/>
      <c r="Y521" s="383"/>
      <c r="Z521" s="383"/>
    </row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808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6" width="6.71"/>
  </cols>
  <sheetData>
    <row r="1" ht="21.0" customHeight="1">
      <c r="A1" s="493"/>
      <c r="B1" s="494"/>
      <c r="C1" s="494"/>
      <c r="D1" s="494"/>
      <c r="E1" s="494"/>
      <c r="F1" s="501"/>
      <c r="G1" s="501"/>
      <c r="H1" s="494"/>
      <c r="I1" s="507"/>
      <c r="J1" s="507"/>
      <c r="K1" s="496"/>
      <c r="L1" s="496"/>
      <c r="M1" s="496"/>
      <c r="N1" s="496"/>
      <c r="O1" s="493"/>
      <c r="P1" s="493"/>
      <c r="Q1" s="493"/>
      <c r="R1" s="496"/>
      <c r="S1" s="496"/>
      <c r="T1" s="496"/>
      <c r="U1" s="496"/>
      <c r="V1" s="496"/>
      <c r="W1" s="496"/>
      <c r="X1" s="493"/>
      <c r="Y1" s="493"/>
    </row>
    <row r="2" ht="21.0" customHeight="1">
      <c r="A2" s="582"/>
      <c r="B2" s="583"/>
      <c r="C2" s="583"/>
      <c r="D2" s="583"/>
      <c r="E2" s="584"/>
      <c r="F2" s="585"/>
      <c r="G2" s="585"/>
      <c r="H2" s="583"/>
      <c r="I2" s="586"/>
      <c r="J2" s="586"/>
      <c r="K2" s="585"/>
      <c r="L2" s="585"/>
      <c r="M2" s="585"/>
      <c r="N2" s="26"/>
      <c r="O2" s="587"/>
      <c r="P2" s="588"/>
      <c r="Q2" s="588"/>
      <c r="R2" s="585"/>
      <c r="S2" s="585"/>
      <c r="T2" s="585"/>
      <c r="U2" s="585"/>
      <c r="V2" s="585"/>
      <c r="W2" s="585"/>
      <c r="X2" s="582"/>
      <c r="Y2" s="582"/>
    </row>
    <row r="3" ht="21.0" customHeight="1">
      <c r="A3" s="582"/>
      <c r="B3" s="583"/>
      <c r="C3" s="26"/>
      <c r="D3" s="585"/>
      <c r="E3" s="585"/>
      <c r="F3" s="585"/>
      <c r="G3" s="585"/>
      <c r="H3" s="585"/>
      <c r="I3" s="585"/>
      <c r="J3" s="585"/>
      <c r="K3" s="588"/>
      <c r="L3" s="587"/>
      <c r="M3" s="587"/>
      <c r="N3" s="588"/>
      <c r="O3" s="587"/>
      <c r="P3" s="588"/>
      <c r="Q3" s="588"/>
      <c r="R3" s="585"/>
      <c r="S3" s="585"/>
      <c r="T3" s="585"/>
      <c r="U3" s="585"/>
      <c r="V3" s="589"/>
      <c r="W3" s="585"/>
      <c r="X3" s="582"/>
      <c r="Y3" s="582"/>
    </row>
    <row r="4" ht="21.0" customHeight="1">
      <c r="A4" s="582"/>
      <c r="B4" s="590"/>
      <c r="C4" s="585"/>
      <c r="D4" s="585"/>
      <c r="E4" s="585"/>
      <c r="F4" s="585"/>
      <c r="G4" s="585"/>
      <c r="H4" s="585"/>
      <c r="I4" s="585"/>
      <c r="J4" s="585"/>
      <c r="K4" s="588"/>
      <c r="L4" s="587"/>
      <c r="M4" s="587"/>
      <c r="N4" s="588"/>
      <c r="O4" s="591"/>
      <c r="P4" s="582"/>
      <c r="Q4" s="582"/>
      <c r="R4" s="585"/>
      <c r="S4" s="585"/>
      <c r="T4" s="585"/>
      <c r="U4" s="585"/>
      <c r="V4" s="589"/>
      <c r="W4" s="585"/>
      <c r="X4" s="582"/>
      <c r="Y4" s="582"/>
    </row>
    <row r="5" ht="21.0" customHeight="1">
      <c r="A5" s="582"/>
      <c r="B5" s="590"/>
      <c r="C5" s="585"/>
      <c r="D5" s="585"/>
      <c r="E5" s="585"/>
      <c r="F5" s="585"/>
      <c r="G5" s="585"/>
      <c r="H5" s="585"/>
      <c r="I5" s="592"/>
      <c r="J5" s="592"/>
      <c r="K5" s="593"/>
      <c r="L5" s="592"/>
      <c r="M5" s="592"/>
      <c r="N5" s="585"/>
      <c r="O5" s="582"/>
      <c r="P5" s="582"/>
      <c r="Q5" s="582"/>
      <c r="R5" s="585"/>
      <c r="S5" s="585"/>
      <c r="T5" s="585"/>
      <c r="U5" s="585"/>
      <c r="V5" s="589"/>
      <c r="W5" s="585"/>
      <c r="X5" s="582"/>
      <c r="Y5" s="582"/>
    </row>
    <row r="6" ht="21.0" customHeight="1">
      <c r="A6" s="582"/>
      <c r="B6" s="590"/>
      <c r="C6" s="585"/>
      <c r="D6" s="585"/>
      <c r="E6" s="585"/>
      <c r="F6" s="585"/>
      <c r="G6" s="585"/>
      <c r="H6" s="583"/>
      <c r="I6" s="26"/>
      <c r="J6" s="26"/>
      <c r="K6" s="587"/>
      <c r="L6" s="588"/>
      <c r="M6" s="588"/>
      <c r="N6" s="585"/>
      <c r="O6" s="582"/>
      <c r="P6" s="582"/>
      <c r="Q6" s="582"/>
      <c r="R6" s="585"/>
      <c r="S6" s="585"/>
      <c r="T6" s="585"/>
      <c r="U6" s="585"/>
      <c r="V6" s="589"/>
      <c r="W6" s="585"/>
      <c r="X6" s="582"/>
      <c r="Y6" s="582"/>
    </row>
    <row r="7" ht="21.0" customHeight="1">
      <c r="A7" s="582"/>
      <c r="B7" s="590"/>
      <c r="C7" s="594"/>
      <c r="D7" s="585"/>
      <c r="E7" s="595"/>
      <c r="F7" s="585"/>
      <c r="G7" s="585"/>
      <c r="H7" s="583"/>
      <c r="I7" s="26"/>
      <c r="J7" s="26"/>
      <c r="K7" s="593"/>
      <c r="L7" s="593"/>
      <c r="M7" s="593"/>
      <c r="N7" s="585"/>
      <c r="O7" s="582"/>
      <c r="P7" s="582"/>
      <c r="Q7" s="582"/>
      <c r="R7" s="585"/>
      <c r="S7" s="585"/>
      <c r="T7" s="585"/>
      <c r="U7" s="585"/>
      <c r="V7" s="589"/>
      <c r="W7" s="585"/>
      <c r="X7" s="582"/>
      <c r="Y7" s="582"/>
    </row>
    <row r="8" ht="21.0" customHeight="1">
      <c r="A8" s="582"/>
      <c r="B8" s="590"/>
      <c r="C8" s="585"/>
      <c r="D8" s="585"/>
      <c r="E8" s="585"/>
      <c r="F8" s="585"/>
      <c r="G8" s="585"/>
      <c r="H8" s="596"/>
      <c r="I8" s="597"/>
      <c r="J8" s="597"/>
      <c r="K8" s="598"/>
      <c r="L8" s="585"/>
      <c r="M8" s="585"/>
      <c r="N8" s="585"/>
      <c r="O8" s="582"/>
      <c r="P8" s="582"/>
      <c r="Q8" s="582"/>
      <c r="R8" s="585"/>
      <c r="S8" s="585"/>
      <c r="T8" s="585"/>
      <c r="U8" s="585"/>
      <c r="V8" s="589"/>
      <c r="W8" s="585"/>
      <c r="X8" s="582"/>
      <c r="Y8" s="582"/>
    </row>
    <row r="9" ht="21.0" customHeight="1">
      <c r="A9" s="493"/>
      <c r="B9" s="500"/>
      <c r="C9" s="496"/>
      <c r="D9" s="496"/>
      <c r="E9" s="496"/>
      <c r="F9" s="496"/>
      <c r="G9" s="496"/>
      <c r="H9" s="508"/>
      <c r="I9" s="597"/>
      <c r="J9" s="597"/>
      <c r="K9" s="598"/>
      <c r="L9" s="585"/>
      <c r="M9" s="585"/>
      <c r="N9" s="585"/>
      <c r="O9" s="582"/>
      <c r="P9" s="582"/>
      <c r="Q9" s="582"/>
      <c r="R9" s="585"/>
      <c r="S9" s="585"/>
      <c r="T9" s="585"/>
      <c r="U9" s="585"/>
      <c r="V9" s="589"/>
      <c r="W9" s="585"/>
      <c r="X9" s="582"/>
      <c r="Y9" s="582"/>
    </row>
    <row r="10" ht="21.0" customHeight="1">
      <c r="A10" s="493"/>
      <c r="B10" s="494"/>
      <c r="C10" s="496"/>
      <c r="D10" s="496"/>
      <c r="E10" s="496"/>
      <c r="F10" s="496"/>
      <c r="G10" s="496"/>
      <c r="H10" s="508"/>
      <c r="I10" s="597"/>
      <c r="J10" s="597"/>
      <c r="K10" s="598"/>
      <c r="L10" s="585"/>
      <c r="M10" s="585"/>
      <c r="N10" s="585"/>
      <c r="O10" s="582"/>
      <c r="P10" s="582"/>
      <c r="Q10" s="582"/>
      <c r="R10" s="585"/>
      <c r="S10" s="585"/>
      <c r="T10" s="585"/>
      <c r="U10" s="585"/>
      <c r="V10" s="589"/>
      <c r="W10" s="585"/>
      <c r="X10" s="582"/>
      <c r="Y10" s="582"/>
    </row>
    <row r="11" ht="21.0" customHeight="1">
      <c r="A11" s="493"/>
      <c r="B11" s="494" t="s">
        <v>239</v>
      </c>
      <c r="C11" s="496" t="s">
        <v>240</v>
      </c>
      <c r="D11" s="496" t="s">
        <v>241</v>
      </c>
      <c r="E11" s="493" t="s">
        <v>248</v>
      </c>
      <c r="F11" s="496"/>
      <c r="G11" s="496"/>
      <c r="H11" s="508"/>
      <c r="I11" s="586"/>
      <c r="J11" s="586"/>
      <c r="K11" s="596"/>
      <c r="L11" s="585"/>
      <c r="M11" s="585"/>
      <c r="N11" s="585"/>
      <c r="O11" s="582"/>
      <c r="P11" s="582"/>
      <c r="Q11" s="582"/>
      <c r="R11" s="585"/>
      <c r="S11" s="585"/>
      <c r="T11" s="585"/>
      <c r="U11" s="585"/>
      <c r="V11" s="583"/>
      <c r="W11" s="585"/>
      <c r="X11" s="585"/>
      <c r="Y11" s="582"/>
    </row>
    <row r="12" ht="21.0" customHeight="1">
      <c r="A12" s="493"/>
      <c r="B12" s="494">
        <v>1.0</v>
      </c>
      <c r="C12" s="508"/>
      <c r="D12" s="569"/>
      <c r="E12" s="508"/>
      <c r="F12" s="496"/>
      <c r="G12" s="496"/>
      <c r="H12" s="508"/>
      <c r="I12" s="599"/>
      <c r="J12" s="599"/>
      <c r="K12" s="598"/>
      <c r="L12" s="585"/>
      <c r="M12" s="585"/>
      <c r="N12" s="585"/>
      <c r="O12" s="582"/>
      <c r="P12" s="582"/>
      <c r="Q12" s="582"/>
      <c r="R12" s="585"/>
      <c r="S12" s="66"/>
      <c r="T12" s="66"/>
      <c r="U12" s="585"/>
      <c r="V12" s="583"/>
      <c r="W12" s="600"/>
      <c r="X12" s="591"/>
      <c r="Y12" s="582"/>
    </row>
    <row r="13" ht="21.0" customHeight="1">
      <c r="A13" s="493"/>
      <c r="B13" s="494">
        <v>2.0</v>
      </c>
      <c r="C13" s="526"/>
      <c r="D13" s="569"/>
      <c r="E13" s="526"/>
      <c r="F13" s="501"/>
      <c r="G13" s="501"/>
      <c r="H13" s="494"/>
      <c r="I13" s="586"/>
      <c r="J13" s="586"/>
      <c r="K13" s="585"/>
      <c r="L13" s="585"/>
      <c r="M13" s="585"/>
      <c r="N13" s="585"/>
      <c r="O13" s="582"/>
      <c r="P13" s="582"/>
      <c r="Q13" s="582"/>
      <c r="R13" s="585"/>
      <c r="S13" s="66"/>
      <c r="T13" s="66"/>
      <c r="U13" s="585"/>
      <c r="V13" s="583"/>
      <c r="W13" s="583"/>
      <c r="X13" s="601"/>
      <c r="Y13" s="582"/>
    </row>
    <row r="14" ht="21.0" customHeight="1">
      <c r="A14" s="493"/>
      <c r="B14" s="494">
        <v>3.0</v>
      </c>
      <c r="C14" s="508"/>
      <c r="D14" s="569"/>
      <c r="E14" s="526"/>
      <c r="F14" s="501"/>
      <c r="G14" s="501"/>
      <c r="H14" s="494"/>
      <c r="I14" s="586"/>
      <c r="J14" s="586"/>
      <c r="K14" s="585"/>
      <c r="L14" s="585"/>
      <c r="M14" s="585"/>
      <c r="N14" s="585"/>
      <c r="O14" s="582"/>
      <c r="P14" s="582"/>
      <c r="Q14" s="582"/>
      <c r="R14" s="585"/>
      <c r="S14" s="66"/>
      <c r="T14" s="66"/>
      <c r="U14" s="585"/>
      <c r="V14" s="583"/>
      <c r="W14" s="583"/>
      <c r="X14" s="601"/>
      <c r="Y14" s="582"/>
    </row>
    <row r="15" ht="21.0" customHeight="1">
      <c r="A15" s="493"/>
      <c r="B15" s="494">
        <v>4.0</v>
      </c>
      <c r="C15" s="508"/>
      <c r="D15" s="569"/>
      <c r="E15" s="526"/>
      <c r="F15" s="501"/>
      <c r="G15" s="501"/>
      <c r="H15" s="494"/>
      <c r="I15" s="586"/>
      <c r="J15" s="586"/>
      <c r="K15" s="585"/>
      <c r="L15" s="585"/>
      <c r="M15" s="585"/>
      <c r="N15" s="585"/>
      <c r="O15" s="582"/>
      <c r="P15" s="582"/>
      <c r="Q15" s="582"/>
      <c r="R15" s="585"/>
      <c r="S15" s="66"/>
      <c r="T15" s="66"/>
      <c r="U15" s="585"/>
      <c r="V15" s="583"/>
      <c r="W15" s="583"/>
      <c r="X15" s="26"/>
      <c r="Y15" s="582"/>
    </row>
    <row r="16" ht="21.0" customHeight="1">
      <c r="A16" s="493"/>
      <c r="B16" s="494">
        <v>5.0</v>
      </c>
      <c r="C16" s="508"/>
      <c r="D16" s="569"/>
      <c r="E16" s="526"/>
      <c r="F16" s="501"/>
      <c r="G16" s="501"/>
      <c r="H16" s="494"/>
      <c r="I16" s="586"/>
      <c r="J16" s="586"/>
      <c r="K16" s="585"/>
      <c r="L16" s="585"/>
      <c r="M16" s="585"/>
      <c r="N16" s="585"/>
      <c r="O16" s="582"/>
      <c r="P16" s="582"/>
      <c r="Q16" s="582"/>
      <c r="R16" s="585"/>
      <c r="S16" s="66"/>
      <c r="T16" s="66"/>
      <c r="U16" s="585"/>
      <c r="V16" s="583"/>
      <c r="W16" s="583"/>
      <c r="X16" s="601"/>
      <c r="Y16" s="582"/>
    </row>
    <row r="17" ht="21.0" customHeight="1">
      <c r="A17" s="493"/>
      <c r="B17" s="494">
        <v>6.0</v>
      </c>
      <c r="C17" s="508"/>
      <c r="D17" s="569"/>
      <c r="E17" s="526"/>
      <c r="F17" s="501"/>
      <c r="G17" s="501"/>
      <c r="H17" s="494"/>
      <c r="I17" s="586"/>
      <c r="J17" s="586"/>
      <c r="K17" s="585"/>
      <c r="L17" s="585"/>
      <c r="M17" s="585"/>
      <c r="N17" s="585"/>
      <c r="O17" s="582"/>
      <c r="P17" s="582"/>
      <c r="Q17" s="582"/>
      <c r="R17" s="585"/>
      <c r="S17" s="66"/>
      <c r="T17" s="66"/>
      <c r="U17" s="585"/>
      <c r="V17" s="583"/>
      <c r="W17" s="583"/>
      <c r="X17" s="601"/>
      <c r="Y17" s="582"/>
    </row>
    <row r="18" ht="21.0" customHeight="1">
      <c r="A18" s="493"/>
      <c r="B18" s="494">
        <v>7.0</v>
      </c>
      <c r="C18" s="526"/>
      <c r="D18" s="572"/>
      <c r="E18" s="526"/>
      <c r="F18" s="501"/>
      <c r="G18" s="501"/>
      <c r="H18" s="494"/>
      <c r="I18" s="586"/>
      <c r="J18" s="586"/>
      <c r="K18" s="585"/>
      <c r="L18" s="585"/>
      <c r="M18" s="585"/>
      <c r="N18" s="585"/>
      <c r="O18" s="582"/>
      <c r="P18" s="582"/>
      <c r="Q18" s="582"/>
      <c r="R18" s="585"/>
      <c r="S18" s="66"/>
      <c r="T18" s="66"/>
      <c r="U18" s="585"/>
      <c r="V18" s="583"/>
      <c r="W18" s="602"/>
      <c r="X18" s="591"/>
      <c r="Y18" s="582"/>
    </row>
    <row r="19" ht="21.0" customHeight="1">
      <c r="A19" s="493"/>
      <c r="B19" s="494">
        <v>8.0</v>
      </c>
      <c r="C19" s="526"/>
      <c r="D19" s="572"/>
      <c r="E19" s="526"/>
      <c r="F19" s="501"/>
      <c r="G19" s="501"/>
      <c r="H19" s="494"/>
      <c r="I19" s="586"/>
      <c r="J19" s="586"/>
      <c r="K19" s="585"/>
      <c r="L19" s="585"/>
      <c r="M19" s="585"/>
      <c r="N19" s="585"/>
      <c r="O19" s="582"/>
      <c r="P19" s="582"/>
      <c r="Q19" s="582"/>
      <c r="R19" s="585"/>
      <c r="S19" s="66"/>
      <c r="T19" s="66"/>
      <c r="U19" s="585"/>
      <c r="V19" s="583"/>
      <c r="W19" s="583"/>
      <c r="X19" s="591"/>
      <c r="Y19" s="582"/>
    </row>
    <row r="20" ht="21.0" customHeight="1">
      <c r="A20" s="493"/>
      <c r="B20" s="494">
        <v>9.0</v>
      </c>
      <c r="C20" s="508"/>
      <c r="D20" s="525"/>
      <c r="E20" s="526"/>
      <c r="F20" s="501"/>
      <c r="G20" s="501"/>
      <c r="H20" s="494"/>
      <c r="I20" s="586"/>
      <c r="J20" s="586"/>
      <c r="K20" s="585"/>
      <c r="L20" s="585"/>
      <c r="M20" s="585"/>
      <c r="N20" s="585"/>
      <c r="O20" s="582"/>
      <c r="P20" s="582"/>
      <c r="Q20" s="582"/>
      <c r="R20" s="585"/>
      <c r="S20" s="66"/>
      <c r="T20" s="66"/>
      <c r="U20" s="585"/>
      <c r="V20" s="583"/>
      <c r="W20" s="603"/>
      <c r="X20" s="591"/>
      <c r="Y20" s="582"/>
    </row>
    <row r="21" ht="21.0" customHeight="1">
      <c r="A21" s="493"/>
      <c r="B21" s="494">
        <v>10.0</v>
      </c>
      <c r="C21" s="508"/>
      <c r="D21" s="569"/>
      <c r="E21" s="526"/>
      <c r="F21" s="501"/>
      <c r="G21" s="501"/>
      <c r="H21" s="494"/>
      <c r="I21" s="586"/>
      <c r="J21" s="586"/>
      <c r="K21" s="585"/>
      <c r="L21" s="585"/>
      <c r="M21" s="585"/>
      <c r="N21" s="585"/>
      <c r="O21" s="582"/>
      <c r="P21" s="582"/>
      <c r="Q21" s="582"/>
      <c r="R21" s="585"/>
      <c r="S21" s="66"/>
      <c r="T21" s="66"/>
      <c r="U21" s="585"/>
      <c r="V21" s="583"/>
      <c r="W21" s="583"/>
      <c r="X21" s="591"/>
      <c r="Y21" s="582"/>
    </row>
    <row r="22" ht="21.0" customHeight="1">
      <c r="A22" s="493"/>
      <c r="B22" s="494">
        <v>11.0</v>
      </c>
      <c r="C22" s="508"/>
      <c r="D22" s="569"/>
      <c r="E22" s="526"/>
      <c r="F22" s="501"/>
      <c r="G22" s="501"/>
      <c r="H22" s="494"/>
      <c r="I22" s="586"/>
      <c r="J22" s="586"/>
      <c r="K22" s="585"/>
      <c r="L22" s="585"/>
      <c r="M22" s="585"/>
      <c r="N22" s="585"/>
      <c r="O22" s="582"/>
      <c r="P22" s="582"/>
      <c r="Q22" s="582"/>
      <c r="R22" s="585"/>
      <c r="S22" s="66"/>
      <c r="T22" s="66"/>
      <c r="U22" s="585"/>
      <c r="V22" s="583"/>
      <c r="W22" s="603"/>
      <c r="X22" s="591"/>
      <c r="Y22" s="582"/>
    </row>
    <row r="23" ht="21.0" customHeight="1">
      <c r="A23" s="493"/>
      <c r="B23" s="494">
        <v>12.0</v>
      </c>
      <c r="C23" s="526"/>
      <c r="D23" s="572"/>
      <c r="E23" s="526"/>
      <c r="F23" s="501"/>
      <c r="G23" s="501"/>
      <c r="H23" s="494"/>
      <c r="I23" s="586"/>
      <c r="J23" s="586"/>
      <c r="K23" s="585"/>
      <c r="L23" s="585"/>
      <c r="M23" s="585"/>
      <c r="N23" s="585"/>
      <c r="O23" s="582"/>
      <c r="P23" s="582"/>
      <c r="Q23" s="582"/>
      <c r="R23" s="585"/>
      <c r="S23" s="66"/>
      <c r="T23" s="66"/>
      <c r="U23" s="585"/>
      <c r="V23" s="583"/>
      <c r="W23" s="603"/>
      <c r="X23" s="591"/>
      <c r="Y23" s="582"/>
    </row>
    <row r="24" ht="21.0" customHeight="1">
      <c r="A24" s="493"/>
      <c r="B24" s="494">
        <v>13.0</v>
      </c>
      <c r="C24" s="508"/>
      <c r="D24" s="569"/>
      <c r="E24" s="526"/>
      <c r="F24" s="501"/>
      <c r="G24" s="501"/>
      <c r="H24" s="494"/>
      <c r="I24" s="586"/>
      <c r="J24" s="586"/>
      <c r="K24" s="585"/>
      <c r="L24" s="585"/>
      <c r="M24" s="585"/>
      <c r="N24" s="585"/>
      <c r="O24" s="582"/>
      <c r="P24" s="582"/>
      <c r="Q24" s="582"/>
      <c r="R24" s="585"/>
      <c r="S24" s="66"/>
      <c r="T24" s="66"/>
      <c r="U24" s="585"/>
      <c r="V24" s="583"/>
      <c r="W24" s="602"/>
      <c r="X24" s="591"/>
      <c r="Y24" s="582"/>
    </row>
    <row r="25" ht="21.0" customHeight="1">
      <c r="A25" s="493"/>
      <c r="B25" s="494">
        <v>14.0</v>
      </c>
      <c r="C25" s="508"/>
      <c r="D25" s="569"/>
      <c r="E25" s="526"/>
      <c r="F25" s="501"/>
      <c r="G25" s="501"/>
      <c r="H25" s="494"/>
      <c r="I25" s="586"/>
      <c r="J25" s="586"/>
      <c r="K25" s="585"/>
      <c r="L25" s="585"/>
      <c r="M25" s="585"/>
      <c r="N25" s="585"/>
      <c r="O25" s="582"/>
      <c r="P25" s="582"/>
      <c r="Q25" s="582"/>
      <c r="R25" s="585"/>
      <c r="S25" s="66"/>
      <c r="T25" s="604"/>
      <c r="U25" s="585"/>
      <c r="V25" s="583"/>
      <c r="W25" s="602"/>
      <c r="X25" s="591"/>
      <c r="Y25" s="582"/>
    </row>
    <row r="26" ht="21.0" customHeight="1">
      <c r="A26" s="493"/>
      <c r="B26" s="494">
        <v>15.0</v>
      </c>
      <c r="C26" s="508"/>
      <c r="D26" s="525"/>
      <c r="E26" s="526"/>
      <c r="F26" s="501"/>
      <c r="G26" s="501"/>
      <c r="H26" s="494"/>
      <c r="I26" s="586"/>
      <c r="J26" s="586"/>
      <c r="K26" s="585"/>
      <c r="L26" s="585"/>
      <c r="M26" s="585"/>
      <c r="N26" s="585"/>
      <c r="O26" s="582"/>
      <c r="P26" s="582"/>
      <c r="Q26" s="582"/>
      <c r="R26" s="585"/>
      <c r="S26" s="66"/>
      <c r="T26" s="66"/>
      <c r="U26" s="585"/>
      <c r="V26" s="583"/>
      <c r="W26" s="602"/>
      <c r="X26" s="591"/>
      <c r="Y26" s="582"/>
    </row>
    <row r="27" ht="21.0" customHeight="1">
      <c r="A27" s="493"/>
      <c r="B27" s="494">
        <v>16.0</v>
      </c>
      <c r="C27" s="508"/>
      <c r="D27" s="569"/>
      <c r="E27" s="526"/>
      <c r="F27" s="501"/>
      <c r="G27" s="501"/>
      <c r="H27" s="494"/>
      <c r="I27" s="586"/>
      <c r="J27" s="586"/>
      <c r="K27" s="585"/>
      <c r="L27" s="585"/>
      <c r="M27" s="585"/>
      <c r="N27" s="585"/>
      <c r="O27" s="582"/>
      <c r="P27" s="582"/>
      <c r="Q27" s="582"/>
      <c r="R27" s="585"/>
      <c r="S27" s="66"/>
      <c r="T27" s="66"/>
      <c r="U27" s="585"/>
      <c r="V27" s="583"/>
      <c r="W27" s="583"/>
      <c r="X27" s="591"/>
      <c r="Y27" s="582"/>
    </row>
    <row r="28" ht="21.0" customHeight="1">
      <c r="A28" s="493"/>
      <c r="B28" s="494">
        <v>17.0</v>
      </c>
      <c r="C28" s="526"/>
      <c r="D28" s="572"/>
      <c r="E28" s="526"/>
      <c r="F28" s="501"/>
      <c r="G28" s="501"/>
      <c r="H28" s="494"/>
      <c r="I28" s="586"/>
      <c r="J28" s="586"/>
      <c r="K28" s="585"/>
      <c r="L28" s="585"/>
      <c r="M28" s="585"/>
      <c r="N28" s="585"/>
      <c r="O28" s="582"/>
      <c r="P28" s="582"/>
      <c r="Q28" s="582"/>
      <c r="R28" s="585"/>
      <c r="S28" s="66"/>
      <c r="T28" s="66"/>
      <c r="U28" s="585"/>
      <c r="V28" s="583"/>
      <c r="W28" s="583"/>
      <c r="X28" s="591"/>
      <c r="Y28" s="582"/>
    </row>
    <row r="29" ht="21.0" customHeight="1">
      <c r="A29" s="493"/>
      <c r="B29" s="494">
        <v>18.0</v>
      </c>
      <c r="C29" s="508"/>
      <c r="D29" s="569"/>
      <c r="E29" s="526"/>
      <c r="F29" s="501"/>
      <c r="G29" s="501"/>
      <c r="H29" s="494"/>
      <c r="I29" s="586"/>
      <c r="J29" s="586"/>
      <c r="K29" s="585"/>
      <c r="L29" s="585"/>
      <c r="M29" s="585"/>
      <c r="N29" s="585"/>
      <c r="O29" s="582"/>
      <c r="P29" s="582"/>
      <c r="Q29" s="582"/>
      <c r="R29" s="585"/>
      <c r="S29" s="66"/>
      <c r="T29" s="66"/>
      <c r="U29" s="585"/>
      <c r="V29" s="583"/>
      <c r="W29" s="583"/>
      <c r="X29" s="591"/>
      <c r="Y29" s="582"/>
    </row>
    <row r="30" ht="21.0" customHeight="1">
      <c r="A30" s="493"/>
      <c r="B30" s="494">
        <v>19.0</v>
      </c>
      <c r="C30" s="508"/>
      <c r="D30" s="569"/>
      <c r="E30" s="526"/>
      <c r="F30" s="501"/>
      <c r="G30" s="501"/>
      <c r="H30" s="494"/>
      <c r="I30" s="586"/>
      <c r="J30" s="586"/>
      <c r="K30" s="585"/>
      <c r="L30" s="585"/>
      <c r="M30" s="585"/>
      <c r="N30" s="585"/>
      <c r="O30" s="582"/>
      <c r="P30" s="582"/>
      <c r="Q30" s="582"/>
      <c r="R30" s="585"/>
      <c r="S30" s="66"/>
      <c r="T30" s="66"/>
      <c r="U30" s="585"/>
      <c r="V30" s="583"/>
      <c r="W30" s="602"/>
      <c r="X30" s="591"/>
      <c r="Y30" s="582"/>
    </row>
    <row r="31" ht="21.0" customHeight="1">
      <c r="A31" s="493"/>
      <c r="B31" s="494">
        <v>20.0</v>
      </c>
      <c r="C31" s="508"/>
      <c r="D31" s="569"/>
      <c r="E31" s="526"/>
      <c r="F31" s="501"/>
      <c r="G31" s="501"/>
      <c r="H31" s="494"/>
      <c r="I31" s="586"/>
      <c r="J31" s="586"/>
      <c r="K31" s="585"/>
      <c r="L31" s="585"/>
      <c r="M31" s="585"/>
      <c r="N31" s="585"/>
      <c r="O31" s="582"/>
      <c r="P31" s="582"/>
      <c r="Q31" s="582"/>
      <c r="R31" s="585"/>
      <c r="S31" s="66"/>
      <c r="T31" s="66"/>
      <c r="U31" s="585"/>
      <c r="V31" s="589"/>
      <c r="W31" s="585"/>
      <c r="X31" s="582"/>
      <c r="Y31" s="582"/>
    </row>
    <row r="32" ht="21.0" customHeight="1">
      <c r="A32" s="493"/>
      <c r="B32" s="494">
        <v>21.0</v>
      </c>
      <c r="C32" s="508"/>
      <c r="D32" s="569"/>
      <c r="E32" s="526"/>
      <c r="F32" s="501"/>
      <c r="G32" s="501"/>
      <c r="H32" s="494"/>
      <c r="I32" s="586"/>
      <c r="J32" s="586"/>
      <c r="K32" s="585"/>
      <c r="L32" s="585"/>
      <c r="M32" s="585"/>
      <c r="N32" s="585"/>
      <c r="O32" s="582"/>
      <c r="P32" s="582"/>
      <c r="Q32" s="582"/>
      <c r="R32" s="585"/>
      <c r="S32" s="66"/>
      <c r="T32" s="66"/>
      <c r="U32" s="585"/>
      <c r="V32" s="589"/>
      <c r="W32" s="585"/>
      <c r="X32" s="582"/>
      <c r="Y32" s="582"/>
    </row>
    <row r="33" ht="21.0" customHeight="1">
      <c r="A33" s="493"/>
      <c r="B33" s="494">
        <v>22.0</v>
      </c>
      <c r="C33" s="508"/>
      <c r="D33" s="577"/>
      <c r="E33" s="605"/>
      <c r="F33" s="501"/>
      <c r="G33" s="501"/>
      <c r="H33" s="494"/>
      <c r="I33" s="586"/>
      <c r="J33" s="586"/>
      <c r="K33" s="585"/>
      <c r="L33" s="585"/>
      <c r="M33" s="585"/>
      <c r="N33" s="585"/>
      <c r="O33" s="582"/>
      <c r="P33" s="582"/>
      <c r="Q33" s="582"/>
      <c r="R33" s="585"/>
      <c r="S33" s="585"/>
      <c r="T33" s="585"/>
      <c r="U33" s="585"/>
      <c r="V33" s="589"/>
      <c r="W33" s="585"/>
      <c r="X33" s="582"/>
      <c r="Y33" s="582"/>
    </row>
    <row r="34" ht="21.0" customHeight="1">
      <c r="A34" s="493"/>
      <c r="B34" s="494">
        <v>23.0</v>
      </c>
      <c r="C34" s="508"/>
      <c r="D34" s="577"/>
      <c r="E34" s="605"/>
      <c r="F34" s="501"/>
      <c r="G34" s="501"/>
      <c r="H34" s="494"/>
      <c r="I34" s="586"/>
      <c r="J34" s="586"/>
      <c r="K34" s="585"/>
      <c r="L34" s="585"/>
      <c r="M34" s="585"/>
      <c r="N34" s="585"/>
      <c r="O34" s="582"/>
      <c r="P34" s="582"/>
      <c r="Q34" s="582"/>
      <c r="R34" s="585"/>
      <c r="S34" s="585"/>
      <c r="T34" s="585"/>
      <c r="U34" s="585"/>
      <c r="V34" s="589"/>
      <c r="W34" s="585"/>
      <c r="X34" s="582"/>
      <c r="Y34" s="582"/>
    </row>
    <row r="35" ht="21.0" customHeight="1">
      <c r="A35" s="493"/>
      <c r="B35" s="494" t="s">
        <v>117</v>
      </c>
      <c r="C35" s="526"/>
      <c r="D35" s="606">
        <f>SUM(D12:D34)</f>
        <v>0</v>
      </c>
      <c r="E35" s="607"/>
      <c r="F35" s="501"/>
      <c r="G35" s="501"/>
      <c r="H35" s="494"/>
      <c r="I35" s="586"/>
      <c r="J35" s="586"/>
      <c r="K35" s="585"/>
      <c r="L35" s="585"/>
      <c r="M35" s="585"/>
      <c r="N35" s="585"/>
      <c r="O35" s="582"/>
      <c r="P35" s="582"/>
      <c r="Q35" s="582"/>
      <c r="R35" s="585"/>
      <c r="S35" s="585"/>
      <c r="T35" s="585"/>
      <c r="U35" s="585"/>
      <c r="V35" s="589"/>
      <c r="W35" s="585"/>
      <c r="X35" s="582"/>
      <c r="Y35" s="582"/>
    </row>
    <row r="36" ht="21.0" customHeight="1">
      <c r="A36" s="493"/>
      <c r="B36" s="494"/>
      <c r="C36" s="508"/>
      <c r="D36" s="569"/>
      <c r="E36" s="526"/>
      <c r="F36" s="501"/>
      <c r="G36" s="501"/>
      <c r="H36" s="494"/>
      <c r="I36" s="586"/>
      <c r="J36" s="586"/>
      <c r="K36" s="585"/>
      <c r="L36" s="585"/>
      <c r="M36" s="585"/>
      <c r="N36" s="585"/>
      <c r="O36" s="582"/>
      <c r="P36" s="582"/>
      <c r="Q36" s="582"/>
      <c r="R36" s="585"/>
      <c r="S36" s="585"/>
      <c r="T36" s="585"/>
      <c r="U36" s="585"/>
      <c r="V36" s="589"/>
      <c r="W36" s="585"/>
      <c r="X36" s="582"/>
      <c r="Y36" s="582"/>
    </row>
    <row r="37" ht="21.0" customHeight="1">
      <c r="A37" s="493"/>
      <c r="B37" s="494"/>
      <c r="C37" s="508"/>
      <c r="D37" s="569"/>
      <c r="E37" s="526"/>
      <c r="F37" s="501"/>
      <c r="G37" s="501"/>
      <c r="H37" s="494"/>
      <c r="I37" s="586"/>
      <c r="J37" s="586"/>
      <c r="K37" s="585"/>
      <c r="L37" s="585"/>
      <c r="M37" s="585"/>
      <c r="N37" s="585"/>
      <c r="O37" s="582"/>
      <c r="P37" s="582"/>
      <c r="Q37" s="582"/>
      <c r="R37" s="585"/>
      <c r="S37" s="585"/>
      <c r="T37" s="585"/>
      <c r="U37" s="585"/>
      <c r="V37" s="589"/>
      <c r="W37" s="585"/>
      <c r="X37" s="582"/>
      <c r="Y37" s="582"/>
    </row>
    <row r="38" ht="21.0" customHeight="1">
      <c r="A38" s="493"/>
      <c r="B38" s="494"/>
      <c r="C38" s="508"/>
      <c r="D38" s="569"/>
      <c r="E38" s="526"/>
      <c r="F38" s="501"/>
      <c r="G38" s="501"/>
      <c r="H38" s="494"/>
      <c r="I38" s="586"/>
      <c r="J38" s="586"/>
      <c r="K38" s="585"/>
      <c r="L38" s="585"/>
      <c r="M38" s="585"/>
      <c r="N38" s="585"/>
      <c r="O38" s="582"/>
      <c r="P38" s="582"/>
      <c r="Q38" s="582"/>
      <c r="R38" s="585"/>
      <c r="S38" s="585"/>
      <c r="T38" s="585"/>
      <c r="U38" s="585"/>
      <c r="V38" s="589"/>
      <c r="W38" s="585"/>
      <c r="X38" s="582"/>
      <c r="Y38" s="582"/>
    </row>
    <row r="39" ht="21.0" customHeight="1">
      <c r="A39" s="493"/>
      <c r="B39" s="494"/>
      <c r="C39" s="494"/>
      <c r="D39" s="567"/>
      <c r="E39" s="520"/>
      <c r="F39" s="501"/>
      <c r="G39" s="501"/>
      <c r="H39" s="494"/>
      <c r="I39" s="586"/>
      <c r="J39" s="586"/>
      <c r="K39" s="585"/>
      <c r="L39" s="585"/>
      <c r="M39" s="585"/>
      <c r="N39" s="585"/>
      <c r="O39" s="582"/>
      <c r="P39" s="582"/>
      <c r="Q39" s="582"/>
      <c r="R39" s="585"/>
      <c r="S39" s="585"/>
      <c r="T39" s="585"/>
      <c r="U39" s="585"/>
      <c r="V39" s="589"/>
      <c r="W39" s="585"/>
      <c r="X39" s="582"/>
      <c r="Y39" s="582"/>
    </row>
    <row r="40" ht="21.0" customHeight="1">
      <c r="A40" s="493"/>
      <c r="B40" s="494"/>
      <c r="C40" s="494"/>
      <c r="D40" s="494"/>
      <c r="E40" s="494"/>
      <c r="F40" s="501"/>
      <c r="G40" s="501"/>
      <c r="H40" s="494"/>
      <c r="I40" s="586"/>
      <c r="J40" s="586"/>
      <c r="K40" s="585"/>
      <c r="L40" s="585"/>
      <c r="M40" s="585"/>
      <c r="N40" s="585"/>
      <c r="O40" s="582"/>
      <c r="P40" s="582"/>
      <c r="Q40" s="582"/>
      <c r="R40" s="585"/>
      <c r="S40" s="585"/>
      <c r="T40" s="585"/>
      <c r="U40" s="585"/>
      <c r="V40" s="589"/>
      <c r="W40" s="585"/>
      <c r="X40" s="582"/>
      <c r="Y40" s="582"/>
      <c r="Z40" s="585"/>
    </row>
    <row r="41" ht="21.0" customHeight="1">
      <c r="A41" s="493"/>
      <c r="B41" s="494"/>
      <c r="C41" s="494"/>
      <c r="D41" s="494"/>
      <c r="E41" s="494"/>
      <c r="F41" s="501"/>
      <c r="G41" s="501"/>
      <c r="H41" s="494"/>
      <c r="I41" s="586"/>
      <c r="J41" s="586"/>
      <c r="K41" s="585"/>
      <c r="L41" s="585"/>
      <c r="M41" s="585"/>
      <c r="N41" s="585"/>
      <c r="O41" s="582"/>
      <c r="P41" s="582"/>
      <c r="Q41" s="582"/>
      <c r="R41" s="585"/>
      <c r="S41" s="585"/>
      <c r="T41" s="585"/>
      <c r="U41" s="585"/>
      <c r="V41" s="589"/>
      <c r="W41" s="585"/>
      <c r="X41" s="582"/>
      <c r="Y41" s="582"/>
      <c r="Z41" s="585"/>
    </row>
    <row r="42" ht="21.0" customHeight="1">
      <c r="A42" s="493"/>
      <c r="B42" s="494"/>
      <c r="C42" s="494"/>
      <c r="D42" s="494"/>
      <c r="E42" s="494"/>
      <c r="F42" s="501"/>
      <c r="G42" s="501"/>
      <c r="H42" s="494"/>
      <c r="I42" s="586"/>
      <c r="J42" s="586"/>
      <c r="K42" s="585"/>
      <c r="L42" s="585"/>
      <c r="M42" s="585"/>
      <c r="N42" s="585"/>
      <c r="O42" s="582"/>
      <c r="P42" s="582"/>
      <c r="Q42" s="582"/>
      <c r="R42" s="585"/>
      <c r="S42" s="585"/>
      <c r="T42" s="585"/>
      <c r="U42" s="585"/>
      <c r="V42" s="589"/>
      <c r="W42" s="585"/>
      <c r="X42" s="582"/>
      <c r="Y42" s="582"/>
      <c r="Z42" s="585"/>
    </row>
    <row r="43" ht="21.0" customHeight="1">
      <c r="A43" s="493"/>
      <c r="B43" s="494"/>
      <c r="C43" s="494"/>
      <c r="D43" s="494"/>
      <c r="E43" s="494"/>
      <c r="F43" s="501"/>
      <c r="G43" s="501"/>
      <c r="H43" s="494"/>
      <c r="I43" s="586"/>
      <c r="J43" s="586"/>
      <c r="K43" s="585"/>
      <c r="L43" s="585"/>
      <c r="M43" s="585"/>
      <c r="N43" s="585"/>
      <c r="O43" s="582"/>
      <c r="P43" s="582"/>
      <c r="Q43" s="582"/>
      <c r="R43" s="585"/>
      <c r="S43" s="585"/>
      <c r="T43" s="585"/>
      <c r="U43" s="585"/>
      <c r="V43" s="589"/>
      <c r="W43" s="585"/>
      <c r="X43" s="582"/>
      <c r="Y43" s="582"/>
      <c r="Z43" s="585"/>
    </row>
    <row r="44" ht="21.0" customHeight="1">
      <c r="A44" s="493"/>
      <c r="B44" s="494"/>
      <c r="C44" s="494"/>
      <c r="D44" s="494"/>
      <c r="E44" s="494"/>
      <c r="F44" s="501"/>
      <c r="G44" s="501"/>
      <c r="H44" s="494"/>
      <c r="I44" s="586"/>
      <c r="J44" s="586"/>
      <c r="K44" s="585"/>
      <c r="L44" s="585"/>
      <c r="M44" s="585"/>
      <c r="N44" s="585"/>
      <c r="O44" s="582"/>
      <c r="P44" s="582"/>
      <c r="Q44" s="582"/>
      <c r="R44" s="585"/>
      <c r="S44" s="585"/>
      <c r="T44" s="585"/>
      <c r="U44" s="585"/>
      <c r="V44" s="589"/>
      <c r="W44" s="585"/>
      <c r="X44" s="582"/>
      <c r="Y44" s="582"/>
      <c r="Z44" s="585"/>
    </row>
    <row r="45" ht="21.0" customHeight="1">
      <c r="A45" s="493"/>
      <c r="B45" s="494"/>
      <c r="C45" s="494"/>
      <c r="D45" s="494"/>
      <c r="E45" s="494"/>
      <c r="F45" s="501"/>
      <c r="G45" s="501"/>
      <c r="H45" s="494"/>
      <c r="I45" s="586"/>
      <c r="J45" s="586"/>
      <c r="K45" s="585"/>
      <c r="L45" s="585"/>
      <c r="M45" s="585"/>
      <c r="N45" s="585"/>
      <c r="O45" s="582"/>
      <c r="P45" s="582"/>
      <c r="Q45" s="582"/>
      <c r="R45" s="585"/>
      <c r="S45" s="585"/>
      <c r="T45" s="585"/>
      <c r="U45" s="585"/>
      <c r="V45" s="589"/>
      <c r="W45" s="585"/>
      <c r="X45" s="582"/>
      <c r="Y45" s="582"/>
      <c r="Z45" s="585"/>
    </row>
    <row r="46" ht="21.0" customHeight="1">
      <c r="A46" s="493"/>
      <c r="B46" s="494"/>
      <c r="C46" s="494"/>
      <c r="D46" s="494"/>
      <c r="E46" s="494"/>
      <c r="F46" s="501"/>
      <c r="G46" s="501"/>
      <c r="H46" s="494"/>
      <c r="I46" s="586"/>
      <c r="J46" s="586"/>
      <c r="K46" s="585"/>
      <c r="L46" s="585"/>
      <c r="M46" s="585"/>
      <c r="N46" s="585"/>
      <c r="O46" s="582"/>
      <c r="P46" s="582"/>
      <c r="Q46" s="582"/>
      <c r="R46" s="585"/>
      <c r="S46" s="585"/>
      <c r="T46" s="585"/>
      <c r="U46" s="585"/>
      <c r="V46" s="589"/>
      <c r="W46" s="585"/>
      <c r="X46" s="582"/>
      <c r="Y46" s="582"/>
      <c r="Z46" s="585"/>
    </row>
    <row r="47" ht="21.0" customHeight="1">
      <c r="A47" s="493"/>
      <c r="B47" s="494"/>
      <c r="C47" s="494"/>
      <c r="D47" s="494"/>
      <c r="E47" s="494"/>
      <c r="F47" s="501"/>
      <c r="G47" s="501"/>
      <c r="H47" s="494"/>
      <c r="I47" s="586"/>
      <c r="J47" s="586"/>
      <c r="K47" s="585"/>
      <c r="L47" s="585"/>
      <c r="M47" s="585"/>
      <c r="N47" s="585"/>
      <c r="O47" s="582"/>
      <c r="P47" s="582"/>
      <c r="Q47" s="582"/>
      <c r="R47" s="585"/>
      <c r="S47" s="585"/>
      <c r="T47" s="585"/>
      <c r="U47" s="585"/>
      <c r="V47" s="589"/>
      <c r="W47" s="585"/>
      <c r="X47" s="582"/>
      <c r="Y47" s="582"/>
      <c r="Z47" s="585"/>
    </row>
    <row r="48" ht="21.0" customHeight="1">
      <c r="A48" s="493"/>
      <c r="B48" s="494"/>
      <c r="C48" s="494"/>
      <c r="D48" s="494"/>
      <c r="E48" s="494"/>
      <c r="F48" s="501"/>
      <c r="G48" s="501"/>
      <c r="H48" s="494"/>
      <c r="I48" s="586"/>
      <c r="J48" s="586"/>
      <c r="K48" s="585"/>
      <c r="L48" s="585"/>
      <c r="M48" s="585"/>
      <c r="N48" s="585"/>
      <c r="O48" s="582"/>
      <c r="P48" s="582"/>
      <c r="Q48" s="582"/>
      <c r="R48" s="585"/>
      <c r="S48" s="585"/>
      <c r="T48" s="585"/>
      <c r="U48" s="585"/>
      <c r="V48" s="589"/>
      <c r="W48" s="585"/>
      <c r="X48" s="582"/>
      <c r="Y48" s="582"/>
      <c r="Z48" s="585"/>
    </row>
    <row r="49" ht="21.0" customHeight="1">
      <c r="A49" s="493"/>
      <c r="B49" s="494"/>
      <c r="C49" s="494"/>
      <c r="D49" s="494"/>
      <c r="E49" s="494"/>
      <c r="F49" s="501"/>
      <c r="G49" s="501"/>
      <c r="H49" s="494"/>
      <c r="I49" s="586"/>
      <c r="J49" s="586"/>
      <c r="K49" s="585"/>
      <c r="L49" s="585"/>
      <c r="M49" s="585"/>
      <c r="N49" s="585"/>
      <c r="O49" s="582"/>
      <c r="P49" s="582"/>
      <c r="Q49" s="582"/>
      <c r="R49" s="585"/>
      <c r="S49" s="585"/>
      <c r="T49" s="585"/>
      <c r="U49" s="585"/>
      <c r="V49" s="589"/>
      <c r="W49" s="585"/>
      <c r="X49" s="582"/>
      <c r="Y49" s="582"/>
      <c r="Z49" s="585"/>
    </row>
    <row r="50" ht="21.0" customHeight="1">
      <c r="A50" s="493"/>
      <c r="B50" s="494"/>
      <c r="C50" s="494"/>
      <c r="D50" s="494"/>
      <c r="E50" s="494"/>
      <c r="F50" s="501"/>
      <c r="G50" s="501"/>
      <c r="H50" s="494"/>
      <c r="I50" s="586"/>
      <c r="J50" s="586"/>
      <c r="K50" s="585"/>
      <c r="L50" s="585"/>
      <c r="M50" s="585"/>
      <c r="N50" s="585"/>
      <c r="O50" s="582"/>
      <c r="P50" s="582"/>
      <c r="Q50" s="582"/>
      <c r="R50" s="585"/>
      <c r="S50" s="585"/>
      <c r="T50" s="585"/>
      <c r="U50" s="585"/>
      <c r="V50" s="589"/>
      <c r="W50" s="585"/>
      <c r="X50" s="582"/>
      <c r="Y50" s="582"/>
      <c r="Z50" s="585"/>
    </row>
    <row r="51" ht="21.0" customHeight="1">
      <c r="A51" s="493"/>
      <c r="B51" s="494"/>
      <c r="C51" s="494"/>
      <c r="D51" s="494"/>
      <c r="E51" s="494"/>
      <c r="F51" s="501"/>
      <c r="G51" s="501"/>
      <c r="H51" s="494"/>
      <c r="I51" s="586"/>
      <c r="J51" s="586"/>
      <c r="K51" s="585"/>
      <c r="L51" s="585"/>
      <c r="M51" s="585"/>
      <c r="N51" s="585"/>
      <c r="O51" s="582"/>
      <c r="P51" s="582"/>
      <c r="Q51" s="582"/>
      <c r="R51" s="585"/>
      <c r="S51" s="585"/>
      <c r="T51" s="585"/>
      <c r="U51" s="585"/>
      <c r="V51" s="589"/>
      <c r="W51" s="585"/>
      <c r="X51" s="582"/>
      <c r="Y51" s="582"/>
      <c r="Z51" s="585"/>
    </row>
    <row r="52" ht="21.0" customHeight="1">
      <c r="A52" s="493"/>
      <c r="B52" s="494"/>
      <c r="C52" s="494"/>
      <c r="D52" s="494"/>
      <c r="E52" s="494"/>
      <c r="F52" s="501"/>
      <c r="G52" s="501"/>
      <c r="H52" s="494"/>
      <c r="I52" s="586"/>
      <c r="J52" s="586"/>
      <c r="K52" s="585"/>
      <c r="L52" s="585"/>
      <c r="M52" s="585"/>
      <c r="N52" s="585"/>
      <c r="O52" s="582"/>
      <c r="P52" s="582"/>
      <c r="Q52" s="582"/>
      <c r="R52" s="585"/>
      <c r="S52" s="585"/>
      <c r="T52" s="585"/>
      <c r="U52" s="585"/>
      <c r="V52" s="589"/>
      <c r="W52" s="585"/>
      <c r="X52" s="582"/>
      <c r="Y52" s="582"/>
      <c r="Z52" s="585"/>
    </row>
    <row r="53" ht="21.0" customHeight="1">
      <c r="A53" s="493"/>
      <c r="B53" s="494"/>
      <c r="C53" s="494"/>
      <c r="D53" s="494"/>
      <c r="E53" s="494"/>
      <c r="F53" s="501"/>
      <c r="G53" s="501"/>
      <c r="H53" s="494"/>
      <c r="I53" s="586"/>
      <c r="J53" s="586"/>
      <c r="K53" s="585"/>
      <c r="L53" s="585"/>
      <c r="M53" s="585"/>
      <c r="N53" s="585"/>
      <c r="O53" s="582"/>
      <c r="P53" s="582"/>
      <c r="Q53" s="582"/>
      <c r="R53" s="585"/>
      <c r="S53" s="585"/>
      <c r="T53" s="585"/>
      <c r="U53" s="585"/>
      <c r="V53" s="589"/>
      <c r="W53" s="585"/>
      <c r="X53" s="582"/>
      <c r="Y53" s="582"/>
      <c r="Z53" s="585"/>
    </row>
    <row r="54" ht="21.0" customHeight="1">
      <c r="A54" s="493"/>
      <c r="B54" s="494"/>
      <c r="C54" s="494"/>
      <c r="D54" s="494"/>
      <c r="E54" s="494"/>
      <c r="F54" s="501"/>
      <c r="G54" s="501"/>
      <c r="H54" s="494"/>
      <c r="I54" s="586"/>
      <c r="J54" s="586"/>
      <c r="K54" s="585"/>
      <c r="L54" s="585"/>
      <c r="M54" s="585"/>
      <c r="N54" s="585"/>
      <c r="O54" s="582"/>
      <c r="P54" s="582"/>
      <c r="Q54" s="582"/>
      <c r="R54" s="585"/>
      <c r="S54" s="585"/>
      <c r="T54" s="585"/>
      <c r="U54" s="585"/>
      <c r="V54" s="589"/>
      <c r="W54" s="585"/>
      <c r="X54" s="582"/>
      <c r="Y54" s="582"/>
      <c r="Z54" s="585"/>
    </row>
    <row r="55" ht="21.0" customHeight="1">
      <c r="A55" s="493"/>
      <c r="B55" s="494"/>
      <c r="C55" s="494"/>
      <c r="D55" s="494"/>
      <c r="E55" s="494"/>
      <c r="F55" s="501"/>
      <c r="G55" s="501"/>
      <c r="H55" s="494"/>
      <c r="I55" s="586"/>
      <c r="J55" s="586"/>
      <c r="K55" s="585"/>
      <c r="L55" s="585"/>
      <c r="M55" s="585"/>
      <c r="N55" s="585"/>
      <c r="O55" s="582"/>
      <c r="P55" s="582"/>
      <c r="Q55" s="582"/>
      <c r="R55" s="585"/>
      <c r="S55" s="585"/>
      <c r="T55" s="585"/>
      <c r="U55" s="585"/>
      <c r="V55" s="589"/>
      <c r="W55" s="585"/>
      <c r="X55" s="582"/>
      <c r="Y55" s="582"/>
      <c r="Z55" s="585"/>
    </row>
    <row r="56" ht="21.0" customHeight="1">
      <c r="A56" s="493"/>
      <c r="B56" s="494"/>
      <c r="C56" s="494"/>
      <c r="D56" s="494"/>
      <c r="E56" s="494"/>
      <c r="F56" s="501"/>
      <c r="G56" s="501"/>
      <c r="H56" s="494"/>
      <c r="I56" s="586"/>
      <c r="J56" s="586"/>
      <c r="K56" s="585"/>
      <c r="L56" s="585"/>
      <c r="M56" s="585"/>
      <c r="N56" s="585"/>
      <c r="O56" s="582"/>
      <c r="P56" s="582"/>
      <c r="Q56" s="582"/>
      <c r="R56" s="585"/>
      <c r="S56" s="585"/>
      <c r="T56" s="585"/>
      <c r="U56" s="585"/>
      <c r="V56" s="589"/>
      <c r="W56" s="585"/>
      <c r="X56" s="582"/>
      <c r="Y56" s="582"/>
      <c r="Z56" s="585"/>
    </row>
    <row r="57" ht="21.0" customHeight="1">
      <c r="A57" s="493"/>
      <c r="B57" s="494"/>
      <c r="C57" s="494"/>
      <c r="D57" s="494"/>
      <c r="E57" s="494"/>
      <c r="F57" s="501"/>
      <c r="G57" s="501"/>
      <c r="H57" s="494"/>
      <c r="I57" s="586"/>
      <c r="J57" s="586"/>
      <c r="K57" s="585"/>
      <c r="L57" s="585"/>
      <c r="M57" s="585"/>
      <c r="N57" s="585"/>
      <c r="O57" s="582"/>
      <c r="P57" s="582"/>
      <c r="Q57" s="582"/>
      <c r="R57" s="585"/>
      <c r="S57" s="585"/>
      <c r="T57" s="585"/>
      <c r="U57" s="585"/>
      <c r="V57" s="589"/>
      <c r="W57" s="585"/>
      <c r="X57" s="582"/>
      <c r="Y57" s="582"/>
      <c r="Z57" s="585"/>
    </row>
    <row r="58" ht="21.0" customHeight="1">
      <c r="A58" s="493"/>
      <c r="B58" s="494"/>
      <c r="C58" s="494"/>
      <c r="D58" s="494"/>
      <c r="E58" s="494"/>
      <c r="F58" s="501"/>
      <c r="G58" s="501"/>
      <c r="H58" s="494"/>
      <c r="I58" s="586"/>
      <c r="J58" s="586"/>
      <c r="K58" s="585"/>
      <c r="L58" s="585"/>
      <c r="M58" s="585"/>
      <c r="N58" s="585"/>
      <c r="O58" s="582"/>
      <c r="P58" s="582"/>
      <c r="Q58" s="582"/>
      <c r="R58" s="585"/>
      <c r="S58" s="585"/>
      <c r="T58" s="585"/>
      <c r="U58" s="585"/>
      <c r="V58" s="589"/>
      <c r="W58" s="585"/>
      <c r="X58" s="582"/>
      <c r="Y58" s="582"/>
      <c r="Z58" s="582"/>
    </row>
    <row r="59" ht="21.0" customHeight="1">
      <c r="A59" s="493"/>
      <c r="B59" s="494"/>
      <c r="C59" s="494"/>
      <c r="D59" s="494"/>
      <c r="E59" s="494"/>
      <c r="F59" s="501"/>
      <c r="G59" s="501"/>
      <c r="H59" s="494"/>
      <c r="I59" s="586"/>
      <c r="J59" s="586"/>
      <c r="K59" s="585"/>
      <c r="L59" s="585"/>
      <c r="M59" s="585"/>
      <c r="N59" s="585"/>
      <c r="O59" s="582"/>
      <c r="P59" s="582"/>
      <c r="Q59" s="582"/>
      <c r="R59" s="585"/>
      <c r="S59" s="585"/>
      <c r="T59" s="585"/>
      <c r="U59" s="585"/>
      <c r="V59" s="589"/>
      <c r="W59" s="585"/>
      <c r="X59" s="582"/>
      <c r="Y59" s="582"/>
      <c r="Z59" s="582"/>
    </row>
    <row r="60" ht="21.0" customHeight="1">
      <c r="A60" s="493"/>
      <c r="B60" s="494"/>
      <c r="C60" s="494"/>
      <c r="D60" s="494"/>
      <c r="E60" s="494"/>
      <c r="F60" s="501"/>
      <c r="G60" s="501"/>
      <c r="H60" s="494"/>
      <c r="I60" s="586"/>
      <c r="J60" s="586"/>
      <c r="K60" s="585"/>
      <c r="L60" s="585"/>
      <c r="M60" s="585"/>
      <c r="N60" s="585"/>
      <c r="O60" s="582"/>
      <c r="P60" s="582"/>
      <c r="Q60" s="582"/>
      <c r="R60" s="585"/>
      <c r="S60" s="585"/>
      <c r="T60" s="585"/>
      <c r="U60" s="585"/>
      <c r="V60" s="589"/>
      <c r="W60" s="585"/>
      <c r="X60" s="582"/>
      <c r="Y60" s="582"/>
      <c r="Z60" s="582"/>
    </row>
    <row r="61" ht="21.0" customHeight="1">
      <c r="A61" s="493"/>
      <c r="B61" s="494"/>
      <c r="C61" s="494"/>
      <c r="D61" s="494"/>
      <c r="E61" s="494"/>
      <c r="F61" s="501"/>
      <c r="G61" s="501"/>
      <c r="H61" s="494"/>
      <c r="I61" s="586"/>
      <c r="J61" s="586"/>
      <c r="K61" s="585"/>
      <c r="L61" s="585"/>
      <c r="M61" s="585"/>
      <c r="N61" s="585"/>
      <c r="O61" s="582"/>
      <c r="P61" s="582"/>
      <c r="Q61" s="582"/>
      <c r="R61" s="585"/>
      <c r="S61" s="585"/>
      <c r="T61" s="585"/>
      <c r="U61" s="585"/>
      <c r="V61" s="589"/>
      <c r="W61" s="585"/>
      <c r="X61" s="582"/>
      <c r="Y61" s="582"/>
      <c r="Z61" s="582"/>
    </row>
    <row r="62" ht="21.0" customHeight="1">
      <c r="A62" s="493"/>
      <c r="B62" s="494"/>
      <c r="C62" s="494"/>
      <c r="D62" s="494"/>
      <c r="E62" s="494"/>
      <c r="F62" s="501"/>
      <c r="G62" s="501"/>
      <c r="H62" s="494"/>
      <c r="I62" s="586"/>
      <c r="J62" s="586"/>
      <c r="K62" s="585"/>
      <c r="L62" s="585"/>
      <c r="M62" s="585"/>
      <c r="N62" s="585"/>
      <c r="O62" s="582"/>
      <c r="P62" s="582"/>
      <c r="Q62" s="582"/>
      <c r="R62" s="585"/>
      <c r="S62" s="585"/>
      <c r="T62" s="585"/>
      <c r="U62" s="585"/>
      <c r="V62" s="589"/>
      <c r="W62" s="585"/>
      <c r="X62" s="582"/>
      <c r="Y62" s="582"/>
      <c r="Z62" s="582"/>
    </row>
    <row r="63" ht="21.0" customHeight="1">
      <c r="A63" s="493"/>
      <c r="B63" s="494"/>
      <c r="C63" s="494"/>
      <c r="D63" s="494"/>
      <c r="E63" s="494"/>
      <c r="F63" s="501"/>
      <c r="G63" s="501"/>
      <c r="H63" s="494"/>
      <c r="I63" s="586"/>
      <c r="J63" s="586"/>
      <c r="K63" s="585"/>
      <c r="L63" s="585"/>
      <c r="M63" s="585"/>
      <c r="N63" s="585"/>
      <c r="O63" s="582"/>
      <c r="P63" s="582"/>
      <c r="Q63" s="582"/>
      <c r="R63" s="585"/>
      <c r="S63" s="585"/>
      <c r="T63" s="585"/>
      <c r="U63" s="585"/>
      <c r="V63" s="589"/>
      <c r="W63" s="585"/>
      <c r="X63" s="582"/>
      <c r="Y63" s="582"/>
      <c r="Z63" s="582"/>
    </row>
    <row r="64" ht="21.0" customHeight="1">
      <c r="A64" s="493"/>
      <c r="B64" s="494"/>
      <c r="C64" s="494"/>
      <c r="D64" s="494"/>
      <c r="E64" s="494"/>
      <c r="F64" s="501"/>
      <c r="G64" s="501"/>
      <c r="H64" s="494"/>
      <c r="I64" s="586"/>
      <c r="J64" s="586"/>
      <c r="K64" s="585"/>
      <c r="L64" s="585"/>
      <c r="M64" s="585"/>
      <c r="N64" s="585"/>
      <c r="O64" s="582"/>
      <c r="P64" s="582"/>
      <c r="Q64" s="582"/>
      <c r="R64" s="585"/>
      <c r="S64" s="585"/>
      <c r="T64" s="585"/>
      <c r="U64" s="585"/>
      <c r="V64" s="589"/>
      <c r="W64" s="585"/>
      <c r="X64" s="582"/>
      <c r="Y64" s="582"/>
      <c r="Z64" s="582"/>
    </row>
    <row r="65" ht="21.0" customHeight="1">
      <c r="A65" s="493"/>
      <c r="B65" s="494"/>
      <c r="C65" s="494"/>
      <c r="D65" s="494"/>
      <c r="E65" s="494"/>
      <c r="F65" s="501"/>
      <c r="G65" s="501"/>
      <c r="H65" s="494"/>
      <c r="I65" s="586"/>
      <c r="J65" s="586"/>
      <c r="K65" s="585"/>
      <c r="L65" s="585"/>
      <c r="M65" s="585"/>
      <c r="N65" s="585"/>
      <c r="O65" s="582"/>
      <c r="P65" s="582"/>
      <c r="Q65" s="582"/>
      <c r="R65" s="585"/>
      <c r="S65" s="585"/>
      <c r="T65" s="585"/>
      <c r="U65" s="585"/>
      <c r="V65" s="589"/>
      <c r="W65" s="585"/>
      <c r="X65" s="582"/>
      <c r="Y65" s="582"/>
      <c r="Z65" s="582"/>
    </row>
    <row r="66" ht="21.0" customHeight="1">
      <c r="A66" s="493"/>
      <c r="B66" s="494"/>
      <c r="C66" s="494"/>
      <c r="D66" s="494"/>
      <c r="E66" s="494"/>
      <c r="F66" s="501"/>
      <c r="G66" s="501"/>
      <c r="H66" s="494"/>
      <c r="I66" s="586"/>
      <c r="J66" s="586"/>
      <c r="K66" s="585"/>
      <c r="L66" s="585"/>
      <c r="M66" s="585"/>
      <c r="N66" s="585"/>
      <c r="O66" s="582"/>
      <c r="P66" s="582"/>
      <c r="Q66" s="582"/>
      <c r="R66" s="585"/>
      <c r="S66" s="585"/>
      <c r="T66" s="585"/>
      <c r="U66" s="585"/>
      <c r="V66" s="589"/>
      <c r="W66" s="585"/>
      <c r="X66" s="582"/>
      <c r="Y66" s="582"/>
      <c r="Z66" s="582"/>
    </row>
    <row r="67" ht="21.0" customHeight="1">
      <c r="A67" s="493"/>
      <c r="B67" s="494"/>
      <c r="C67" s="494"/>
      <c r="D67" s="494"/>
      <c r="E67" s="494"/>
      <c r="F67" s="501"/>
      <c r="G67" s="501"/>
      <c r="H67" s="494"/>
      <c r="I67" s="586"/>
      <c r="J67" s="586"/>
      <c r="K67" s="585"/>
      <c r="L67" s="585"/>
      <c r="M67" s="585"/>
      <c r="N67" s="585"/>
      <c r="O67" s="582"/>
      <c r="P67" s="582"/>
      <c r="Q67" s="582"/>
      <c r="R67" s="585"/>
      <c r="S67" s="585"/>
      <c r="T67" s="585"/>
      <c r="U67" s="585"/>
      <c r="V67" s="589"/>
      <c r="W67" s="585"/>
      <c r="X67" s="582"/>
      <c r="Y67" s="582"/>
      <c r="Z67" s="582"/>
    </row>
    <row r="68" ht="21.0" customHeight="1">
      <c r="A68" s="493"/>
      <c r="B68" s="494"/>
      <c r="C68" s="494"/>
      <c r="D68" s="494"/>
      <c r="E68" s="494"/>
      <c r="F68" s="501"/>
      <c r="G68" s="501"/>
      <c r="H68" s="494"/>
      <c r="I68" s="586"/>
      <c r="J68" s="586"/>
      <c r="K68" s="585"/>
      <c r="L68" s="585"/>
      <c r="M68" s="585"/>
      <c r="N68" s="585"/>
      <c r="O68" s="582"/>
      <c r="P68" s="582"/>
      <c r="Q68" s="582"/>
      <c r="R68" s="585"/>
      <c r="S68" s="585"/>
      <c r="T68" s="585"/>
      <c r="U68" s="585"/>
      <c r="V68" s="589"/>
      <c r="W68" s="585"/>
      <c r="X68" s="582"/>
      <c r="Y68" s="582"/>
      <c r="Z68" s="582"/>
    </row>
    <row r="69" ht="21.0" customHeight="1">
      <c r="A69" s="493"/>
      <c r="B69" s="494"/>
      <c r="C69" s="494"/>
      <c r="D69" s="494"/>
      <c r="E69" s="494"/>
      <c r="F69" s="501"/>
      <c r="G69" s="501"/>
      <c r="H69" s="494"/>
      <c r="I69" s="586"/>
      <c r="J69" s="586"/>
      <c r="K69" s="585"/>
      <c r="L69" s="585"/>
      <c r="M69" s="585"/>
      <c r="N69" s="585"/>
      <c r="O69" s="582"/>
      <c r="P69" s="582"/>
      <c r="Q69" s="582"/>
      <c r="R69" s="585"/>
      <c r="S69" s="585"/>
      <c r="T69" s="585"/>
      <c r="U69" s="585"/>
      <c r="V69" s="589"/>
      <c r="W69" s="585"/>
      <c r="X69" s="582"/>
      <c r="Y69" s="582"/>
      <c r="Z69" s="582"/>
    </row>
    <row r="70" ht="21.0" customHeight="1">
      <c r="A70" s="493"/>
      <c r="B70" s="494"/>
      <c r="C70" s="494"/>
      <c r="D70" s="494"/>
      <c r="E70" s="494"/>
      <c r="F70" s="501"/>
      <c r="G70" s="501"/>
      <c r="H70" s="494"/>
      <c r="I70" s="586"/>
      <c r="J70" s="586"/>
      <c r="K70" s="585"/>
      <c r="L70" s="585"/>
      <c r="M70" s="585"/>
      <c r="N70" s="585"/>
      <c r="O70" s="582"/>
      <c r="P70" s="582"/>
      <c r="Q70" s="582"/>
      <c r="R70" s="585"/>
      <c r="S70" s="585"/>
      <c r="T70" s="585"/>
      <c r="U70" s="585"/>
      <c r="V70" s="589"/>
      <c r="W70" s="585"/>
      <c r="X70" s="582"/>
      <c r="Y70" s="582"/>
      <c r="Z70" s="582"/>
    </row>
    <row r="71" ht="21.0" customHeight="1">
      <c r="A71" s="493"/>
      <c r="B71" s="494"/>
      <c r="C71" s="494"/>
      <c r="D71" s="494"/>
      <c r="E71" s="494"/>
      <c r="F71" s="501"/>
      <c r="G71" s="501"/>
      <c r="H71" s="494"/>
      <c r="I71" s="586"/>
      <c r="J71" s="586"/>
      <c r="K71" s="585"/>
      <c r="L71" s="585"/>
      <c r="M71" s="585"/>
      <c r="N71" s="585"/>
      <c r="O71" s="582"/>
      <c r="P71" s="582"/>
      <c r="Q71" s="582"/>
      <c r="R71" s="585"/>
      <c r="S71" s="585"/>
      <c r="T71" s="585"/>
      <c r="U71" s="585"/>
      <c r="V71" s="589"/>
      <c r="W71" s="585"/>
      <c r="X71" s="582"/>
      <c r="Y71" s="582"/>
      <c r="Z71" s="582"/>
    </row>
    <row r="72" ht="21.0" customHeight="1">
      <c r="A72" s="493"/>
      <c r="B72" s="494"/>
      <c r="C72" s="494"/>
      <c r="D72" s="494"/>
      <c r="E72" s="494"/>
      <c r="F72" s="501"/>
      <c r="G72" s="501"/>
      <c r="H72" s="494"/>
      <c r="I72" s="586"/>
      <c r="J72" s="586"/>
      <c r="K72" s="585"/>
      <c r="L72" s="585"/>
      <c r="M72" s="585"/>
      <c r="N72" s="585"/>
      <c r="O72" s="582"/>
      <c r="P72" s="582"/>
      <c r="Q72" s="582"/>
      <c r="R72" s="585"/>
      <c r="S72" s="585"/>
      <c r="T72" s="585"/>
      <c r="U72" s="585"/>
      <c r="V72" s="589"/>
      <c r="W72" s="585"/>
      <c r="X72" s="582"/>
      <c r="Y72" s="582"/>
      <c r="Z72" s="582"/>
    </row>
    <row r="73" ht="21.0" customHeight="1">
      <c r="A73" s="493"/>
      <c r="B73" s="494"/>
      <c r="C73" s="494"/>
      <c r="D73" s="494"/>
      <c r="E73" s="494"/>
      <c r="F73" s="501"/>
      <c r="G73" s="501"/>
      <c r="H73" s="494"/>
      <c r="I73" s="586"/>
      <c r="J73" s="586"/>
      <c r="K73" s="585"/>
      <c r="L73" s="585"/>
      <c r="M73" s="585"/>
      <c r="N73" s="585"/>
      <c r="O73" s="582"/>
      <c r="P73" s="582"/>
      <c r="Q73" s="582"/>
      <c r="R73" s="585"/>
      <c r="S73" s="585"/>
      <c r="T73" s="585"/>
      <c r="U73" s="585"/>
      <c r="V73" s="589"/>
      <c r="W73" s="585"/>
      <c r="X73" s="582"/>
      <c r="Y73" s="582"/>
      <c r="Z73" s="582"/>
    </row>
    <row r="74" ht="21.0" customHeight="1">
      <c r="A74" s="493"/>
      <c r="B74" s="494"/>
      <c r="C74" s="494"/>
      <c r="D74" s="494"/>
      <c r="E74" s="494"/>
      <c r="F74" s="501"/>
      <c r="G74" s="501"/>
      <c r="H74" s="494"/>
      <c r="I74" s="586"/>
      <c r="J74" s="586"/>
      <c r="K74" s="585"/>
      <c r="L74" s="585"/>
      <c r="M74" s="585"/>
      <c r="N74" s="585"/>
      <c r="O74" s="582"/>
      <c r="P74" s="582"/>
      <c r="Q74" s="582"/>
      <c r="R74" s="585"/>
      <c r="S74" s="585"/>
      <c r="T74" s="585"/>
      <c r="U74" s="585"/>
      <c r="V74" s="589"/>
      <c r="W74" s="585"/>
      <c r="X74" s="582"/>
      <c r="Y74" s="582"/>
      <c r="Z74" s="582"/>
    </row>
    <row r="75" ht="21.0" customHeight="1">
      <c r="A75" s="493"/>
      <c r="B75" s="494"/>
      <c r="C75" s="494"/>
      <c r="D75" s="494"/>
      <c r="E75" s="494"/>
      <c r="F75" s="501"/>
      <c r="G75" s="501"/>
      <c r="H75" s="494"/>
      <c r="I75" s="586"/>
      <c r="J75" s="586"/>
      <c r="K75" s="585"/>
      <c r="L75" s="585"/>
      <c r="M75" s="585"/>
      <c r="N75" s="585"/>
      <c r="O75" s="582"/>
      <c r="P75" s="582"/>
      <c r="Q75" s="582"/>
      <c r="R75" s="585"/>
      <c r="S75" s="585"/>
      <c r="T75" s="585"/>
      <c r="U75" s="585"/>
      <c r="V75" s="589"/>
      <c r="W75" s="585"/>
      <c r="X75" s="582"/>
      <c r="Y75" s="582"/>
      <c r="Z75" s="582"/>
    </row>
    <row r="76" ht="21.0" customHeight="1">
      <c r="A76" s="493"/>
      <c r="B76" s="494"/>
      <c r="C76" s="494"/>
      <c r="D76" s="494"/>
      <c r="E76" s="494"/>
      <c r="F76" s="501"/>
      <c r="G76" s="501"/>
      <c r="H76" s="494"/>
      <c r="I76" s="586"/>
      <c r="J76" s="586"/>
      <c r="K76" s="585"/>
      <c r="L76" s="585"/>
      <c r="M76" s="585"/>
      <c r="N76" s="585"/>
      <c r="O76" s="582"/>
      <c r="P76" s="582"/>
      <c r="Q76" s="582"/>
      <c r="R76" s="585"/>
      <c r="S76" s="585"/>
      <c r="T76" s="585"/>
      <c r="U76" s="585"/>
      <c r="V76" s="589"/>
      <c r="W76" s="585"/>
      <c r="X76" s="582"/>
      <c r="Y76" s="582"/>
      <c r="Z76" s="582"/>
    </row>
    <row r="77" ht="21.0" customHeight="1">
      <c r="A77" s="493"/>
      <c r="B77" s="494"/>
      <c r="C77" s="494"/>
      <c r="D77" s="494"/>
      <c r="E77" s="494"/>
      <c r="F77" s="501"/>
      <c r="G77" s="501"/>
      <c r="H77" s="494"/>
      <c r="I77" s="586"/>
      <c r="J77" s="586"/>
      <c r="K77" s="585"/>
      <c r="L77" s="585"/>
      <c r="M77" s="585"/>
      <c r="N77" s="585"/>
      <c r="O77" s="582"/>
      <c r="P77" s="582"/>
      <c r="Q77" s="582"/>
      <c r="R77" s="585"/>
      <c r="S77" s="585"/>
      <c r="T77" s="585"/>
      <c r="U77" s="585"/>
      <c r="V77" s="589"/>
      <c r="W77" s="585"/>
      <c r="X77" s="582"/>
      <c r="Y77" s="582"/>
      <c r="Z77" s="582"/>
    </row>
    <row r="78" ht="21.0" customHeight="1">
      <c r="A78" s="493"/>
      <c r="B78" s="494"/>
      <c r="C78" s="494"/>
      <c r="D78" s="494"/>
      <c r="E78" s="494"/>
      <c r="F78" s="501"/>
      <c r="G78" s="501"/>
      <c r="H78" s="494"/>
      <c r="I78" s="586"/>
      <c r="J78" s="586"/>
      <c r="K78" s="585"/>
      <c r="L78" s="585"/>
      <c r="M78" s="585"/>
      <c r="N78" s="585"/>
      <c r="O78" s="582"/>
      <c r="P78" s="582"/>
      <c r="Q78" s="582"/>
      <c r="R78" s="585"/>
      <c r="S78" s="585"/>
      <c r="T78" s="585"/>
      <c r="U78" s="585"/>
      <c r="V78" s="589"/>
      <c r="W78" s="585"/>
      <c r="X78" s="582"/>
      <c r="Y78" s="582"/>
      <c r="Z78" s="582"/>
    </row>
    <row r="79" ht="21.0" customHeight="1">
      <c r="A79" s="493"/>
      <c r="B79" s="494"/>
      <c r="C79" s="494"/>
      <c r="D79" s="494"/>
      <c r="E79" s="494"/>
      <c r="F79" s="501"/>
      <c r="G79" s="501"/>
      <c r="H79" s="494"/>
      <c r="I79" s="586"/>
      <c r="J79" s="586"/>
      <c r="K79" s="585"/>
      <c r="L79" s="585"/>
      <c r="M79" s="585"/>
      <c r="N79" s="585"/>
      <c r="O79" s="582"/>
      <c r="P79" s="582"/>
      <c r="Q79" s="582"/>
      <c r="R79" s="585"/>
      <c r="S79" s="585"/>
      <c r="T79" s="585"/>
      <c r="U79" s="585"/>
      <c r="V79" s="589"/>
      <c r="W79" s="585"/>
      <c r="X79" s="582"/>
      <c r="Y79" s="582"/>
      <c r="Z79" s="582"/>
    </row>
    <row r="80" ht="21.0" customHeight="1">
      <c r="A80" s="493"/>
      <c r="B80" s="494"/>
      <c r="C80" s="494"/>
      <c r="D80" s="494"/>
      <c r="E80" s="494"/>
      <c r="F80" s="501"/>
      <c r="G80" s="501"/>
      <c r="H80" s="494"/>
      <c r="I80" s="586"/>
      <c r="J80" s="586"/>
      <c r="K80" s="585"/>
      <c r="L80" s="585"/>
      <c r="M80" s="585"/>
      <c r="N80" s="585"/>
      <c r="O80" s="582"/>
      <c r="P80" s="582"/>
      <c r="Q80" s="582"/>
      <c r="R80" s="585"/>
      <c r="S80" s="585"/>
      <c r="T80" s="585"/>
      <c r="U80" s="585"/>
      <c r="V80" s="589"/>
      <c r="W80" s="585"/>
      <c r="X80" s="582"/>
      <c r="Y80" s="582"/>
      <c r="Z80" s="582"/>
    </row>
    <row r="81" ht="21.0" customHeight="1">
      <c r="A81" s="493"/>
      <c r="B81" s="494"/>
      <c r="C81" s="494"/>
      <c r="D81" s="494"/>
      <c r="E81" s="494"/>
      <c r="F81" s="501"/>
      <c r="G81" s="501"/>
      <c r="H81" s="494"/>
      <c r="I81" s="586"/>
      <c r="J81" s="586"/>
      <c r="K81" s="585"/>
      <c r="L81" s="585"/>
      <c r="M81" s="585"/>
      <c r="N81" s="585"/>
      <c r="O81" s="582"/>
      <c r="P81" s="582"/>
      <c r="Q81" s="582"/>
      <c r="R81" s="585"/>
      <c r="S81" s="585"/>
      <c r="T81" s="585"/>
      <c r="U81" s="585"/>
      <c r="V81" s="589"/>
      <c r="W81" s="585"/>
      <c r="X81" s="582"/>
      <c r="Y81" s="582"/>
      <c r="Z81" s="582"/>
    </row>
    <row r="82" ht="21.0" customHeight="1">
      <c r="A82" s="493"/>
      <c r="B82" s="494"/>
      <c r="C82" s="494"/>
      <c r="D82" s="494"/>
      <c r="E82" s="494"/>
      <c r="F82" s="501"/>
      <c r="G82" s="501"/>
      <c r="H82" s="494"/>
      <c r="I82" s="586"/>
      <c r="J82" s="586"/>
      <c r="K82" s="585"/>
      <c r="L82" s="585"/>
      <c r="M82" s="585"/>
      <c r="N82" s="585"/>
      <c r="O82" s="582"/>
      <c r="P82" s="582"/>
      <c r="Q82" s="582"/>
      <c r="R82" s="585"/>
      <c r="S82" s="585"/>
      <c r="T82" s="585"/>
      <c r="U82" s="585"/>
      <c r="V82" s="589"/>
      <c r="W82" s="585"/>
      <c r="X82" s="582"/>
      <c r="Y82" s="582"/>
      <c r="Z82" s="582"/>
    </row>
    <row r="83" ht="21.0" customHeight="1">
      <c r="A83" s="493"/>
      <c r="B83" s="494"/>
      <c r="C83" s="494"/>
      <c r="D83" s="494"/>
      <c r="E83" s="494"/>
      <c r="F83" s="501"/>
      <c r="G83" s="501"/>
      <c r="H83" s="494"/>
      <c r="I83" s="586"/>
      <c r="J83" s="586"/>
      <c r="K83" s="585"/>
      <c r="L83" s="585"/>
      <c r="M83" s="585"/>
      <c r="N83" s="585"/>
      <c r="O83" s="582"/>
      <c r="P83" s="582"/>
      <c r="Q83" s="582"/>
      <c r="R83" s="585"/>
      <c r="S83" s="585"/>
      <c r="T83" s="585"/>
      <c r="U83" s="585"/>
      <c r="V83" s="589"/>
      <c r="W83" s="585"/>
      <c r="X83" s="582"/>
      <c r="Y83" s="582"/>
      <c r="Z83" s="582"/>
    </row>
    <row r="84" ht="21.0" customHeight="1">
      <c r="A84" s="493"/>
      <c r="B84" s="494"/>
      <c r="C84" s="494"/>
      <c r="D84" s="494"/>
      <c r="E84" s="494"/>
      <c r="F84" s="501"/>
      <c r="G84" s="501"/>
      <c r="H84" s="494"/>
      <c r="I84" s="586"/>
      <c r="J84" s="586"/>
      <c r="K84" s="585"/>
      <c r="L84" s="585"/>
      <c r="M84" s="585"/>
      <c r="N84" s="585"/>
      <c r="O84" s="582"/>
      <c r="P84" s="582"/>
      <c r="Q84" s="582"/>
      <c r="R84" s="585"/>
      <c r="S84" s="585"/>
      <c r="T84" s="585"/>
      <c r="U84" s="585"/>
      <c r="V84" s="589"/>
      <c r="W84" s="585"/>
      <c r="X84" s="582"/>
      <c r="Y84" s="582"/>
      <c r="Z84" s="582"/>
    </row>
    <row r="85" ht="21.0" customHeight="1">
      <c r="A85" s="493"/>
      <c r="B85" s="494"/>
      <c r="C85" s="494"/>
      <c r="D85" s="494"/>
      <c r="E85" s="494"/>
      <c r="F85" s="501"/>
      <c r="G85" s="501"/>
      <c r="H85" s="494"/>
      <c r="I85" s="586"/>
      <c r="J85" s="586"/>
      <c r="K85" s="585"/>
      <c r="L85" s="585"/>
      <c r="M85" s="585"/>
      <c r="N85" s="585"/>
      <c r="O85" s="582"/>
      <c r="P85" s="582"/>
      <c r="Q85" s="582"/>
      <c r="R85" s="585"/>
      <c r="S85" s="585"/>
      <c r="T85" s="585"/>
      <c r="U85" s="585"/>
      <c r="V85" s="589"/>
      <c r="W85" s="585"/>
      <c r="X85" s="582"/>
      <c r="Y85" s="582"/>
      <c r="Z85" s="582"/>
    </row>
    <row r="86" ht="21.0" customHeight="1">
      <c r="A86" s="493"/>
      <c r="B86" s="494"/>
      <c r="C86" s="494"/>
      <c r="D86" s="494"/>
      <c r="E86" s="494"/>
      <c r="F86" s="501"/>
      <c r="G86" s="501"/>
      <c r="H86" s="494"/>
      <c r="I86" s="586"/>
      <c r="J86" s="586"/>
      <c r="K86" s="585"/>
      <c r="L86" s="585"/>
      <c r="M86" s="585"/>
      <c r="N86" s="585"/>
      <c r="O86" s="582"/>
      <c r="P86" s="582"/>
      <c r="Q86" s="582"/>
      <c r="R86" s="585"/>
      <c r="S86" s="585"/>
      <c r="T86" s="585"/>
      <c r="U86" s="585"/>
      <c r="V86" s="589"/>
      <c r="W86" s="585"/>
      <c r="X86" s="582"/>
      <c r="Y86" s="582"/>
      <c r="Z86" s="582"/>
    </row>
    <row r="87" ht="21.0" customHeight="1">
      <c r="A87" s="493"/>
      <c r="B87" s="494"/>
      <c r="C87" s="494"/>
      <c r="D87" s="494"/>
      <c r="E87" s="494"/>
      <c r="F87" s="501"/>
      <c r="G87" s="501"/>
      <c r="H87" s="494"/>
      <c r="I87" s="586"/>
      <c r="J87" s="586"/>
      <c r="K87" s="585"/>
      <c r="L87" s="585"/>
      <c r="M87" s="585"/>
      <c r="N87" s="585"/>
      <c r="O87" s="582"/>
      <c r="P87" s="582"/>
      <c r="Q87" s="582"/>
      <c r="R87" s="585"/>
      <c r="S87" s="585"/>
      <c r="T87" s="585"/>
      <c r="U87" s="585"/>
      <c r="V87" s="589"/>
      <c r="W87" s="585"/>
      <c r="X87" s="582"/>
      <c r="Y87" s="582"/>
      <c r="Z87" s="582"/>
    </row>
    <row r="88" ht="21.0" customHeight="1">
      <c r="A88" s="493"/>
      <c r="B88" s="494"/>
      <c r="C88" s="494"/>
      <c r="D88" s="494"/>
      <c r="E88" s="494"/>
      <c r="F88" s="501"/>
      <c r="G88" s="501"/>
      <c r="H88" s="494"/>
      <c r="I88" s="586"/>
      <c r="J88" s="586"/>
      <c r="K88" s="585"/>
      <c r="L88" s="585"/>
      <c r="M88" s="585"/>
      <c r="N88" s="585"/>
      <c r="O88" s="582"/>
      <c r="P88" s="582"/>
      <c r="Q88" s="582"/>
      <c r="R88" s="585"/>
      <c r="S88" s="585"/>
      <c r="T88" s="585"/>
      <c r="U88" s="585"/>
      <c r="V88" s="589"/>
      <c r="W88" s="585"/>
      <c r="X88" s="582"/>
      <c r="Y88" s="582"/>
      <c r="Z88" s="582"/>
    </row>
    <row r="89" ht="21.0" customHeight="1">
      <c r="A89" s="493"/>
      <c r="B89" s="494"/>
      <c r="C89" s="494"/>
      <c r="D89" s="494"/>
      <c r="E89" s="494"/>
      <c r="F89" s="501"/>
      <c r="G89" s="501"/>
      <c r="H89" s="494"/>
      <c r="I89" s="586"/>
      <c r="J89" s="586"/>
      <c r="K89" s="585"/>
      <c r="L89" s="585"/>
      <c r="M89" s="585"/>
      <c r="N89" s="585"/>
      <c r="O89" s="582"/>
      <c r="P89" s="582"/>
      <c r="Q89" s="582"/>
      <c r="R89" s="585"/>
      <c r="S89" s="585"/>
      <c r="T89" s="585"/>
      <c r="U89" s="585"/>
      <c r="V89" s="589"/>
      <c r="W89" s="585"/>
      <c r="X89" s="582"/>
      <c r="Y89" s="582"/>
      <c r="Z89" s="582"/>
    </row>
    <row r="90" ht="21.0" customHeight="1">
      <c r="A90" s="493"/>
      <c r="B90" s="494"/>
      <c r="C90" s="494"/>
      <c r="D90" s="494"/>
      <c r="E90" s="494"/>
      <c r="F90" s="501"/>
      <c r="G90" s="501"/>
      <c r="H90" s="494"/>
      <c r="I90" s="586"/>
      <c r="J90" s="586"/>
      <c r="K90" s="585"/>
      <c r="L90" s="585"/>
      <c r="M90" s="585"/>
      <c r="N90" s="585"/>
      <c r="O90" s="582"/>
      <c r="P90" s="582"/>
      <c r="Q90" s="582"/>
      <c r="R90" s="585"/>
      <c r="S90" s="585"/>
      <c r="T90" s="585"/>
      <c r="U90" s="585"/>
      <c r="V90" s="589"/>
      <c r="W90" s="585"/>
      <c r="X90" s="582"/>
      <c r="Y90" s="582"/>
      <c r="Z90" s="582"/>
    </row>
    <row r="91" ht="21.0" customHeight="1">
      <c r="A91" s="493"/>
      <c r="B91" s="494"/>
      <c r="C91" s="494"/>
      <c r="D91" s="494"/>
      <c r="E91" s="494"/>
      <c r="F91" s="501"/>
      <c r="G91" s="501"/>
      <c r="H91" s="494"/>
      <c r="I91" s="586"/>
      <c r="J91" s="586"/>
      <c r="K91" s="585"/>
      <c r="L91" s="585"/>
      <c r="M91" s="585"/>
      <c r="N91" s="585"/>
      <c r="O91" s="582"/>
      <c r="P91" s="582"/>
      <c r="Q91" s="582"/>
      <c r="R91" s="585"/>
      <c r="S91" s="585"/>
      <c r="T91" s="585"/>
      <c r="U91" s="585"/>
      <c r="V91" s="589"/>
      <c r="W91" s="585"/>
      <c r="X91" s="582"/>
      <c r="Y91" s="582"/>
      <c r="Z91" s="582"/>
    </row>
    <row r="92" ht="21.0" customHeight="1">
      <c r="A92" s="493"/>
      <c r="B92" s="494"/>
      <c r="C92" s="494"/>
      <c r="D92" s="494"/>
      <c r="E92" s="494"/>
      <c r="F92" s="501"/>
      <c r="G92" s="501"/>
      <c r="H92" s="494"/>
      <c r="I92" s="586"/>
      <c r="J92" s="586"/>
      <c r="K92" s="585"/>
      <c r="L92" s="585"/>
      <c r="M92" s="585"/>
      <c r="N92" s="585"/>
      <c r="O92" s="582"/>
      <c r="P92" s="582"/>
      <c r="Q92" s="582"/>
      <c r="R92" s="585"/>
      <c r="S92" s="585"/>
      <c r="T92" s="585"/>
      <c r="U92" s="585"/>
      <c r="V92" s="589"/>
      <c r="W92" s="585"/>
      <c r="X92" s="582"/>
      <c r="Y92" s="582"/>
      <c r="Z92" s="582"/>
    </row>
    <row r="93" ht="21.0" customHeight="1">
      <c r="A93" s="493"/>
      <c r="B93" s="494"/>
      <c r="C93" s="494"/>
      <c r="D93" s="494"/>
      <c r="E93" s="494"/>
      <c r="F93" s="501"/>
      <c r="G93" s="501"/>
      <c r="H93" s="494"/>
      <c r="I93" s="586"/>
      <c r="J93" s="586"/>
      <c r="K93" s="585"/>
      <c r="L93" s="585"/>
      <c r="M93" s="585"/>
      <c r="N93" s="585"/>
      <c r="O93" s="582"/>
      <c r="P93" s="582"/>
      <c r="Q93" s="582"/>
      <c r="R93" s="585"/>
      <c r="S93" s="585"/>
      <c r="T93" s="585"/>
      <c r="U93" s="585"/>
      <c r="V93" s="589"/>
      <c r="W93" s="585"/>
      <c r="X93" s="582"/>
      <c r="Y93" s="582"/>
      <c r="Z93" s="582"/>
    </row>
    <row r="94" ht="21.0" customHeight="1">
      <c r="A94" s="493"/>
      <c r="B94" s="494"/>
      <c r="C94" s="494"/>
      <c r="D94" s="494"/>
      <c r="E94" s="494"/>
      <c r="F94" s="501"/>
      <c r="G94" s="501"/>
      <c r="H94" s="494"/>
      <c r="I94" s="586"/>
      <c r="J94" s="586"/>
      <c r="K94" s="585"/>
      <c r="L94" s="585"/>
      <c r="M94" s="585"/>
      <c r="N94" s="585"/>
      <c r="O94" s="582"/>
      <c r="P94" s="582"/>
      <c r="Q94" s="582"/>
      <c r="R94" s="585"/>
      <c r="S94" s="585"/>
      <c r="T94" s="585"/>
      <c r="U94" s="585"/>
      <c r="V94" s="589"/>
      <c r="W94" s="585"/>
      <c r="X94" s="582"/>
      <c r="Y94" s="582"/>
      <c r="Z94" s="582"/>
    </row>
    <row r="95" ht="21.0" customHeight="1">
      <c r="A95" s="493"/>
      <c r="B95" s="494"/>
      <c r="C95" s="494"/>
      <c r="D95" s="494"/>
      <c r="E95" s="494"/>
      <c r="F95" s="501"/>
      <c r="G95" s="501"/>
      <c r="H95" s="494"/>
      <c r="I95" s="586"/>
      <c r="J95" s="586"/>
      <c r="K95" s="585"/>
      <c r="L95" s="585"/>
      <c r="M95" s="585"/>
      <c r="N95" s="585"/>
      <c r="O95" s="582"/>
      <c r="P95" s="582"/>
      <c r="Q95" s="582"/>
      <c r="R95" s="585"/>
      <c r="S95" s="585"/>
      <c r="T95" s="585"/>
      <c r="U95" s="585"/>
      <c r="V95" s="589"/>
      <c r="W95" s="585"/>
      <c r="X95" s="582"/>
      <c r="Y95" s="582"/>
      <c r="Z95" s="582"/>
    </row>
    <row r="96" ht="21.0" customHeight="1">
      <c r="A96" s="493"/>
      <c r="B96" s="494"/>
      <c r="C96" s="494"/>
      <c r="D96" s="494"/>
      <c r="E96" s="494"/>
      <c r="F96" s="501"/>
      <c r="G96" s="501"/>
      <c r="H96" s="494"/>
      <c r="I96" s="586"/>
      <c r="J96" s="586"/>
      <c r="K96" s="585"/>
      <c r="L96" s="585"/>
      <c r="M96" s="585"/>
      <c r="N96" s="585"/>
      <c r="O96" s="582"/>
      <c r="P96" s="582"/>
      <c r="Q96" s="582"/>
      <c r="R96" s="585"/>
      <c r="S96" s="585"/>
      <c r="T96" s="585"/>
      <c r="U96" s="585"/>
      <c r="V96" s="589"/>
      <c r="W96" s="585"/>
      <c r="X96" s="582"/>
      <c r="Y96" s="582"/>
      <c r="Z96" s="582"/>
    </row>
    <row r="97" ht="21.0" customHeight="1">
      <c r="A97" s="493"/>
      <c r="B97" s="494"/>
      <c r="C97" s="494"/>
      <c r="D97" s="494"/>
      <c r="E97" s="494"/>
      <c r="F97" s="501"/>
      <c r="G97" s="501"/>
      <c r="H97" s="494"/>
      <c r="I97" s="586"/>
      <c r="J97" s="586"/>
      <c r="K97" s="585"/>
      <c r="L97" s="585"/>
      <c r="M97" s="585"/>
      <c r="N97" s="585"/>
      <c r="O97" s="582"/>
      <c r="P97" s="582"/>
      <c r="Q97" s="582"/>
      <c r="R97" s="585"/>
      <c r="S97" s="585"/>
      <c r="T97" s="585"/>
      <c r="U97" s="585"/>
      <c r="V97" s="589"/>
      <c r="W97" s="585"/>
      <c r="X97" s="582"/>
      <c r="Y97" s="582"/>
      <c r="Z97" s="582"/>
    </row>
    <row r="98" ht="21.0" customHeight="1">
      <c r="A98" s="493"/>
      <c r="B98" s="494"/>
      <c r="C98" s="494"/>
      <c r="D98" s="494"/>
      <c r="E98" s="494"/>
      <c r="F98" s="501"/>
      <c r="G98" s="501"/>
      <c r="H98" s="494"/>
      <c r="I98" s="586"/>
      <c r="J98" s="586"/>
      <c r="K98" s="585"/>
      <c r="L98" s="585"/>
      <c r="M98" s="585"/>
      <c r="N98" s="585"/>
      <c r="O98" s="582"/>
      <c r="P98" s="582"/>
      <c r="Q98" s="582"/>
      <c r="R98" s="585"/>
      <c r="S98" s="585"/>
      <c r="T98" s="585"/>
      <c r="U98" s="585"/>
      <c r="V98" s="589"/>
      <c r="W98" s="585"/>
      <c r="X98" s="582"/>
      <c r="Y98" s="582"/>
      <c r="Z98" s="582"/>
    </row>
    <row r="99" ht="21.0" customHeight="1">
      <c r="A99" s="493"/>
      <c r="B99" s="494"/>
      <c r="C99" s="494"/>
      <c r="D99" s="494"/>
      <c r="E99" s="494"/>
      <c r="F99" s="501"/>
      <c r="G99" s="501"/>
      <c r="H99" s="494"/>
      <c r="I99" s="586"/>
      <c r="J99" s="586"/>
      <c r="K99" s="585"/>
      <c r="L99" s="585"/>
      <c r="M99" s="585"/>
      <c r="N99" s="585"/>
      <c r="O99" s="582"/>
      <c r="P99" s="582"/>
      <c r="Q99" s="582"/>
      <c r="R99" s="585"/>
      <c r="S99" s="585"/>
      <c r="T99" s="585"/>
      <c r="U99" s="585"/>
      <c r="V99" s="589"/>
      <c r="W99" s="585"/>
      <c r="X99" s="582"/>
      <c r="Y99" s="582"/>
      <c r="Z99" s="582"/>
    </row>
    <row r="100" ht="21.0" customHeight="1">
      <c r="A100" s="493"/>
      <c r="B100" s="494"/>
      <c r="C100" s="494"/>
      <c r="D100" s="494"/>
      <c r="E100" s="494"/>
      <c r="F100" s="501"/>
      <c r="G100" s="501"/>
      <c r="H100" s="494"/>
      <c r="I100" s="586"/>
      <c r="J100" s="586"/>
      <c r="K100" s="585"/>
      <c r="L100" s="585"/>
      <c r="M100" s="585"/>
      <c r="N100" s="585"/>
      <c r="O100" s="582"/>
      <c r="P100" s="582"/>
      <c r="Q100" s="582"/>
      <c r="R100" s="585"/>
      <c r="S100" s="585"/>
      <c r="T100" s="585"/>
      <c r="U100" s="585"/>
      <c r="V100" s="589"/>
      <c r="W100" s="585"/>
      <c r="X100" s="582"/>
      <c r="Y100" s="582"/>
      <c r="Z100" s="582"/>
    </row>
    <row r="101" ht="21.0" customHeight="1">
      <c r="A101" s="493"/>
      <c r="B101" s="494"/>
      <c r="C101" s="494"/>
      <c r="D101" s="494"/>
      <c r="E101" s="494"/>
      <c r="F101" s="501"/>
      <c r="G101" s="501"/>
      <c r="H101" s="494"/>
      <c r="I101" s="586"/>
      <c r="J101" s="586"/>
      <c r="K101" s="585"/>
      <c r="L101" s="585"/>
      <c r="M101" s="585"/>
      <c r="N101" s="585"/>
      <c r="O101" s="582"/>
      <c r="P101" s="582"/>
      <c r="Q101" s="582"/>
      <c r="R101" s="585"/>
      <c r="S101" s="585"/>
      <c r="T101" s="585"/>
      <c r="U101" s="585"/>
      <c r="V101" s="589"/>
      <c r="W101" s="585"/>
      <c r="X101" s="582"/>
      <c r="Y101" s="582"/>
      <c r="Z101" s="582"/>
    </row>
    <row r="102" ht="21.0" customHeight="1">
      <c r="A102" s="493"/>
      <c r="B102" s="494"/>
      <c r="C102" s="494"/>
      <c r="D102" s="494"/>
      <c r="E102" s="494"/>
      <c r="F102" s="501"/>
      <c r="G102" s="501"/>
      <c r="H102" s="494"/>
      <c r="I102" s="586"/>
      <c r="J102" s="586"/>
      <c r="K102" s="585"/>
      <c r="L102" s="585"/>
      <c r="M102" s="585"/>
      <c r="N102" s="585"/>
      <c r="O102" s="582"/>
      <c r="P102" s="582"/>
      <c r="Q102" s="582"/>
      <c r="R102" s="585"/>
      <c r="S102" s="585"/>
      <c r="T102" s="585"/>
      <c r="U102" s="585"/>
      <c r="V102" s="589"/>
      <c r="W102" s="585"/>
      <c r="X102" s="582"/>
      <c r="Y102" s="582"/>
      <c r="Z102" s="582"/>
    </row>
    <row r="103" ht="21.0" customHeight="1">
      <c r="A103" s="493"/>
      <c r="B103" s="494"/>
      <c r="C103" s="494"/>
      <c r="D103" s="494"/>
      <c r="E103" s="494"/>
      <c r="F103" s="501"/>
      <c r="G103" s="501"/>
      <c r="H103" s="494"/>
      <c r="I103" s="586"/>
      <c r="J103" s="586"/>
      <c r="K103" s="585"/>
      <c r="L103" s="585"/>
      <c r="M103" s="585"/>
      <c r="N103" s="585"/>
      <c r="O103" s="582"/>
      <c r="P103" s="582"/>
      <c r="Q103" s="582"/>
      <c r="R103" s="585"/>
      <c r="S103" s="585"/>
      <c r="T103" s="585"/>
      <c r="U103" s="585"/>
      <c r="V103" s="589"/>
      <c r="W103" s="585"/>
      <c r="X103" s="582"/>
      <c r="Y103" s="582"/>
      <c r="Z103" s="582"/>
    </row>
    <row r="104" ht="21.0" customHeight="1">
      <c r="A104" s="493"/>
      <c r="B104" s="494"/>
      <c r="C104" s="494"/>
      <c r="D104" s="494"/>
      <c r="E104" s="494"/>
      <c r="F104" s="501"/>
      <c r="G104" s="501"/>
      <c r="H104" s="494"/>
      <c r="I104" s="586"/>
      <c r="J104" s="586"/>
      <c r="K104" s="585"/>
      <c r="L104" s="585"/>
      <c r="M104" s="585"/>
      <c r="N104" s="585"/>
      <c r="O104" s="582"/>
      <c r="P104" s="582"/>
      <c r="Q104" s="582"/>
      <c r="R104" s="585"/>
      <c r="S104" s="585"/>
      <c r="T104" s="585"/>
      <c r="U104" s="585"/>
      <c r="V104" s="589"/>
      <c r="W104" s="585"/>
      <c r="X104" s="582"/>
      <c r="Y104" s="582"/>
      <c r="Z104" s="582"/>
    </row>
    <row r="105" ht="21.0" customHeight="1">
      <c r="A105" s="493"/>
      <c r="B105" s="494"/>
      <c r="C105" s="494"/>
      <c r="D105" s="494"/>
      <c r="E105" s="494"/>
      <c r="F105" s="501"/>
      <c r="G105" s="501"/>
      <c r="H105" s="494"/>
      <c r="I105" s="586"/>
      <c r="J105" s="586"/>
      <c r="K105" s="585"/>
      <c r="L105" s="585"/>
      <c r="M105" s="585"/>
      <c r="N105" s="585"/>
      <c r="O105" s="582"/>
      <c r="P105" s="582"/>
      <c r="Q105" s="582"/>
      <c r="R105" s="585"/>
      <c r="S105" s="585"/>
      <c r="T105" s="585"/>
      <c r="U105" s="585"/>
      <c r="V105" s="589"/>
      <c r="W105" s="585"/>
      <c r="X105" s="582"/>
      <c r="Y105" s="582"/>
      <c r="Z105" s="582"/>
    </row>
    <row r="106" ht="21.0" customHeight="1">
      <c r="A106" s="493"/>
      <c r="B106" s="494"/>
      <c r="C106" s="494"/>
      <c r="D106" s="494"/>
      <c r="E106" s="494"/>
      <c r="F106" s="501"/>
      <c r="G106" s="501"/>
      <c r="H106" s="494"/>
      <c r="I106" s="586"/>
      <c r="J106" s="586"/>
      <c r="K106" s="585"/>
      <c r="L106" s="585"/>
      <c r="M106" s="585"/>
      <c r="N106" s="585"/>
      <c r="O106" s="582"/>
      <c r="P106" s="582"/>
      <c r="Q106" s="582"/>
      <c r="R106" s="585"/>
      <c r="S106" s="585"/>
      <c r="T106" s="585"/>
      <c r="U106" s="585"/>
      <c r="V106" s="589"/>
      <c r="W106" s="585"/>
      <c r="X106" s="582"/>
      <c r="Y106" s="582"/>
      <c r="Z106" s="582"/>
    </row>
    <row r="107" ht="21.0" customHeight="1">
      <c r="A107" s="493"/>
      <c r="B107" s="494"/>
      <c r="C107" s="494"/>
      <c r="D107" s="494"/>
      <c r="E107" s="494"/>
      <c r="F107" s="501"/>
      <c r="G107" s="501"/>
      <c r="H107" s="494"/>
      <c r="I107" s="586"/>
      <c r="J107" s="586"/>
      <c r="K107" s="585"/>
      <c r="L107" s="585"/>
      <c r="M107" s="585"/>
      <c r="N107" s="585"/>
      <c r="O107" s="582"/>
      <c r="P107" s="582"/>
      <c r="Q107" s="582"/>
      <c r="R107" s="585"/>
      <c r="S107" s="585"/>
      <c r="T107" s="585"/>
      <c r="U107" s="585"/>
      <c r="V107" s="589"/>
      <c r="W107" s="585"/>
      <c r="X107" s="582"/>
      <c r="Y107" s="582"/>
      <c r="Z107" s="582"/>
    </row>
    <row r="108" ht="21.0" customHeight="1">
      <c r="A108" s="493"/>
      <c r="B108" s="494"/>
      <c r="C108" s="494"/>
      <c r="D108" s="494"/>
      <c r="E108" s="494"/>
      <c r="F108" s="501"/>
      <c r="G108" s="501"/>
      <c r="H108" s="494"/>
      <c r="I108" s="586"/>
      <c r="J108" s="586"/>
      <c r="K108" s="585"/>
      <c r="L108" s="585"/>
      <c r="M108" s="585"/>
      <c r="N108" s="585"/>
      <c r="O108" s="582"/>
      <c r="P108" s="582"/>
      <c r="Q108" s="582"/>
      <c r="R108" s="585"/>
      <c r="S108" s="585"/>
      <c r="T108" s="585"/>
      <c r="U108" s="585"/>
      <c r="V108" s="589"/>
      <c r="W108" s="585"/>
      <c r="X108" s="582"/>
      <c r="Y108" s="582"/>
      <c r="Z108" s="582"/>
    </row>
    <row r="109" ht="21.0" customHeight="1">
      <c r="A109" s="493"/>
      <c r="B109" s="494"/>
      <c r="C109" s="494"/>
      <c r="D109" s="494"/>
      <c r="E109" s="494"/>
      <c r="F109" s="501"/>
      <c r="G109" s="501"/>
      <c r="H109" s="494"/>
      <c r="I109" s="586"/>
      <c r="J109" s="586"/>
      <c r="K109" s="585"/>
      <c r="L109" s="585"/>
      <c r="M109" s="585"/>
      <c r="N109" s="585"/>
      <c r="O109" s="582"/>
      <c r="P109" s="582"/>
      <c r="Q109" s="582"/>
      <c r="R109" s="585"/>
      <c r="S109" s="585"/>
      <c r="T109" s="585"/>
      <c r="U109" s="585"/>
      <c r="V109" s="589"/>
      <c r="W109" s="585"/>
      <c r="X109" s="582"/>
      <c r="Y109" s="582"/>
      <c r="Z109" s="582"/>
    </row>
    <row r="110" ht="21.0" customHeight="1">
      <c r="A110" s="493"/>
      <c r="B110" s="494"/>
      <c r="C110" s="494"/>
      <c r="D110" s="494"/>
      <c r="E110" s="494"/>
      <c r="F110" s="501"/>
      <c r="G110" s="501"/>
      <c r="H110" s="494"/>
      <c r="I110" s="586"/>
      <c r="J110" s="586"/>
      <c r="K110" s="585"/>
      <c r="L110" s="585"/>
      <c r="M110" s="585"/>
      <c r="N110" s="585"/>
      <c r="O110" s="582"/>
      <c r="P110" s="582"/>
      <c r="Q110" s="582"/>
      <c r="R110" s="585"/>
      <c r="S110" s="585"/>
      <c r="T110" s="585"/>
      <c r="U110" s="585"/>
      <c r="V110" s="589"/>
      <c r="W110" s="585"/>
      <c r="X110" s="582"/>
      <c r="Y110" s="582"/>
      <c r="Z110" s="582"/>
    </row>
    <row r="111" ht="21.0" customHeight="1">
      <c r="A111" s="493"/>
      <c r="B111" s="494"/>
      <c r="C111" s="494"/>
      <c r="D111" s="494"/>
      <c r="E111" s="494"/>
      <c r="F111" s="501"/>
      <c r="G111" s="501"/>
      <c r="H111" s="494"/>
      <c r="I111" s="586"/>
      <c r="J111" s="586"/>
      <c r="K111" s="585"/>
      <c r="L111" s="585"/>
      <c r="M111" s="585"/>
      <c r="N111" s="585"/>
      <c r="O111" s="582"/>
      <c r="P111" s="582"/>
      <c r="Q111" s="582"/>
      <c r="R111" s="585"/>
      <c r="S111" s="585"/>
      <c r="T111" s="585"/>
      <c r="U111" s="585"/>
      <c r="V111" s="589"/>
      <c r="W111" s="585"/>
      <c r="X111" s="582"/>
      <c r="Y111" s="582"/>
      <c r="Z111" s="582"/>
    </row>
    <row r="112" ht="21.0" customHeight="1">
      <c r="A112" s="493"/>
      <c r="B112" s="494"/>
      <c r="C112" s="494"/>
      <c r="D112" s="494"/>
      <c r="E112" s="494"/>
      <c r="F112" s="501"/>
      <c r="G112" s="501"/>
      <c r="H112" s="494"/>
      <c r="I112" s="586"/>
      <c r="J112" s="586"/>
      <c r="K112" s="585"/>
      <c r="L112" s="585"/>
      <c r="M112" s="585"/>
      <c r="N112" s="585"/>
      <c r="O112" s="582"/>
      <c r="P112" s="582"/>
      <c r="Q112" s="582"/>
      <c r="R112" s="585"/>
      <c r="S112" s="585"/>
      <c r="T112" s="585"/>
      <c r="U112" s="585"/>
      <c r="V112" s="589"/>
      <c r="W112" s="585"/>
      <c r="X112" s="582"/>
      <c r="Y112" s="582"/>
      <c r="Z112" s="582"/>
    </row>
    <row r="113" ht="21.0" customHeight="1">
      <c r="A113" s="493"/>
      <c r="B113" s="494"/>
      <c r="C113" s="494"/>
      <c r="D113" s="494"/>
      <c r="E113" s="494"/>
      <c r="F113" s="501"/>
      <c r="G113" s="501"/>
      <c r="H113" s="494"/>
      <c r="I113" s="586"/>
      <c r="J113" s="586"/>
      <c r="K113" s="585"/>
      <c r="L113" s="585"/>
      <c r="M113" s="585"/>
      <c r="N113" s="585"/>
      <c r="O113" s="582"/>
      <c r="P113" s="582"/>
      <c r="Q113" s="582"/>
      <c r="R113" s="585"/>
      <c r="S113" s="585"/>
      <c r="T113" s="585"/>
      <c r="U113" s="585"/>
      <c r="V113" s="589"/>
      <c r="W113" s="585"/>
      <c r="X113" s="582"/>
      <c r="Y113" s="582"/>
      <c r="Z113" s="582"/>
    </row>
    <row r="114" ht="21.0" customHeight="1">
      <c r="A114" s="493"/>
      <c r="B114" s="494"/>
      <c r="C114" s="494"/>
      <c r="D114" s="494"/>
      <c r="E114" s="494"/>
      <c r="F114" s="501"/>
      <c r="G114" s="501"/>
      <c r="H114" s="494"/>
      <c r="I114" s="586"/>
      <c r="J114" s="586"/>
      <c r="K114" s="585"/>
      <c r="L114" s="585"/>
      <c r="M114" s="585"/>
      <c r="N114" s="585"/>
      <c r="O114" s="582"/>
      <c r="P114" s="582"/>
      <c r="Q114" s="582"/>
      <c r="R114" s="585"/>
      <c r="S114" s="585"/>
      <c r="T114" s="585"/>
      <c r="U114" s="585"/>
      <c r="V114" s="589"/>
      <c r="W114" s="585"/>
      <c r="X114" s="582"/>
      <c r="Y114" s="582"/>
      <c r="Z114" s="582"/>
    </row>
    <row r="115" ht="21.0" customHeight="1">
      <c r="A115" s="493"/>
      <c r="B115" s="494"/>
      <c r="C115" s="494"/>
      <c r="D115" s="494"/>
      <c r="E115" s="494"/>
      <c r="F115" s="501"/>
      <c r="G115" s="501"/>
      <c r="H115" s="494"/>
      <c r="I115" s="586"/>
      <c r="J115" s="586"/>
      <c r="K115" s="585"/>
      <c r="L115" s="585"/>
      <c r="M115" s="585"/>
      <c r="N115" s="585"/>
      <c r="O115" s="582"/>
      <c r="P115" s="582"/>
      <c r="Q115" s="582"/>
      <c r="R115" s="585"/>
      <c r="S115" s="585"/>
      <c r="T115" s="585"/>
      <c r="U115" s="585"/>
      <c r="V115" s="589"/>
      <c r="W115" s="585"/>
      <c r="X115" s="582"/>
      <c r="Y115" s="582"/>
      <c r="Z115" s="582"/>
    </row>
    <row r="116" ht="21.0" customHeight="1">
      <c r="A116" s="493"/>
      <c r="B116" s="494"/>
      <c r="C116" s="494"/>
      <c r="D116" s="494"/>
      <c r="E116" s="494"/>
      <c r="F116" s="501"/>
      <c r="G116" s="501"/>
      <c r="H116" s="494"/>
      <c r="I116" s="586"/>
      <c r="J116" s="586"/>
      <c r="K116" s="585"/>
      <c r="L116" s="585"/>
      <c r="M116" s="585"/>
      <c r="N116" s="585"/>
      <c r="O116" s="582"/>
      <c r="P116" s="582"/>
      <c r="Q116" s="582"/>
      <c r="R116" s="585"/>
      <c r="S116" s="585"/>
      <c r="T116" s="585"/>
      <c r="U116" s="585"/>
      <c r="V116" s="589"/>
      <c r="W116" s="585"/>
      <c r="X116" s="582"/>
      <c r="Y116" s="582"/>
      <c r="Z116" s="582"/>
    </row>
    <row r="117" ht="21.0" customHeight="1">
      <c r="A117" s="493"/>
      <c r="B117" s="494"/>
      <c r="C117" s="494"/>
      <c r="D117" s="494"/>
      <c r="E117" s="494"/>
      <c r="F117" s="501"/>
      <c r="G117" s="501"/>
      <c r="H117" s="494"/>
      <c r="I117" s="586"/>
      <c r="J117" s="586"/>
      <c r="K117" s="585"/>
      <c r="L117" s="585"/>
      <c r="M117" s="585"/>
      <c r="N117" s="585"/>
      <c r="O117" s="582"/>
      <c r="P117" s="582"/>
      <c r="Q117" s="582"/>
      <c r="R117" s="585"/>
      <c r="S117" s="585"/>
      <c r="T117" s="585"/>
      <c r="U117" s="585"/>
      <c r="V117" s="589"/>
      <c r="W117" s="585"/>
      <c r="X117" s="582"/>
      <c r="Y117" s="582"/>
      <c r="Z117" s="582"/>
    </row>
    <row r="118" ht="21.0" customHeight="1">
      <c r="A118" s="493"/>
      <c r="B118" s="494"/>
      <c r="C118" s="494"/>
      <c r="D118" s="494"/>
      <c r="E118" s="494"/>
      <c r="F118" s="501"/>
      <c r="G118" s="501"/>
      <c r="H118" s="494"/>
      <c r="I118" s="586"/>
      <c r="J118" s="586"/>
      <c r="K118" s="585"/>
      <c r="L118" s="585"/>
      <c r="M118" s="585"/>
      <c r="N118" s="585"/>
      <c r="O118" s="582"/>
      <c r="P118" s="582"/>
      <c r="Q118" s="582"/>
      <c r="R118" s="585"/>
      <c r="S118" s="585"/>
      <c r="T118" s="585"/>
      <c r="U118" s="585"/>
      <c r="V118" s="589"/>
      <c r="W118" s="585"/>
      <c r="X118" s="582"/>
      <c r="Y118" s="582"/>
      <c r="Z118" s="582"/>
    </row>
    <row r="119" ht="21.0" customHeight="1">
      <c r="A119" s="493"/>
      <c r="B119" s="494"/>
      <c r="C119" s="494"/>
      <c r="D119" s="494"/>
      <c r="E119" s="494"/>
      <c r="F119" s="501"/>
      <c r="G119" s="501"/>
      <c r="H119" s="494"/>
      <c r="I119" s="586"/>
      <c r="J119" s="586"/>
      <c r="K119" s="585"/>
      <c r="L119" s="585"/>
      <c r="M119" s="585"/>
      <c r="N119" s="585"/>
      <c r="O119" s="582"/>
      <c r="P119" s="582"/>
      <c r="Q119" s="582"/>
      <c r="R119" s="585"/>
      <c r="S119" s="585"/>
      <c r="T119" s="585"/>
      <c r="U119" s="585"/>
      <c r="V119" s="589"/>
      <c r="W119" s="585"/>
      <c r="X119" s="582"/>
      <c r="Y119" s="582"/>
      <c r="Z119" s="582"/>
    </row>
    <row r="120" ht="21.0" customHeight="1">
      <c r="A120" s="493"/>
      <c r="B120" s="494"/>
      <c r="C120" s="494"/>
      <c r="D120" s="494"/>
      <c r="E120" s="494"/>
      <c r="F120" s="501"/>
      <c r="G120" s="501"/>
      <c r="H120" s="494"/>
      <c r="I120" s="586"/>
      <c r="J120" s="586"/>
      <c r="K120" s="585"/>
      <c r="L120" s="585"/>
      <c r="M120" s="585"/>
      <c r="N120" s="585"/>
      <c r="O120" s="582"/>
      <c r="P120" s="582"/>
      <c r="Q120" s="582"/>
      <c r="R120" s="585"/>
      <c r="S120" s="585"/>
      <c r="T120" s="585"/>
      <c r="U120" s="585"/>
      <c r="V120" s="589"/>
      <c r="W120" s="585"/>
      <c r="X120" s="582"/>
      <c r="Y120" s="582"/>
      <c r="Z120" s="582"/>
    </row>
    <row r="121" ht="21.0" customHeight="1">
      <c r="A121" s="582"/>
      <c r="B121" s="583"/>
      <c r="C121" s="583"/>
      <c r="D121" s="583"/>
      <c r="E121" s="583"/>
      <c r="F121" s="591"/>
      <c r="G121" s="591"/>
      <c r="H121" s="583"/>
      <c r="I121" s="586"/>
      <c r="J121" s="586"/>
      <c r="K121" s="585"/>
      <c r="L121" s="585"/>
      <c r="M121" s="585"/>
      <c r="N121" s="585"/>
      <c r="O121" s="582"/>
      <c r="P121" s="582"/>
      <c r="Q121" s="582"/>
      <c r="R121" s="585"/>
      <c r="S121" s="585"/>
      <c r="T121" s="585"/>
      <c r="U121" s="585"/>
      <c r="V121" s="589"/>
      <c r="W121" s="585"/>
      <c r="X121" s="582"/>
      <c r="Y121" s="582"/>
      <c r="Z121" s="582"/>
    </row>
    <row r="122" ht="21.0" customHeight="1">
      <c r="A122" s="582"/>
      <c r="B122" s="583"/>
      <c r="C122" s="583"/>
      <c r="D122" s="583"/>
      <c r="E122" s="583"/>
      <c r="F122" s="591"/>
      <c r="G122" s="591"/>
      <c r="H122" s="583"/>
      <c r="I122" s="586"/>
      <c r="J122" s="586"/>
      <c r="K122" s="585"/>
      <c r="L122" s="585"/>
      <c r="M122" s="585"/>
      <c r="N122" s="585"/>
      <c r="O122" s="582"/>
      <c r="P122" s="582"/>
      <c r="Q122" s="582"/>
      <c r="R122" s="585"/>
      <c r="S122" s="585"/>
      <c r="T122" s="585"/>
      <c r="U122" s="585"/>
      <c r="V122" s="589"/>
      <c r="W122" s="585"/>
      <c r="X122" s="582"/>
      <c r="Y122" s="582"/>
      <c r="Z122" s="582"/>
    </row>
    <row r="123" ht="21.0" customHeight="1">
      <c r="A123" s="582"/>
      <c r="B123" s="583"/>
      <c r="C123" s="583"/>
      <c r="D123" s="583"/>
      <c r="E123" s="583"/>
      <c r="F123" s="591"/>
      <c r="G123" s="591"/>
      <c r="H123" s="583"/>
      <c r="I123" s="586"/>
      <c r="J123" s="586"/>
      <c r="K123" s="585"/>
      <c r="L123" s="585"/>
      <c r="M123" s="585"/>
      <c r="N123" s="585"/>
      <c r="O123" s="582"/>
      <c r="P123" s="582"/>
      <c r="Q123" s="582"/>
      <c r="R123" s="585"/>
      <c r="S123" s="585"/>
      <c r="T123" s="585"/>
      <c r="U123" s="585"/>
      <c r="V123" s="589"/>
      <c r="W123" s="585"/>
      <c r="X123" s="582"/>
      <c r="Y123" s="582"/>
      <c r="Z123" s="582"/>
    </row>
    <row r="124" ht="21.0" customHeight="1">
      <c r="A124" s="582"/>
      <c r="B124" s="583"/>
      <c r="C124" s="583"/>
      <c r="D124" s="583"/>
      <c r="E124" s="583"/>
      <c r="F124" s="591"/>
      <c r="G124" s="591"/>
      <c r="H124" s="583"/>
      <c r="I124" s="586"/>
      <c r="J124" s="586"/>
      <c r="K124" s="585"/>
      <c r="L124" s="585"/>
      <c r="M124" s="585"/>
      <c r="N124" s="585"/>
      <c r="O124" s="582"/>
      <c r="P124" s="582"/>
      <c r="Q124" s="582"/>
      <c r="R124" s="585"/>
      <c r="S124" s="585"/>
      <c r="T124" s="585"/>
      <c r="U124" s="585"/>
      <c r="V124" s="589"/>
      <c r="W124" s="585"/>
      <c r="X124" s="582"/>
      <c r="Y124" s="582"/>
      <c r="Z124" s="582"/>
    </row>
    <row r="125" ht="21.0" customHeight="1">
      <c r="A125" s="582"/>
      <c r="B125" s="583"/>
      <c r="C125" s="583"/>
      <c r="D125" s="583"/>
      <c r="E125" s="583"/>
      <c r="F125" s="591"/>
      <c r="G125" s="591"/>
      <c r="H125" s="583"/>
      <c r="I125" s="586"/>
      <c r="J125" s="586"/>
      <c r="K125" s="585"/>
      <c r="L125" s="585"/>
      <c r="M125" s="585"/>
      <c r="N125" s="585"/>
      <c r="O125" s="582"/>
      <c r="P125" s="582"/>
      <c r="Q125" s="582"/>
      <c r="R125" s="585"/>
      <c r="S125" s="585"/>
      <c r="T125" s="585"/>
      <c r="U125" s="585"/>
      <c r="V125" s="589"/>
      <c r="W125" s="585"/>
      <c r="X125" s="582"/>
      <c r="Y125" s="582"/>
      <c r="Z125" s="582"/>
    </row>
    <row r="126" ht="21.0" customHeight="1">
      <c r="A126" s="582"/>
      <c r="B126" s="583"/>
      <c r="C126" s="583"/>
      <c r="D126" s="583"/>
      <c r="E126" s="583"/>
      <c r="F126" s="591"/>
      <c r="G126" s="591"/>
      <c r="H126" s="583"/>
      <c r="I126" s="586"/>
      <c r="J126" s="586"/>
      <c r="K126" s="585"/>
      <c r="L126" s="585"/>
      <c r="M126" s="585"/>
      <c r="N126" s="585"/>
      <c r="O126" s="582"/>
      <c r="P126" s="582"/>
      <c r="Q126" s="582"/>
      <c r="R126" s="585"/>
      <c r="S126" s="585"/>
      <c r="T126" s="585"/>
      <c r="U126" s="585"/>
      <c r="V126" s="589"/>
      <c r="W126" s="585"/>
      <c r="X126" s="582"/>
      <c r="Y126" s="582"/>
      <c r="Z126" s="582"/>
    </row>
    <row r="127" ht="21.0" customHeight="1">
      <c r="A127" s="582"/>
      <c r="B127" s="583"/>
      <c r="C127" s="583"/>
      <c r="D127" s="583"/>
      <c r="E127" s="583"/>
      <c r="F127" s="591"/>
      <c r="G127" s="591"/>
      <c r="H127" s="583"/>
      <c r="I127" s="586"/>
      <c r="J127" s="586"/>
      <c r="K127" s="585"/>
      <c r="L127" s="585"/>
      <c r="M127" s="585"/>
      <c r="N127" s="585"/>
      <c r="O127" s="582"/>
      <c r="P127" s="582"/>
      <c r="Q127" s="582"/>
      <c r="R127" s="585"/>
      <c r="S127" s="585"/>
      <c r="T127" s="585"/>
      <c r="U127" s="585"/>
      <c r="V127" s="589"/>
      <c r="W127" s="585"/>
      <c r="X127" s="582"/>
      <c r="Y127" s="582"/>
      <c r="Z127" s="582"/>
    </row>
    <row r="128" ht="21.0" customHeight="1">
      <c r="A128" s="582"/>
      <c r="B128" s="583"/>
      <c r="C128" s="583"/>
      <c r="D128" s="583"/>
      <c r="E128" s="583"/>
      <c r="F128" s="591"/>
      <c r="G128" s="591"/>
      <c r="H128" s="583"/>
      <c r="I128" s="586"/>
      <c r="J128" s="586"/>
      <c r="K128" s="585"/>
      <c r="L128" s="585"/>
      <c r="M128" s="585"/>
      <c r="N128" s="585"/>
      <c r="O128" s="582"/>
      <c r="P128" s="582"/>
      <c r="Q128" s="582"/>
      <c r="R128" s="585"/>
      <c r="S128" s="585"/>
      <c r="T128" s="585"/>
      <c r="U128" s="585"/>
      <c r="V128" s="589"/>
      <c r="W128" s="585"/>
      <c r="X128" s="582"/>
      <c r="Y128" s="582"/>
      <c r="Z128" s="582"/>
    </row>
    <row r="129" ht="21.0" customHeight="1">
      <c r="A129" s="582"/>
      <c r="B129" s="583"/>
      <c r="C129" s="583"/>
      <c r="D129" s="583"/>
      <c r="E129" s="583"/>
      <c r="F129" s="591"/>
      <c r="G129" s="591"/>
      <c r="H129" s="583"/>
      <c r="I129" s="586"/>
      <c r="J129" s="586"/>
      <c r="K129" s="585"/>
      <c r="L129" s="585"/>
      <c r="M129" s="585"/>
      <c r="N129" s="585"/>
      <c r="O129" s="582"/>
      <c r="P129" s="582"/>
      <c r="Q129" s="582"/>
      <c r="R129" s="585"/>
      <c r="S129" s="585"/>
      <c r="T129" s="585"/>
      <c r="U129" s="585"/>
      <c r="V129" s="589"/>
      <c r="W129" s="585"/>
      <c r="X129" s="582"/>
      <c r="Y129" s="582"/>
      <c r="Z129" s="582"/>
    </row>
    <row r="130" ht="21.0" customHeight="1">
      <c r="A130" s="582"/>
      <c r="B130" s="583"/>
      <c r="C130" s="583"/>
      <c r="D130" s="583"/>
      <c r="E130" s="583"/>
      <c r="F130" s="591"/>
      <c r="G130" s="591"/>
      <c r="H130" s="583"/>
      <c r="I130" s="586"/>
      <c r="J130" s="586"/>
      <c r="K130" s="585"/>
      <c r="L130" s="585"/>
      <c r="M130" s="585"/>
      <c r="N130" s="585"/>
      <c r="O130" s="582"/>
      <c r="P130" s="582"/>
      <c r="Q130" s="582"/>
      <c r="R130" s="585"/>
      <c r="S130" s="585"/>
      <c r="T130" s="585"/>
      <c r="U130" s="585"/>
      <c r="V130" s="589"/>
      <c r="W130" s="585"/>
      <c r="X130" s="582"/>
      <c r="Y130" s="582"/>
      <c r="Z130" s="582"/>
    </row>
    <row r="131" ht="21.0" customHeight="1">
      <c r="A131" s="582"/>
      <c r="B131" s="583"/>
      <c r="C131" s="583"/>
      <c r="D131" s="583"/>
      <c r="E131" s="583"/>
      <c r="F131" s="591"/>
      <c r="G131" s="591"/>
      <c r="H131" s="583"/>
      <c r="I131" s="586"/>
      <c r="J131" s="586"/>
      <c r="K131" s="585"/>
      <c r="L131" s="585"/>
      <c r="M131" s="585"/>
      <c r="N131" s="585"/>
      <c r="O131" s="582"/>
      <c r="P131" s="582"/>
      <c r="Q131" s="582"/>
      <c r="R131" s="585"/>
      <c r="S131" s="585"/>
      <c r="T131" s="585"/>
      <c r="U131" s="585"/>
      <c r="V131" s="589"/>
      <c r="W131" s="585"/>
      <c r="X131" s="582"/>
      <c r="Y131" s="582"/>
      <c r="Z131" s="582"/>
    </row>
    <row r="132" ht="21.0" customHeight="1">
      <c r="A132" s="582"/>
      <c r="B132" s="583"/>
      <c r="C132" s="583"/>
      <c r="D132" s="583"/>
      <c r="E132" s="583"/>
      <c r="F132" s="591"/>
      <c r="G132" s="591"/>
      <c r="H132" s="583"/>
      <c r="I132" s="586"/>
      <c r="J132" s="586"/>
      <c r="K132" s="585"/>
      <c r="L132" s="585"/>
      <c r="M132" s="585"/>
      <c r="N132" s="585"/>
      <c r="O132" s="582"/>
      <c r="P132" s="582"/>
      <c r="Q132" s="582"/>
      <c r="R132" s="585"/>
      <c r="S132" s="585"/>
      <c r="T132" s="585"/>
      <c r="U132" s="585"/>
      <c r="V132" s="589"/>
      <c r="W132" s="585"/>
      <c r="X132" s="582"/>
      <c r="Y132" s="582"/>
      <c r="Z132" s="582"/>
    </row>
    <row r="133" ht="21.0" customHeight="1">
      <c r="A133" s="582"/>
      <c r="B133" s="583"/>
      <c r="C133" s="583"/>
      <c r="D133" s="583"/>
      <c r="E133" s="583"/>
      <c r="F133" s="591"/>
      <c r="G133" s="591"/>
      <c r="H133" s="583"/>
      <c r="I133" s="586"/>
      <c r="J133" s="586"/>
      <c r="K133" s="585"/>
      <c r="L133" s="585"/>
      <c r="M133" s="585"/>
      <c r="N133" s="585"/>
      <c r="O133" s="582"/>
      <c r="P133" s="582"/>
      <c r="Q133" s="582"/>
      <c r="R133" s="585"/>
      <c r="S133" s="585"/>
      <c r="T133" s="585"/>
      <c r="U133" s="585"/>
      <c r="V133" s="589"/>
      <c r="W133" s="585"/>
      <c r="X133" s="582"/>
      <c r="Y133" s="582"/>
      <c r="Z133" s="582"/>
    </row>
    <row r="134" ht="21.0" customHeight="1">
      <c r="A134" s="582"/>
      <c r="B134" s="583"/>
      <c r="C134" s="583"/>
      <c r="D134" s="583"/>
      <c r="E134" s="583"/>
      <c r="F134" s="591"/>
      <c r="G134" s="591"/>
      <c r="H134" s="583"/>
      <c r="I134" s="586"/>
      <c r="J134" s="586"/>
      <c r="K134" s="585"/>
      <c r="L134" s="585"/>
      <c r="M134" s="585"/>
      <c r="N134" s="585"/>
      <c r="O134" s="582"/>
      <c r="P134" s="582"/>
      <c r="Q134" s="582"/>
      <c r="R134" s="585"/>
      <c r="S134" s="585"/>
      <c r="T134" s="585"/>
      <c r="U134" s="585"/>
      <c r="V134" s="589"/>
      <c r="W134" s="585"/>
      <c r="X134" s="582"/>
      <c r="Y134" s="582"/>
      <c r="Z134" s="582"/>
    </row>
    <row r="135" ht="21.0" customHeight="1">
      <c r="A135" s="582"/>
      <c r="B135" s="583"/>
      <c r="C135" s="583"/>
      <c r="D135" s="583"/>
      <c r="E135" s="583"/>
      <c r="F135" s="591"/>
      <c r="G135" s="591"/>
      <c r="H135" s="583"/>
      <c r="I135" s="586"/>
      <c r="J135" s="586"/>
      <c r="K135" s="585"/>
      <c r="L135" s="585"/>
      <c r="M135" s="585"/>
      <c r="N135" s="585"/>
      <c r="O135" s="582"/>
      <c r="P135" s="582"/>
      <c r="Q135" s="582"/>
      <c r="R135" s="585"/>
      <c r="S135" s="585"/>
      <c r="T135" s="585"/>
      <c r="U135" s="585"/>
      <c r="V135" s="589"/>
      <c r="W135" s="585"/>
      <c r="X135" s="582"/>
      <c r="Y135" s="582"/>
      <c r="Z135" s="582"/>
    </row>
    <row r="136" ht="21.0" customHeight="1">
      <c r="A136" s="582"/>
      <c r="B136" s="583"/>
      <c r="C136" s="583"/>
      <c r="D136" s="583"/>
      <c r="E136" s="583"/>
      <c r="F136" s="591"/>
      <c r="G136" s="591"/>
      <c r="H136" s="583"/>
      <c r="I136" s="586"/>
      <c r="J136" s="586"/>
      <c r="K136" s="585"/>
      <c r="L136" s="585"/>
      <c r="M136" s="585"/>
      <c r="N136" s="585"/>
      <c r="O136" s="582"/>
      <c r="P136" s="582"/>
      <c r="Q136" s="582"/>
      <c r="R136" s="585"/>
      <c r="S136" s="585"/>
      <c r="T136" s="585"/>
      <c r="U136" s="585"/>
      <c r="V136" s="589"/>
      <c r="W136" s="585"/>
      <c r="X136" s="582"/>
      <c r="Y136" s="582"/>
      <c r="Z136" s="582"/>
    </row>
    <row r="137" ht="21.0" customHeight="1">
      <c r="A137" s="582"/>
      <c r="B137" s="583"/>
      <c r="C137" s="583"/>
      <c r="D137" s="583"/>
      <c r="E137" s="583"/>
      <c r="F137" s="591"/>
      <c r="G137" s="591"/>
      <c r="H137" s="583"/>
      <c r="I137" s="586"/>
      <c r="J137" s="586"/>
      <c r="K137" s="585"/>
      <c r="L137" s="585"/>
      <c r="M137" s="585"/>
      <c r="N137" s="585"/>
      <c r="O137" s="582"/>
      <c r="P137" s="582"/>
      <c r="Q137" s="582"/>
      <c r="R137" s="585"/>
      <c r="S137" s="585"/>
      <c r="T137" s="585"/>
      <c r="U137" s="585"/>
      <c r="V137" s="589"/>
      <c r="W137" s="585"/>
      <c r="X137" s="582"/>
      <c r="Y137" s="582"/>
      <c r="Z137" s="582"/>
    </row>
    <row r="138" ht="21.0" customHeight="1">
      <c r="A138" s="582"/>
      <c r="B138" s="583"/>
      <c r="C138" s="583"/>
      <c r="D138" s="583"/>
      <c r="E138" s="583"/>
      <c r="F138" s="591"/>
      <c r="G138" s="591"/>
      <c r="H138" s="583"/>
      <c r="I138" s="586"/>
      <c r="J138" s="586"/>
      <c r="K138" s="585"/>
      <c r="L138" s="585"/>
      <c r="M138" s="585"/>
      <c r="N138" s="585"/>
      <c r="O138" s="582"/>
      <c r="P138" s="582"/>
      <c r="Q138" s="582"/>
      <c r="R138" s="585"/>
      <c r="S138" s="585"/>
      <c r="T138" s="585"/>
      <c r="U138" s="585"/>
      <c r="V138" s="589"/>
      <c r="W138" s="585"/>
      <c r="X138" s="582"/>
      <c r="Y138" s="582"/>
      <c r="Z138" s="582"/>
    </row>
    <row r="139" ht="21.0" customHeight="1">
      <c r="A139" s="582"/>
      <c r="B139" s="583"/>
      <c r="C139" s="583"/>
      <c r="D139" s="583"/>
      <c r="E139" s="583"/>
      <c r="F139" s="591"/>
      <c r="G139" s="591"/>
      <c r="H139" s="583"/>
      <c r="I139" s="586"/>
      <c r="J139" s="586"/>
      <c r="K139" s="585"/>
      <c r="L139" s="585"/>
      <c r="M139" s="585"/>
      <c r="N139" s="585"/>
      <c r="O139" s="582"/>
      <c r="P139" s="582"/>
      <c r="Q139" s="582"/>
      <c r="R139" s="585"/>
      <c r="S139" s="585"/>
      <c r="T139" s="585"/>
      <c r="U139" s="585"/>
      <c r="V139" s="589"/>
      <c r="W139" s="585"/>
      <c r="X139" s="582"/>
      <c r="Y139" s="582"/>
      <c r="Z139" s="582"/>
    </row>
    <row r="140" ht="21.0" customHeight="1">
      <c r="A140" s="582"/>
      <c r="B140" s="583"/>
      <c r="C140" s="583"/>
      <c r="D140" s="583"/>
      <c r="E140" s="583"/>
      <c r="F140" s="591"/>
      <c r="G140" s="591"/>
      <c r="H140" s="583"/>
      <c r="I140" s="586"/>
      <c r="J140" s="586"/>
      <c r="K140" s="585"/>
      <c r="L140" s="585"/>
      <c r="M140" s="585"/>
      <c r="N140" s="585"/>
      <c r="O140" s="582"/>
      <c r="P140" s="582"/>
      <c r="Q140" s="582"/>
      <c r="R140" s="585"/>
      <c r="S140" s="585"/>
      <c r="T140" s="585"/>
      <c r="U140" s="585"/>
      <c r="V140" s="589"/>
      <c r="W140" s="585"/>
      <c r="X140" s="582"/>
      <c r="Y140" s="582"/>
      <c r="Z140" s="582"/>
    </row>
    <row r="141" ht="21.0" customHeight="1">
      <c r="A141" s="582"/>
      <c r="B141" s="583"/>
      <c r="C141" s="583"/>
      <c r="D141" s="583"/>
      <c r="E141" s="583"/>
      <c r="F141" s="591"/>
      <c r="G141" s="591"/>
      <c r="H141" s="583"/>
      <c r="I141" s="586"/>
      <c r="J141" s="586"/>
      <c r="K141" s="585"/>
      <c r="L141" s="585"/>
      <c r="M141" s="585"/>
      <c r="N141" s="585"/>
      <c r="O141" s="582"/>
      <c r="P141" s="582"/>
      <c r="Q141" s="582"/>
      <c r="R141" s="585"/>
      <c r="S141" s="585"/>
      <c r="T141" s="585"/>
      <c r="U141" s="585"/>
      <c r="V141" s="589"/>
      <c r="W141" s="585"/>
      <c r="X141" s="582"/>
      <c r="Y141" s="582"/>
      <c r="Z141" s="582"/>
    </row>
    <row r="142" ht="21.0" customHeight="1">
      <c r="A142" s="582"/>
      <c r="B142" s="583"/>
      <c r="C142" s="583"/>
      <c r="D142" s="583"/>
      <c r="E142" s="583"/>
      <c r="F142" s="591"/>
      <c r="G142" s="591"/>
      <c r="H142" s="583"/>
      <c r="I142" s="586"/>
      <c r="J142" s="586"/>
      <c r="K142" s="585"/>
      <c r="L142" s="585"/>
      <c r="M142" s="585"/>
      <c r="N142" s="585"/>
      <c r="O142" s="582"/>
      <c r="P142" s="582"/>
      <c r="Q142" s="582"/>
      <c r="R142" s="585"/>
      <c r="S142" s="585"/>
      <c r="T142" s="585"/>
      <c r="U142" s="585"/>
      <c r="V142" s="589"/>
      <c r="W142" s="585"/>
      <c r="X142" s="582"/>
      <c r="Y142" s="582"/>
      <c r="Z142" s="582"/>
    </row>
    <row r="143" ht="21.0" customHeight="1">
      <c r="A143" s="582"/>
      <c r="B143" s="583"/>
      <c r="C143" s="583"/>
      <c r="D143" s="583"/>
      <c r="E143" s="583"/>
      <c r="F143" s="591"/>
      <c r="G143" s="591"/>
      <c r="H143" s="583"/>
      <c r="I143" s="586"/>
      <c r="J143" s="586"/>
      <c r="K143" s="585"/>
      <c r="L143" s="585"/>
      <c r="M143" s="585"/>
      <c r="N143" s="585"/>
      <c r="O143" s="582"/>
      <c r="P143" s="582"/>
      <c r="Q143" s="582"/>
      <c r="R143" s="585"/>
      <c r="S143" s="585"/>
      <c r="T143" s="585"/>
      <c r="U143" s="585"/>
      <c r="V143" s="589"/>
      <c r="W143" s="585"/>
      <c r="X143" s="582"/>
      <c r="Y143" s="582"/>
      <c r="Z143" s="582"/>
    </row>
    <row r="144" ht="21.0" customHeight="1">
      <c r="A144" s="582"/>
      <c r="B144" s="583"/>
      <c r="C144" s="583"/>
      <c r="D144" s="583"/>
      <c r="E144" s="583"/>
      <c r="F144" s="591"/>
      <c r="G144" s="591"/>
      <c r="H144" s="583"/>
      <c r="I144" s="586"/>
      <c r="J144" s="586"/>
      <c r="K144" s="585"/>
      <c r="L144" s="585"/>
      <c r="M144" s="585"/>
      <c r="N144" s="585"/>
      <c r="O144" s="582"/>
      <c r="P144" s="582"/>
      <c r="Q144" s="582"/>
      <c r="R144" s="585"/>
      <c r="S144" s="585"/>
      <c r="T144" s="585"/>
      <c r="U144" s="585"/>
      <c r="V144" s="589"/>
      <c r="W144" s="585"/>
      <c r="X144" s="582"/>
      <c r="Y144" s="582"/>
      <c r="Z144" s="582"/>
    </row>
    <row r="145" ht="21.0" customHeight="1">
      <c r="A145" s="582"/>
      <c r="B145" s="583"/>
      <c r="C145" s="583"/>
      <c r="D145" s="583"/>
      <c r="E145" s="583"/>
      <c r="F145" s="591"/>
      <c r="G145" s="591"/>
      <c r="H145" s="583"/>
      <c r="I145" s="586"/>
      <c r="J145" s="586"/>
      <c r="K145" s="585"/>
      <c r="L145" s="585"/>
      <c r="M145" s="585"/>
      <c r="N145" s="585"/>
      <c r="O145" s="582"/>
      <c r="P145" s="582"/>
      <c r="Q145" s="582"/>
      <c r="R145" s="585"/>
      <c r="S145" s="585"/>
      <c r="T145" s="585"/>
      <c r="U145" s="585"/>
      <c r="V145" s="589"/>
      <c r="W145" s="585"/>
      <c r="X145" s="582"/>
      <c r="Y145" s="582"/>
      <c r="Z145" s="582"/>
    </row>
    <row r="146" ht="21.0" customHeight="1">
      <c r="A146" s="582"/>
      <c r="B146" s="583"/>
      <c r="C146" s="583"/>
      <c r="D146" s="583"/>
      <c r="E146" s="583"/>
      <c r="F146" s="591"/>
      <c r="G146" s="591"/>
      <c r="H146" s="583"/>
      <c r="I146" s="586"/>
      <c r="J146" s="586"/>
      <c r="K146" s="585"/>
      <c r="L146" s="585"/>
      <c r="M146" s="585"/>
      <c r="N146" s="585"/>
      <c r="O146" s="582"/>
      <c r="P146" s="582"/>
      <c r="Q146" s="582"/>
      <c r="R146" s="585"/>
      <c r="S146" s="585"/>
      <c r="T146" s="585"/>
      <c r="U146" s="585"/>
      <c r="V146" s="589"/>
      <c r="W146" s="585"/>
      <c r="X146" s="582"/>
      <c r="Y146" s="582"/>
      <c r="Z146" s="582"/>
    </row>
    <row r="147" ht="21.0" customHeight="1">
      <c r="A147" s="582"/>
      <c r="B147" s="583"/>
      <c r="C147" s="583"/>
      <c r="D147" s="583"/>
      <c r="E147" s="583"/>
      <c r="F147" s="591"/>
      <c r="G147" s="591"/>
      <c r="H147" s="583"/>
      <c r="I147" s="586"/>
      <c r="J147" s="586"/>
      <c r="K147" s="585"/>
      <c r="L147" s="585"/>
      <c r="M147" s="585"/>
      <c r="N147" s="585"/>
      <c r="O147" s="582"/>
      <c r="P147" s="582"/>
      <c r="Q147" s="582"/>
      <c r="R147" s="585"/>
      <c r="S147" s="585"/>
      <c r="T147" s="585"/>
      <c r="U147" s="585"/>
      <c r="V147" s="589"/>
      <c r="W147" s="585"/>
      <c r="X147" s="582"/>
      <c r="Y147" s="582"/>
      <c r="Z147" s="582"/>
    </row>
    <row r="148" ht="21.0" customHeight="1">
      <c r="A148" s="582"/>
      <c r="B148" s="583"/>
      <c r="C148" s="583"/>
      <c r="D148" s="583"/>
      <c r="E148" s="583"/>
      <c r="F148" s="591"/>
      <c r="G148" s="591"/>
      <c r="H148" s="583"/>
      <c r="I148" s="586"/>
      <c r="J148" s="586"/>
      <c r="K148" s="585"/>
      <c r="L148" s="585"/>
      <c r="M148" s="585"/>
      <c r="N148" s="585"/>
      <c r="O148" s="582"/>
      <c r="P148" s="582"/>
      <c r="Q148" s="582"/>
      <c r="R148" s="585"/>
      <c r="S148" s="585"/>
      <c r="T148" s="585"/>
      <c r="U148" s="585"/>
      <c r="V148" s="589"/>
      <c r="W148" s="585"/>
      <c r="X148" s="582"/>
      <c r="Y148" s="582"/>
      <c r="Z148" s="582"/>
    </row>
    <row r="149" ht="21.0" customHeight="1">
      <c r="A149" s="582"/>
      <c r="B149" s="583"/>
      <c r="C149" s="583"/>
      <c r="D149" s="583"/>
      <c r="E149" s="583"/>
      <c r="F149" s="591"/>
      <c r="G149" s="591"/>
      <c r="H149" s="583"/>
      <c r="I149" s="586"/>
      <c r="J149" s="586"/>
      <c r="K149" s="585"/>
      <c r="L149" s="585"/>
      <c r="M149" s="585"/>
      <c r="N149" s="585"/>
      <c r="O149" s="582"/>
      <c r="P149" s="582"/>
      <c r="Q149" s="582"/>
      <c r="R149" s="585"/>
      <c r="S149" s="585"/>
      <c r="T149" s="585"/>
      <c r="U149" s="585"/>
      <c r="V149" s="589"/>
      <c r="W149" s="585"/>
      <c r="X149" s="582"/>
      <c r="Y149" s="582"/>
      <c r="Z149" s="582"/>
    </row>
    <row r="150" ht="21.0" customHeight="1">
      <c r="A150" s="582"/>
      <c r="B150" s="583"/>
      <c r="C150" s="583"/>
      <c r="D150" s="583"/>
      <c r="E150" s="583"/>
      <c r="F150" s="591"/>
      <c r="G150" s="591"/>
      <c r="H150" s="583"/>
      <c r="I150" s="586"/>
      <c r="J150" s="586"/>
      <c r="K150" s="585"/>
      <c r="L150" s="585"/>
      <c r="M150" s="585"/>
      <c r="N150" s="585"/>
      <c r="O150" s="582"/>
      <c r="P150" s="582"/>
      <c r="Q150" s="582"/>
      <c r="R150" s="585"/>
      <c r="S150" s="585"/>
      <c r="T150" s="585"/>
      <c r="U150" s="585"/>
      <c r="V150" s="589"/>
      <c r="W150" s="585"/>
      <c r="X150" s="582"/>
      <c r="Y150" s="582"/>
      <c r="Z150" s="582"/>
    </row>
    <row r="151" ht="21.0" customHeight="1">
      <c r="A151" s="582"/>
      <c r="B151" s="583"/>
      <c r="C151" s="583"/>
      <c r="D151" s="583"/>
      <c r="E151" s="583"/>
      <c r="F151" s="591"/>
      <c r="G151" s="591"/>
      <c r="H151" s="583"/>
      <c r="I151" s="586"/>
      <c r="J151" s="586"/>
      <c r="K151" s="585"/>
      <c r="L151" s="585"/>
      <c r="M151" s="585"/>
      <c r="N151" s="585"/>
      <c r="O151" s="582"/>
      <c r="P151" s="582"/>
      <c r="Q151" s="582"/>
      <c r="R151" s="585"/>
      <c r="S151" s="585"/>
      <c r="T151" s="585"/>
      <c r="U151" s="585"/>
      <c r="V151" s="589"/>
      <c r="W151" s="585"/>
      <c r="X151" s="582"/>
      <c r="Y151" s="582"/>
      <c r="Z151" s="582"/>
    </row>
    <row r="152" ht="21.0" customHeight="1">
      <c r="A152" s="582"/>
      <c r="B152" s="583"/>
      <c r="C152" s="583"/>
      <c r="D152" s="583"/>
      <c r="E152" s="583"/>
      <c r="F152" s="591"/>
      <c r="G152" s="591"/>
      <c r="H152" s="583"/>
      <c r="I152" s="586"/>
      <c r="J152" s="586"/>
      <c r="K152" s="585"/>
      <c r="L152" s="585"/>
      <c r="M152" s="585"/>
      <c r="N152" s="585"/>
      <c r="O152" s="582"/>
      <c r="P152" s="582"/>
      <c r="Q152" s="582"/>
      <c r="R152" s="585"/>
      <c r="S152" s="585"/>
      <c r="T152" s="585"/>
      <c r="U152" s="585"/>
      <c r="V152" s="589"/>
      <c r="W152" s="585"/>
      <c r="X152" s="582"/>
      <c r="Y152" s="582"/>
      <c r="Z152" s="582"/>
    </row>
    <row r="153" ht="21.0" customHeight="1">
      <c r="A153" s="582"/>
      <c r="B153" s="583"/>
      <c r="C153" s="583"/>
      <c r="D153" s="583"/>
      <c r="E153" s="583"/>
      <c r="F153" s="591"/>
      <c r="G153" s="591"/>
      <c r="H153" s="583"/>
      <c r="I153" s="586"/>
      <c r="J153" s="586"/>
      <c r="K153" s="585"/>
      <c r="L153" s="585"/>
      <c r="M153" s="585"/>
      <c r="N153" s="585"/>
      <c r="O153" s="582"/>
      <c r="P153" s="582"/>
      <c r="Q153" s="582"/>
      <c r="R153" s="585"/>
      <c r="S153" s="585"/>
      <c r="T153" s="585"/>
      <c r="U153" s="585"/>
      <c r="V153" s="589"/>
      <c r="W153" s="585"/>
      <c r="X153" s="582"/>
      <c r="Y153" s="582"/>
      <c r="Z153" s="582"/>
    </row>
    <row r="154" ht="21.0" customHeight="1">
      <c r="A154" s="582"/>
      <c r="B154" s="583"/>
      <c r="C154" s="583"/>
      <c r="D154" s="583"/>
      <c r="E154" s="583"/>
      <c r="F154" s="591"/>
      <c r="G154" s="591"/>
      <c r="H154" s="583"/>
      <c r="I154" s="586"/>
      <c r="J154" s="586"/>
      <c r="K154" s="585"/>
      <c r="L154" s="585"/>
      <c r="M154" s="585"/>
      <c r="N154" s="585"/>
      <c r="O154" s="582"/>
      <c r="P154" s="582"/>
      <c r="Q154" s="582"/>
      <c r="R154" s="585"/>
      <c r="S154" s="585"/>
      <c r="T154" s="585"/>
      <c r="U154" s="585"/>
      <c r="V154" s="589"/>
      <c r="W154" s="585"/>
      <c r="X154" s="582"/>
      <c r="Y154" s="582"/>
      <c r="Z154" s="582"/>
    </row>
    <row r="155" ht="21.0" customHeight="1">
      <c r="A155" s="582"/>
      <c r="B155" s="583"/>
      <c r="C155" s="583"/>
      <c r="D155" s="583"/>
      <c r="E155" s="583"/>
      <c r="F155" s="591"/>
      <c r="G155" s="591"/>
      <c r="H155" s="583"/>
      <c r="I155" s="586"/>
      <c r="J155" s="586"/>
      <c r="K155" s="585"/>
      <c r="L155" s="585"/>
      <c r="M155" s="585"/>
      <c r="N155" s="585"/>
      <c r="O155" s="582"/>
      <c r="P155" s="582"/>
      <c r="Q155" s="582"/>
      <c r="R155" s="585"/>
      <c r="S155" s="585"/>
      <c r="T155" s="585"/>
      <c r="U155" s="585"/>
      <c r="V155" s="589"/>
      <c r="W155" s="585"/>
      <c r="X155" s="582"/>
      <c r="Y155" s="582"/>
      <c r="Z155" s="582"/>
    </row>
    <row r="156" ht="21.0" customHeight="1">
      <c r="A156" s="582"/>
      <c r="B156" s="583"/>
      <c r="C156" s="583"/>
      <c r="D156" s="583"/>
      <c r="E156" s="583"/>
      <c r="F156" s="591"/>
      <c r="G156" s="591"/>
      <c r="H156" s="583"/>
      <c r="I156" s="586"/>
      <c r="J156" s="586"/>
      <c r="K156" s="585"/>
      <c r="L156" s="585"/>
      <c r="M156" s="585"/>
      <c r="N156" s="585"/>
      <c r="O156" s="582"/>
      <c r="P156" s="582"/>
      <c r="Q156" s="582"/>
      <c r="R156" s="585"/>
      <c r="S156" s="585"/>
      <c r="T156" s="585"/>
      <c r="U156" s="585"/>
      <c r="V156" s="589"/>
      <c r="W156" s="585"/>
      <c r="X156" s="582"/>
      <c r="Y156" s="582"/>
      <c r="Z156" s="582"/>
    </row>
    <row r="157" ht="21.0" customHeight="1">
      <c r="A157" s="582"/>
      <c r="B157" s="583"/>
      <c r="C157" s="583"/>
      <c r="D157" s="583"/>
      <c r="E157" s="583"/>
      <c r="F157" s="591"/>
      <c r="G157" s="591"/>
      <c r="H157" s="583"/>
      <c r="I157" s="586"/>
      <c r="J157" s="586"/>
      <c r="K157" s="585"/>
      <c r="L157" s="585"/>
      <c r="M157" s="585"/>
      <c r="N157" s="585"/>
      <c r="O157" s="582"/>
      <c r="P157" s="582"/>
      <c r="Q157" s="582"/>
      <c r="R157" s="585"/>
      <c r="S157" s="585"/>
      <c r="T157" s="585"/>
      <c r="U157" s="585"/>
      <c r="V157" s="589"/>
      <c r="W157" s="585"/>
      <c r="X157" s="582"/>
      <c r="Y157" s="582"/>
      <c r="Z157" s="582"/>
    </row>
    <row r="158" ht="21.0" customHeight="1">
      <c r="A158" s="582"/>
      <c r="B158" s="583"/>
      <c r="C158" s="583"/>
      <c r="D158" s="583"/>
      <c r="E158" s="583"/>
      <c r="F158" s="591"/>
      <c r="G158" s="591"/>
      <c r="H158" s="583"/>
      <c r="I158" s="586"/>
      <c r="J158" s="586"/>
      <c r="K158" s="585"/>
      <c r="L158" s="585"/>
      <c r="M158" s="585"/>
      <c r="N158" s="585"/>
      <c r="O158" s="582"/>
      <c r="P158" s="582"/>
      <c r="Q158" s="582"/>
      <c r="R158" s="585"/>
      <c r="S158" s="585"/>
      <c r="T158" s="585"/>
      <c r="U158" s="585"/>
      <c r="V158" s="589"/>
      <c r="W158" s="585"/>
      <c r="X158" s="582"/>
      <c r="Y158" s="582"/>
      <c r="Z158" s="582"/>
    </row>
    <row r="159" ht="21.0" customHeight="1">
      <c r="A159" s="582"/>
      <c r="B159" s="583"/>
      <c r="C159" s="583"/>
      <c r="D159" s="583"/>
      <c r="E159" s="583"/>
      <c r="F159" s="591"/>
      <c r="G159" s="591"/>
      <c r="H159" s="583"/>
      <c r="I159" s="586"/>
      <c r="J159" s="586"/>
      <c r="K159" s="585"/>
      <c r="L159" s="585"/>
      <c r="M159" s="585"/>
      <c r="N159" s="585"/>
      <c r="O159" s="582"/>
      <c r="P159" s="582"/>
      <c r="Q159" s="582"/>
      <c r="R159" s="585"/>
      <c r="S159" s="585"/>
      <c r="T159" s="585"/>
      <c r="U159" s="585"/>
      <c r="V159" s="589"/>
      <c r="W159" s="585"/>
      <c r="X159" s="582"/>
      <c r="Y159" s="582"/>
      <c r="Z159" s="582"/>
    </row>
    <row r="160" ht="21.0" customHeight="1">
      <c r="A160" s="582"/>
      <c r="B160" s="583"/>
      <c r="C160" s="583"/>
      <c r="D160" s="583"/>
      <c r="E160" s="583"/>
      <c r="F160" s="591"/>
      <c r="G160" s="591"/>
      <c r="H160" s="583"/>
      <c r="I160" s="586"/>
      <c r="J160" s="586"/>
      <c r="K160" s="585"/>
      <c r="L160" s="585"/>
      <c r="M160" s="585"/>
      <c r="N160" s="585"/>
      <c r="O160" s="582"/>
      <c r="P160" s="582"/>
      <c r="Q160" s="582"/>
      <c r="R160" s="585"/>
      <c r="S160" s="585"/>
      <c r="T160" s="585"/>
      <c r="U160" s="585"/>
      <c r="V160" s="589"/>
      <c r="W160" s="585"/>
      <c r="X160" s="582"/>
      <c r="Y160" s="582"/>
      <c r="Z160" s="582"/>
    </row>
    <row r="161" ht="21.0" customHeight="1">
      <c r="A161" s="582"/>
      <c r="B161" s="583"/>
      <c r="C161" s="583"/>
      <c r="D161" s="583"/>
      <c r="E161" s="583"/>
      <c r="F161" s="591"/>
      <c r="G161" s="591"/>
      <c r="H161" s="583"/>
      <c r="I161" s="586"/>
      <c r="J161" s="586"/>
      <c r="K161" s="585"/>
      <c r="L161" s="585"/>
      <c r="M161" s="585"/>
      <c r="N161" s="585"/>
      <c r="O161" s="582"/>
      <c r="P161" s="582"/>
      <c r="Q161" s="582"/>
      <c r="R161" s="585"/>
      <c r="S161" s="585"/>
      <c r="T161" s="585"/>
      <c r="U161" s="585"/>
      <c r="V161" s="589"/>
      <c r="W161" s="585"/>
      <c r="X161" s="582"/>
      <c r="Y161" s="582"/>
      <c r="Z161" s="582"/>
    </row>
    <row r="162" ht="21.0" customHeight="1">
      <c r="A162" s="582"/>
      <c r="B162" s="583"/>
      <c r="C162" s="583"/>
      <c r="D162" s="583"/>
      <c r="E162" s="583"/>
      <c r="F162" s="591"/>
      <c r="G162" s="591"/>
      <c r="H162" s="583"/>
      <c r="I162" s="586"/>
      <c r="J162" s="586"/>
      <c r="K162" s="585"/>
      <c r="L162" s="585"/>
      <c r="M162" s="585"/>
      <c r="N162" s="585"/>
      <c r="O162" s="582"/>
      <c r="P162" s="582"/>
      <c r="Q162" s="582"/>
      <c r="R162" s="585"/>
      <c r="S162" s="585"/>
      <c r="T162" s="585"/>
      <c r="U162" s="585"/>
      <c r="V162" s="589"/>
      <c r="W162" s="585"/>
      <c r="X162" s="582"/>
      <c r="Y162" s="582"/>
      <c r="Z162" s="582"/>
    </row>
    <row r="163" ht="21.0" customHeight="1">
      <c r="A163" s="582"/>
      <c r="B163" s="583"/>
      <c r="C163" s="583"/>
      <c r="D163" s="583"/>
      <c r="E163" s="583"/>
      <c r="F163" s="591"/>
      <c r="G163" s="591"/>
      <c r="H163" s="583"/>
      <c r="I163" s="586"/>
      <c r="J163" s="586"/>
      <c r="K163" s="585"/>
      <c r="L163" s="585"/>
      <c r="M163" s="585"/>
      <c r="N163" s="585"/>
      <c r="O163" s="582"/>
      <c r="P163" s="582"/>
      <c r="Q163" s="582"/>
      <c r="R163" s="585"/>
      <c r="S163" s="585"/>
      <c r="T163" s="585"/>
      <c r="U163" s="585"/>
      <c r="V163" s="589"/>
      <c r="W163" s="585"/>
      <c r="X163" s="582"/>
      <c r="Y163" s="582"/>
      <c r="Z163" s="582"/>
    </row>
    <row r="164" ht="21.0" customHeight="1">
      <c r="A164" s="582"/>
      <c r="B164" s="583"/>
      <c r="C164" s="583"/>
      <c r="D164" s="583"/>
      <c r="E164" s="583"/>
      <c r="F164" s="591"/>
      <c r="G164" s="591"/>
      <c r="H164" s="583"/>
      <c r="I164" s="586"/>
      <c r="J164" s="586"/>
      <c r="K164" s="585"/>
      <c r="L164" s="585"/>
      <c r="M164" s="585"/>
      <c r="N164" s="585"/>
      <c r="O164" s="582"/>
      <c r="P164" s="582"/>
      <c r="Q164" s="582"/>
      <c r="R164" s="585"/>
      <c r="S164" s="585"/>
      <c r="T164" s="585"/>
      <c r="U164" s="585"/>
      <c r="V164" s="589"/>
      <c r="W164" s="585"/>
      <c r="X164" s="582"/>
      <c r="Y164" s="582"/>
      <c r="Z164" s="582"/>
    </row>
    <row r="165" ht="21.0" customHeight="1">
      <c r="A165" s="582"/>
      <c r="B165" s="583"/>
      <c r="C165" s="583"/>
      <c r="D165" s="583"/>
      <c r="E165" s="583"/>
      <c r="F165" s="591"/>
      <c r="G165" s="591"/>
      <c r="H165" s="583"/>
      <c r="I165" s="586"/>
      <c r="J165" s="586"/>
      <c r="K165" s="585"/>
      <c r="L165" s="585"/>
      <c r="M165" s="585"/>
      <c r="N165" s="585"/>
      <c r="O165" s="582"/>
      <c r="P165" s="582"/>
      <c r="Q165" s="582"/>
      <c r="R165" s="585"/>
      <c r="S165" s="585"/>
      <c r="T165" s="585"/>
      <c r="U165" s="585"/>
      <c r="V165" s="589"/>
      <c r="W165" s="585"/>
      <c r="X165" s="582"/>
      <c r="Y165" s="582"/>
      <c r="Z165" s="582"/>
    </row>
    <row r="166" ht="21.0" customHeight="1">
      <c r="A166" s="582"/>
      <c r="B166" s="583"/>
      <c r="C166" s="583"/>
      <c r="D166" s="583"/>
      <c r="E166" s="583"/>
      <c r="F166" s="591"/>
      <c r="G166" s="591"/>
      <c r="H166" s="583"/>
      <c r="I166" s="586"/>
      <c r="J166" s="586"/>
      <c r="K166" s="585"/>
      <c r="L166" s="585"/>
      <c r="M166" s="585"/>
      <c r="N166" s="585"/>
      <c r="O166" s="582"/>
      <c r="P166" s="582"/>
      <c r="Q166" s="582"/>
      <c r="R166" s="585"/>
      <c r="S166" s="585"/>
      <c r="T166" s="585"/>
      <c r="U166" s="585"/>
      <c r="V166" s="589"/>
      <c r="W166" s="585"/>
      <c r="X166" s="582"/>
      <c r="Y166" s="582"/>
      <c r="Z166" s="582"/>
    </row>
    <row r="167" ht="21.0" customHeight="1">
      <c r="A167" s="582"/>
      <c r="B167" s="583"/>
      <c r="C167" s="583"/>
      <c r="D167" s="583"/>
      <c r="E167" s="583"/>
      <c r="F167" s="591"/>
      <c r="G167" s="591"/>
      <c r="H167" s="583"/>
      <c r="I167" s="586"/>
      <c r="J167" s="586"/>
      <c r="K167" s="585"/>
      <c r="L167" s="585"/>
      <c r="M167" s="585"/>
      <c r="N167" s="585"/>
      <c r="O167" s="582"/>
      <c r="P167" s="582"/>
      <c r="Q167" s="582"/>
      <c r="R167" s="585"/>
      <c r="S167" s="585"/>
      <c r="T167" s="585"/>
      <c r="U167" s="585"/>
      <c r="V167" s="589"/>
      <c r="W167" s="585"/>
      <c r="X167" s="582"/>
      <c r="Y167" s="582"/>
      <c r="Z167" s="582"/>
    </row>
    <row r="168" ht="21.0" customHeight="1">
      <c r="A168" s="582"/>
      <c r="B168" s="583"/>
      <c r="C168" s="583"/>
      <c r="D168" s="583"/>
      <c r="E168" s="583"/>
      <c r="F168" s="591"/>
      <c r="G168" s="591"/>
      <c r="H168" s="583"/>
      <c r="I168" s="586"/>
      <c r="J168" s="586"/>
      <c r="K168" s="585"/>
      <c r="L168" s="585"/>
      <c r="M168" s="585"/>
      <c r="N168" s="585"/>
      <c r="O168" s="582"/>
      <c r="P168" s="582"/>
      <c r="Q168" s="582"/>
      <c r="R168" s="585"/>
      <c r="S168" s="585"/>
      <c r="T168" s="585"/>
      <c r="U168" s="585"/>
      <c r="V168" s="589"/>
      <c r="W168" s="585"/>
      <c r="X168" s="582"/>
      <c r="Y168" s="582"/>
      <c r="Z168" s="582"/>
    </row>
    <row r="169" ht="21.0" customHeight="1">
      <c r="A169" s="582"/>
      <c r="B169" s="583"/>
      <c r="C169" s="583"/>
      <c r="D169" s="583"/>
      <c r="E169" s="583"/>
      <c r="F169" s="591"/>
      <c r="G169" s="591"/>
      <c r="H169" s="583"/>
      <c r="I169" s="586"/>
      <c r="J169" s="586"/>
      <c r="K169" s="585"/>
      <c r="L169" s="585"/>
      <c r="M169" s="585"/>
      <c r="N169" s="585"/>
      <c r="O169" s="582"/>
      <c r="P169" s="582"/>
      <c r="Q169" s="582"/>
      <c r="R169" s="585"/>
      <c r="S169" s="585"/>
      <c r="T169" s="585"/>
      <c r="U169" s="585"/>
      <c r="V169" s="589"/>
      <c r="W169" s="585"/>
      <c r="X169" s="582"/>
      <c r="Y169" s="582"/>
      <c r="Z169" s="582"/>
    </row>
    <row r="170" ht="21.0" customHeight="1">
      <c r="A170" s="582"/>
      <c r="B170" s="583"/>
      <c r="C170" s="583"/>
      <c r="D170" s="583"/>
      <c r="E170" s="583"/>
      <c r="F170" s="591"/>
      <c r="G170" s="591"/>
      <c r="H170" s="583"/>
      <c r="I170" s="586"/>
      <c r="J170" s="586"/>
      <c r="K170" s="585"/>
      <c r="L170" s="585"/>
      <c r="M170" s="585"/>
      <c r="N170" s="585"/>
      <c r="O170" s="582"/>
      <c r="P170" s="582"/>
      <c r="Q170" s="582"/>
      <c r="R170" s="585"/>
      <c r="S170" s="585"/>
      <c r="T170" s="585"/>
      <c r="U170" s="585"/>
      <c r="V170" s="589"/>
      <c r="W170" s="585"/>
      <c r="X170" s="582"/>
      <c r="Y170" s="582"/>
      <c r="Z170" s="582"/>
    </row>
    <row r="171" ht="21.0" customHeight="1">
      <c r="A171" s="582"/>
      <c r="B171" s="583"/>
      <c r="C171" s="583"/>
      <c r="D171" s="583"/>
      <c r="E171" s="583"/>
      <c r="F171" s="591"/>
      <c r="G171" s="591"/>
      <c r="H171" s="583"/>
      <c r="I171" s="586"/>
      <c r="J171" s="586"/>
      <c r="K171" s="585"/>
      <c r="L171" s="585"/>
      <c r="M171" s="585"/>
      <c r="N171" s="585"/>
      <c r="O171" s="582"/>
      <c r="P171" s="582"/>
      <c r="Q171" s="582"/>
      <c r="R171" s="585"/>
      <c r="S171" s="585"/>
      <c r="T171" s="585"/>
      <c r="U171" s="585"/>
      <c r="V171" s="589"/>
      <c r="W171" s="585"/>
      <c r="X171" s="582"/>
      <c r="Y171" s="582"/>
      <c r="Z171" s="582"/>
    </row>
    <row r="172" ht="21.0" customHeight="1">
      <c r="A172" s="582"/>
      <c r="B172" s="583"/>
      <c r="C172" s="583"/>
      <c r="D172" s="583"/>
      <c r="E172" s="583"/>
      <c r="F172" s="591"/>
      <c r="G172" s="591"/>
      <c r="H172" s="583"/>
      <c r="I172" s="586"/>
      <c r="J172" s="586"/>
      <c r="K172" s="585"/>
      <c r="L172" s="585"/>
      <c r="M172" s="585"/>
      <c r="N172" s="585"/>
      <c r="O172" s="582"/>
      <c r="P172" s="582"/>
      <c r="Q172" s="582"/>
      <c r="R172" s="585"/>
      <c r="S172" s="585"/>
      <c r="T172" s="585"/>
      <c r="U172" s="585"/>
      <c r="V172" s="589"/>
      <c r="W172" s="585"/>
      <c r="X172" s="582"/>
      <c r="Y172" s="582"/>
      <c r="Z172" s="582"/>
    </row>
    <row r="173" ht="21.0" customHeight="1">
      <c r="A173" s="582"/>
      <c r="B173" s="583"/>
      <c r="C173" s="583"/>
      <c r="D173" s="583"/>
      <c r="E173" s="583"/>
      <c r="F173" s="591"/>
      <c r="G173" s="591"/>
      <c r="H173" s="583"/>
      <c r="I173" s="586"/>
      <c r="J173" s="586"/>
      <c r="K173" s="585"/>
      <c r="L173" s="585"/>
      <c r="M173" s="585"/>
      <c r="N173" s="585"/>
      <c r="O173" s="582"/>
      <c r="P173" s="582"/>
      <c r="Q173" s="582"/>
      <c r="R173" s="585"/>
      <c r="S173" s="585"/>
      <c r="T173" s="585"/>
      <c r="U173" s="585"/>
      <c r="V173" s="589"/>
      <c r="W173" s="585"/>
      <c r="X173" s="582"/>
      <c r="Y173" s="582"/>
      <c r="Z173" s="582"/>
    </row>
    <row r="174" ht="21.0" customHeight="1">
      <c r="A174" s="582"/>
      <c r="B174" s="583"/>
      <c r="C174" s="583"/>
      <c r="D174" s="583"/>
      <c r="E174" s="583"/>
      <c r="F174" s="591"/>
      <c r="G174" s="591"/>
      <c r="H174" s="583"/>
      <c r="I174" s="586"/>
      <c r="J174" s="586"/>
      <c r="K174" s="585"/>
      <c r="L174" s="585"/>
      <c r="M174" s="585"/>
      <c r="N174" s="585"/>
      <c r="O174" s="582"/>
      <c r="P174" s="582"/>
      <c r="Q174" s="582"/>
      <c r="R174" s="585"/>
      <c r="S174" s="585"/>
      <c r="T174" s="585"/>
      <c r="U174" s="585"/>
      <c r="V174" s="589"/>
      <c r="W174" s="585"/>
      <c r="X174" s="582"/>
      <c r="Y174" s="582"/>
      <c r="Z174" s="582"/>
    </row>
    <row r="175" ht="21.0" customHeight="1">
      <c r="A175" s="582"/>
      <c r="B175" s="583"/>
      <c r="C175" s="583"/>
      <c r="D175" s="583"/>
      <c r="E175" s="583"/>
      <c r="F175" s="591"/>
      <c r="G175" s="591"/>
      <c r="H175" s="583"/>
      <c r="I175" s="586"/>
      <c r="J175" s="586"/>
      <c r="K175" s="585"/>
      <c r="L175" s="585"/>
      <c r="M175" s="585"/>
      <c r="N175" s="585"/>
      <c r="O175" s="582"/>
      <c r="P175" s="582"/>
      <c r="Q175" s="582"/>
      <c r="R175" s="585"/>
      <c r="S175" s="585"/>
      <c r="T175" s="585"/>
      <c r="U175" s="585"/>
      <c r="V175" s="589"/>
      <c r="W175" s="585"/>
      <c r="X175" s="582"/>
      <c r="Y175" s="582"/>
      <c r="Z175" s="582"/>
    </row>
    <row r="176" ht="21.0" customHeight="1">
      <c r="A176" s="582"/>
      <c r="B176" s="583"/>
      <c r="C176" s="583"/>
      <c r="D176" s="583"/>
      <c r="E176" s="583"/>
      <c r="F176" s="591"/>
      <c r="G176" s="591"/>
      <c r="H176" s="583"/>
      <c r="I176" s="586"/>
      <c r="J176" s="586"/>
      <c r="K176" s="585"/>
      <c r="L176" s="585"/>
      <c r="M176" s="585"/>
      <c r="N176" s="585"/>
      <c r="O176" s="582"/>
      <c r="P176" s="582"/>
      <c r="Q176" s="582"/>
      <c r="R176" s="585"/>
      <c r="S176" s="585"/>
      <c r="T176" s="585"/>
      <c r="U176" s="585"/>
      <c r="V176" s="589"/>
      <c r="W176" s="585"/>
      <c r="X176" s="582"/>
      <c r="Y176" s="582"/>
      <c r="Z176" s="582"/>
    </row>
    <row r="177" ht="21.0" customHeight="1">
      <c r="A177" s="582"/>
      <c r="B177" s="583"/>
      <c r="C177" s="583"/>
      <c r="D177" s="583"/>
      <c r="E177" s="583"/>
      <c r="F177" s="591"/>
      <c r="G177" s="591"/>
      <c r="H177" s="583"/>
      <c r="I177" s="586"/>
      <c r="J177" s="586"/>
      <c r="K177" s="585"/>
      <c r="L177" s="585"/>
      <c r="M177" s="585"/>
      <c r="N177" s="585"/>
      <c r="O177" s="582"/>
      <c r="P177" s="582"/>
      <c r="Q177" s="582"/>
      <c r="R177" s="585"/>
      <c r="S177" s="585"/>
      <c r="T177" s="585"/>
      <c r="U177" s="585"/>
      <c r="V177" s="589"/>
      <c r="W177" s="585"/>
      <c r="X177" s="582"/>
      <c r="Y177" s="582"/>
      <c r="Z177" s="582"/>
    </row>
    <row r="178" ht="21.0" customHeight="1">
      <c r="A178" s="582"/>
      <c r="B178" s="583"/>
      <c r="C178" s="583"/>
      <c r="D178" s="583"/>
      <c r="E178" s="583"/>
      <c r="F178" s="591"/>
      <c r="G178" s="591"/>
      <c r="H178" s="583"/>
      <c r="I178" s="586"/>
      <c r="J178" s="586"/>
      <c r="K178" s="585"/>
      <c r="L178" s="585"/>
      <c r="M178" s="585"/>
      <c r="N178" s="585"/>
      <c r="O178" s="582"/>
      <c r="P178" s="582"/>
      <c r="Q178" s="582"/>
      <c r="R178" s="585"/>
      <c r="S178" s="585"/>
      <c r="T178" s="585"/>
      <c r="U178" s="585"/>
      <c r="V178" s="589"/>
      <c r="W178" s="585"/>
      <c r="X178" s="582"/>
      <c r="Y178" s="582"/>
      <c r="Z178" s="582"/>
    </row>
    <row r="179" ht="21.0" customHeight="1">
      <c r="A179" s="582"/>
      <c r="B179" s="583"/>
      <c r="C179" s="583"/>
      <c r="D179" s="583"/>
      <c r="E179" s="583"/>
      <c r="F179" s="591"/>
      <c r="G179" s="591"/>
      <c r="H179" s="583"/>
      <c r="I179" s="586"/>
      <c r="J179" s="586"/>
      <c r="K179" s="585"/>
      <c r="L179" s="585"/>
      <c r="M179" s="585"/>
      <c r="N179" s="585"/>
      <c r="O179" s="582"/>
      <c r="P179" s="582"/>
      <c r="Q179" s="582"/>
      <c r="R179" s="585"/>
      <c r="S179" s="585"/>
      <c r="T179" s="585"/>
      <c r="U179" s="585"/>
      <c r="V179" s="589"/>
      <c r="W179" s="585"/>
      <c r="X179" s="582"/>
      <c r="Y179" s="582"/>
      <c r="Z179" s="582"/>
    </row>
    <row r="180" ht="21.0" customHeight="1">
      <c r="A180" s="582"/>
      <c r="B180" s="583"/>
      <c r="C180" s="583"/>
      <c r="D180" s="583"/>
      <c r="E180" s="583"/>
      <c r="F180" s="591"/>
      <c r="G180" s="591"/>
      <c r="H180" s="583"/>
      <c r="I180" s="586"/>
      <c r="J180" s="586"/>
      <c r="K180" s="585"/>
      <c r="L180" s="585"/>
      <c r="M180" s="585"/>
      <c r="N180" s="585"/>
      <c r="O180" s="582"/>
      <c r="P180" s="582"/>
      <c r="Q180" s="582"/>
      <c r="R180" s="585"/>
      <c r="S180" s="585"/>
      <c r="T180" s="585"/>
      <c r="U180" s="585"/>
      <c r="V180" s="589"/>
      <c r="W180" s="585"/>
      <c r="X180" s="582"/>
      <c r="Y180" s="582"/>
      <c r="Z180" s="582"/>
    </row>
    <row r="181" ht="21.0" customHeight="1">
      <c r="A181" s="582"/>
      <c r="B181" s="583"/>
      <c r="C181" s="583"/>
      <c r="D181" s="583"/>
      <c r="E181" s="583"/>
      <c r="F181" s="591"/>
      <c r="G181" s="591"/>
      <c r="H181" s="583"/>
      <c r="I181" s="586"/>
      <c r="J181" s="586"/>
      <c r="K181" s="585"/>
      <c r="L181" s="585"/>
      <c r="M181" s="585"/>
      <c r="N181" s="585"/>
      <c r="O181" s="582"/>
      <c r="P181" s="582"/>
      <c r="Q181" s="582"/>
      <c r="R181" s="585"/>
      <c r="S181" s="585"/>
      <c r="T181" s="585"/>
      <c r="U181" s="585"/>
      <c r="V181" s="589"/>
      <c r="W181" s="585"/>
      <c r="X181" s="582"/>
      <c r="Y181" s="582"/>
      <c r="Z181" s="582"/>
    </row>
    <row r="182" ht="21.0" customHeight="1">
      <c r="A182" s="582"/>
      <c r="B182" s="583"/>
      <c r="C182" s="583"/>
      <c r="D182" s="583"/>
      <c r="E182" s="583"/>
      <c r="F182" s="591"/>
      <c r="G182" s="591"/>
      <c r="H182" s="583"/>
      <c r="I182" s="586"/>
      <c r="J182" s="586"/>
      <c r="K182" s="585"/>
      <c r="L182" s="585"/>
      <c r="M182" s="585"/>
      <c r="N182" s="585"/>
      <c r="O182" s="582"/>
      <c r="P182" s="582"/>
      <c r="Q182" s="582"/>
      <c r="R182" s="585"/>
      <c r="S182" s="585"/>
      <c r="T182" s="585"/>
      <c r="U182" s="585"/>
      <c r="V182" s="589"/>
      <c r="W182" s="585"/>
      <c r="X182" s="582"/>
      <c r="Y182" s="582"/>
      <c r="Z182" s="582"/>
    </row>
    <row r="183" ht="21.0" customHeight="1">
      <c r="A183" s="582"/>
      <c r="B183" s="583"/>
      <c r="C183" s="583"/>
      <c r="D183" s="583"/>
      <c r="E183" s="583"/>
      <c r="F183" s="591"/>
      <c r="G183" s="591"/>
      <c r="H183" s="583"/>
      <c r="I183" s="586"/>
      <c r="J183" s="586"/>
      <c r="K183" s="585"/>
      <c r="L183" s="585"/>
      <c r="M183" s="585"/>
      <c r="N183" s="585"/>
      <c r="O183" s="582"/>
      <c r="P183" s="582"/>
      <c r="Q183" s="582"/>
      <c r="R183" s="585"/>
      <c r="S183" s="585"/>
      <c r="T183" s="585"/>
      <c r="U183" s="585"/>
      <c r="V183" s="589"/>
      <c r="W183" s="585"/>
      <c r="X183" s="582"/>
      <c r="Y183" s="582"/>
      <c r="Z183" s="582"/>
    </row>
    <row r="184" ht="21.0" customHeight="1">
      <c r="A184" s="582"/>
      <c r="B184" s="583"/>
      <c r="C184" s="583"/>
      <c r="D184" s="583"/>
      <c r="E184" s="583"/>
      <c r="F184" s="591"/>
      <c r="G184" s="591"/>
      <c r="H184" s="583"/>
      <c r="I184" s="586"/>
      <c r="J184" s="586"/>
      <c r="K184" s="585"/>
      <c r="L184" s="585"/>
      <c r="M184" s="585"/>
      <c r="N184" s="585"/>
      <c r="O184" s="582"/>
      <c r="P184" s="582"/>
      <c r="Q184" s="582"/>
      <c r="R184" s="585"/>
      <c r="S184" s="585"/>
      <c r="T184" s="585"/>
      <c r="U184" s="585"/>
      <c r="V184" s="589"/>
      <c r="W184" s="585"/>
      <c r="X184" s="582"/>
      <c r="Y184" s="582"/>
      <c r="Z184" s="582"/>
    </row>
    <row r="185" ht="21.0" customHeight="1">
      <c r="A185" s="582"/>
      <c r="B185" s="583"/>
      <c r="C185" s="583"/>
      <c r="D185" s="583"/>
      <c r="E185" s="583"/>
      <c r="F185" s="591"/>
      <c r="G185" s="591"/>
      <c r="H185" s="583"/>
      <c r="I185" s="586"/>
      <c r="J185" s="586"/>
      <c r="K185" s="585"/>
      <c r="L185" s="585"/>
      <c r="M185" s="585"/>
      <c r="N185" s="585"/>
      <c r="O185" s="582"/>
      <c r="P185" s="582"/>
      <c r="Q185" s="582"/>
      <c r="R185" s="585"/>
      <c r="S185" s="585"/>
      <c r="T185" s="585"/>
      <c r="U185" s="585"/>
      <c r="V185" s="589"/>
      <c r="W185" s="585"/>
      <c r="X185" s="582"/>
      <c r="Y185" s="582"/>
      <c r="Z185" s="582"/>
    </row>
    <row r="186" ht="21.0" customHeight="1">
      <c r="A186" s="582"/>
      <c r="B186" s="583"/>
      <c r="C186" s="583"/>
      <c r="D186" s="583"/>
      <c r="E186" s="583"/>
      <c r="F186" s="591"/>
      <c r="G186" s="591"/>
      <c r="H186" s="583"/>
      <c r="I186" s="586"/>
      <c r="J186" s="586"/>
      <c r="K186" s="585"/>
      <c r="L186" s="585"/>
      <c r="M186" s="585"/>
      <c r="N186" s="585"/>
      <c r="O186" s="582"/>
      <c r="P186" s="582"/>
      <c r="Q186" s="582"/>
      <c r="R186" s="585"/>
      <c r="S186" s="585"/>
      <c r="T186" s="585"/>
      <c r="U186" s="585"/>
      <c r="V186" s="589"/>
      <c r="W186" s="585"/>
      <c r="X186" s="582"/>
      <c r="Y186" s="582"/>
      <c r="Z186" s="582"/>
    </row>
    <row r="187" ht="21.0" customHeight="1">
      <c r="A187" s="582"/>
      <c r="B187" s="583"/>
      <c r="C187" s="583"/>
      <c r="D187" s="583"/>
      <c r="E187" s="583"/>
      <c r="F187" s="591"/>
      <c r="G187" s="591"/>
      <c r="H187" s="583"/>
      <c r="I187" s="586"/>
      <c r="J187" s="586"/>
      <c r="K187" s="585"/>
      <c r="L187" s="585"/>
      <c r="M187" s="585"/>
      <c r="N187" s="585"/>
      <c r="O187" s="582"/>
      <c r="P187" s="582"/>
      <c r="Q187" s="582"/>
      <c r="R187" s="585"/>
      <c r="S187" s="585"/>
      <c r="T187" s="585"/>
      <c r="U187" s="585"/>
      <c r="V187" s="589"/>
      <c r="W187" s="585"/>
      <c r="X187" s="582"/>
      <c r="Y187" s="582"/>
      <c r="Z187" s="582"/>
    </row>
    <row r="188" ht="21.0" customHeight="1">
      <c r="A188" s="582"/>
      <c r="B188" s="583"/>
      <c r="C188" s="583"/>
      <c r="D188" s="583"/>
      <c r="E188" s="583"/>
      <c r="F188" s="591"/>
      <c r="G188" s="591"/>
      <c r="H188" s="583"/>
      <c r="I188" s="586"/>
      <c r="J188" s="586"/>
      <c r="K188" s="585"/>
      <c r="L188" s="585"/>
      <c r="M188" s="585"/>
      <c r="N188" s="585"/>
      <c r="O188" s="582"/>
      <c r="P188" s="582"/>
      <c r="Q188" s="582"/>
      <c r="R188" s="585"/>
      <c r="S188" s="585"/>
      <c r="T188" s="585"/>
      <c r="U188" s="585"/>
      <c r="V188" s="589"/>
      <c r="W188" s="585"/>
      <c r="X188" s="582"/>
      <c r="Y188" s="582"/>
      <c r="Z188" s="582"/>
    </row>
    <row r="189" ht="21.0" customHeight="1">
      <c r="A189" s="582"/>
      <c r="B189" s="583"/>
      <c r="C189" s="583"/>
      <c r="D189" s="583"/>
      <c r="E189" s="583"/>
      <c r="F189" s="591"/>
      <c r="G189" s="591"/>
      <c r="H189" s="583"/>
      <c r="I189" s="586"/>
      <c r="J189" s="586"/>
      <c r="K189" s="585"/>
      <c r="L189" s="585"/>
      <c r="M189" s="585"/>
      <c r="N189" s="585"/>
      <c r="O189" s="582"/>
      <c r="P189" s="582"/>
      <c r="Q189" s="582"/>
      <c r="R189" s="585"/>
      <c r="S189" s="585"/>
      <c r="T189" s="585"/>
      <c r="U189" s="585"/>
      <c r="V189" s="589"/>
      <c r="W189" s="585"/>
      <c r="X189" s="582"/>
      <c r="Y189" s="582"/>
      <c r="Z189" s="582"/>
    </row>
    <row r="190" ht="21.0" customHeight="1">
      <c r="A190" s="582"/>
      <c r="B190" s="583"/>
      <c r="C190" s="583"/>
      <c r="D190" s="583"/>
      <c r="E190" s="583"/>
      <c r="F190" s="591"/>
      <c r="G190" s="591"/>
      <c r="H190" s="583"/>
      <c r="I190" s="586"/>
      <c r="J190" s="586"/>
      <c r="K190" s="585"/>
      <c r="L190" s="585"/>
      <c r="M190" s="585"/>
      <c r="N190" s="585"/>
      <c r="O190" s="582"/>
      <c r="P190" s="582"/>
      <c r="Q190" s="582"/>
      <c r="R190" s="585"/>
      <c r="S190" s="585"/>
      <c r="T190" s="585"/>
      <c r="U190" s="585"/>
      <c r="V190" s="589"/>
      <c r="W190" s="585"/>
      <c r="X190" s="582"/>
      <c r="Y190" s="582"/>
      <c r="Z190" s="582"/>
    </row>
    <row r="191" ht="21.0" customHeight="1">
      <c r="A191" s="582"/>
      <c r="B191" s="583"/>
      <c r="C191" s="583"/>
      <c r="D191" s="583"/>
      <c r="E191" s="583"/>
      <c r="F191" s="591"/>
      <c r="G191" s="591"/>
      <c r="H191" s="583"/>
      <c r="I191" s="586"/>
      <c r="J191" s="586"/>
      <c r="K191" s="585"/>
      <c r="L191" s="585"/>
      <c r="M191" s="585"/>
      <c r="N191" s="585"/>
      <c r="O191" s="582"/>
      <c r="P191" s="582"/>
      <c r="Q191" s="582"/>
      <c r="R191" s="585"/>
      <c r="S191" s="585"/>
      <c r="T191" s="585"/>
      <c r="U191" s="585"/>
      <c r="V191" s="589"/>
      <c r="W191" s="585"/>
      <c r="X191" s="582"/>
      <c r="Y191" s="582"/>
      <c r="Z191" s="582"/>
    </row>
    <row r="192" ht="21.0" customHeight="1">
      <c r="A192" s="582"/>
      <c r="B192" s="583"/>
      <c r="C192" s="583"/>
      <c r="D192" s="583"/>
      <c r="E192" s="583"/>
      <c r="F192" s="591"/>
      <c r="G192" s="591"/>
      <c r="H192" s="583"/>
      <c r="I192" s="586"/>
      <c r="J192" s="586"/>
      <c r="K192" s="585"/>
      <c r="L192" s="585"/>
      <c r="M192" s="585"/>
      <c r="N192" s="585"/>
      <c r="O192" s="582"/>
      <c r="P192" s="582"/>
      <c r="Q192" s="582"/>
      <c r="R192" s="585"/>
      <c r="S192" s="585"/>
      <c r="T192" s="585"/>
      <c r="U192" s="585"/>
      <c r="V192" s="589"/>
      <c r="W192" s="585"/>
      <c r="X192" s="582"/>
      <c r="Y192" s="582"/>
      <c r="Z192" s="582"/>
    </row>
    <row r="193" ht="21.0" customHeight="1">
      <c r="A193" s="582"/>
      <c r="B193" s="583"/>
      <c r="C193" s="583"/>
      <c r="D193" s="583"/>
      <c r="E193" s="583"/>
      <c r="F193" s="591"/>
      <c r="G193" s="591"/>
      <c r="H193" s="583"/>
      <c r="I193" s="586"/>
      <c r="J193" s="586"/>
      <c r="K193" s="585"/>
      <c r="L193" s="585"/>
      <c r="M193" s="585"/>
      <c r="N193" s="585"/>
      <c r="O193" s="582"/>
      <c r="P193" s="582"/>
      <c r="Q193" s="582"/>
      <c r="R193" s="585"/>
      <c r="S193" s="585"/>
      <c r="T193" s="585"/>
      <c r="U193" s="585"/>
      <c r="V193" s="589"/>
      <c r="W193" s="585"/>
      <c r="X193" s="582"/>
      <c r="Y193" s="582"/>
      <c r="Z193" s="582"/>
    </row>
    <row r="194" ht="21.0" customHeight="1">
      <c r="A194" s="582"/>
      <c r="B194" s="583"/>
      <c r="C194" s="583"/>
      <c r="D194" s="583"/>
      <c r="E194" s="583"/>
      <c r="F194" s="591"/>
      <c r="G194" s="591"/>
      <c r="H194" s="583"/>
      <c r="I194" s="586"/>
      <c r="J194" s="586"/>
      <c r="K194" s="585"/>
      <c r="L194" s="585"/>
      <c r="M194" s="585"/>
      <c r="N194" s="585"/>
      <c r="O194" s="582"/>
      <c r="P194" s="582"/>
      <c r="Q194" s="582"/>
      <c r="R194" s="585"/>
      <c r="S194" s="585"/>
      <c r="T194" s="585"/>
      <c r="U194" s="585"/>
      <c r="V194" s="589"/>
      <c r="W194" s="585"/>
      <c r="X194" s="582"/>
      <c r="Y194" s="582"/>
      <c r="Z194" s="582"/>
    </row>
    <row r="195" ht="21.0" customHeight="1">
      <c r="A195" s="582"/>
      <c r="B195" s="583"/>
      <c r="C195" s="583"/>
      <c r="D195" s="583"/>
      <c r="E195" s="583"/>
      <c r="F195" s="591"/>
      <c r="G195" s="591"/>
      <c r="H195" s="583"/>
      <c r="I195" s="586"/>
      <c r="J195" s="586"/>
      <c r="K195" s="585"/>
      <c r="L195" s="585"/>
      <c r="M195" s="585"/>
      <c r="N195" s="585"/>
      <c r="O195" s="582"/>
      <c r="P195" s="582"/>
      <c r="Q195" s="582"/>
      <c r="R195" s="585"/>
      <c r="S195" s="585"/>
      <c r="T195" s="585"/>
      <c r="U195" s="585"/>
      <c r="V195" s="589"/>
      <c r="W195" s="585"/>
      <c r="X195" s="582"/>
      <c r="Y195" s="582"/>
      <c r="Z195" s="582"/>
    </row>
    <row r="196" ht="21.0" customHeight="1">
      <c r="A196" s="582"/>
      <c r="B196" s="583"/>
      <c r="C196" s="583"/>
      <c r="D196" s="583"/>
      <c r="E196" s="583"/>
      <c r="F196" s="591"/>
      <c r="G196" s="591"/>
      <c r="H196" s="583"/>
      <c r="I196" s="586"/>
      <c r="J196" s="586"/>
      <c r="K196" s="585"/>
      <c r="L196" s="585"/>
      <c r="M196" s="585"/>
      <c r="N196" s="585"/>
      <c r="O196" s="582"/>
      <c r="P196" s="582"/>
      <c r="Q196" s="582"/>
      <c r="R196" s="585"/>
      <c r="S196" s="585"/>
      <c r="T196" s="585"/>
      <c r="U196" s="585"/>
      <c r="V196" s="589"/>
      <c r="W196" s="585"/>
      <c r="X196" s="582"/>
      <c r="Y196" s="582"/>
      <c r="Z196" s="582"/>
    </row>
    <row r="197" ht="21.0" customHeight="1">
      <c r="A197" s="582"/>
      <c r="B197" s="583"/>
      <c r="C197" s="583"/>
      <c r="D197" s="583"/>
      <c r="E197" s="583"/>
      <c r="F197" s="591"/>
      <c r="G197" s="591"/>
      <c r="H197" s="583"/>
      <c r="I197" s="586"/>
      <c r="J197" s="586"/>
      <c r="K197" s="585"/>
      <c r="L197" s="585"/>
      <c r="M197" s="585"/>
      <c r="N197" s="585"/>
      <c r="O197" s="582"/>
      <c r="P197" s="582"/>
      <c r="Q197" s="582"/>
      <c r="R197" s="585"/>
      <c r="S197" s="585"/>
      <c r="T197" s="585"/>
      <c r="U197" s="585"/>
      <c r="V197" s="589"/>
      <c r="W197" s="585"/>
      <c r="X197" s="582"/>
      <c r="Y197" s="582"/>
      <c r="Z197" s="582"/>
    </row>
    <row r="198" ht="21.0" customHeight="1">
      <c r="A198" s="582"/>
      <c r="B198" s="583"/>
      <c r="C198" s="583"/>
      <c r="D198" s="583"/>
      <c r="E198" s="583"/>
      <c r="F198" s="591"/>
      <c r="G198" s="591"/>
      <c r="H198" s="583"/>
      <c r="I198" s="586"/>
      <c r="J198" s="586"/>
      <c r="K198" s="585"/>
      <c r="L198" s="585"/>
      <c r="M198" s="585"/>
      <c r="N198" s="585"/>
      <c r="O198" s="582"/>
      <c r="P198" s="582"/>
      <c r="Q198" s="582"/>
      <c r="R198" s="585"/>
      <c r="S198" s="585"/>
      <c r="T198" s="585"/>
      <c r="U198" s="585"/>
      <c r="V198" s="589"/>
      <c r="W198" s="585"/>
      <c r="X198" s="582"/>
      <c r="Y198" s="582"/>
      <c r="Z198" s="582"/>
    </row>
    <row r="199" ht="21.0" customHeight="1">
      <c r="A199" s="582"/>
      <c r="B199" s="583"/>
      <c r="C199" s="583"/>
      <c r="D199" s="583"/>
      <c r="E199" s="583"/>
      <c r="F199" s="591"/>
      <c r="G199" s="591"/>
      <c r="H199" s="583"/>
      <c r="I199" s="586"/>
      <c r="J199" s="586"/>
      <c r="K199" s="585"/>
      <c r="L199" s="585"/>
      <c r="M199" s="585"/>
      <c r="N199" s="585"/>
      <c r="O199" s="582"/>
      <c r="P199" s="582"/>
      <c r="Q199" s="582"/>
      <c r="R199" s="585"/>
      <c r="S199" s="585"/>
      <c r="T199" s="585"/>
      <c r="U199" s="585"/>
      <c r="V199" s="589"/>
      <c r="W199" s="585"/>
      <c r="X199" s="582"/>
      <c r="Y199" s="582"/>
      <c r="Z199" s="582"/>
    </row>
    <row r="200" ht="21.0" customHeight="1">
      <c r="A200" s="582"/>
      <c r="B200" s="583"/>
      <c r="C200" s="583"/>
      <c r="D200" s="583"/>
      <c r="E200" s="583"/>
      <c r="F200" s="591"/>
      <c r="G200" s="591"/>
      <c r="H200" s="583"/>
      <c r="I200" s="586"/>
      <c r="J200" s="586"/>
      <c r="K200" s="585"/>
      <c r="L200" s="585"/>
      <c r="M200" s="585"/>
      <c r="N200" s="585"/>
      <c r="O200" s="582"/>
      <c r="P200" s="582"/>
      <c r="Q200" s="582"/>
      <c r="R200" s="585"/>
      <c r="S200" s="585"/>
      <c r="T200" s="585"/>
      <c r="U200" s="585"/>
      <c r="V200" s="589"/>
      <c r="W200" s="585"/>
      <c r="X200" s="582"/>
      <c r="Y200" s="582"/>
      <c r="Z200" s="582"/>
    </row>
    <row r="201" ht="21.0" customHeight="1">
      <c r="A201" s="582"/>
      <c r="B201" s="583"/>
      <c r="C201" s="583"/>
      <c r="D201" s="583"/>
      <c r="E201" s="583"/>
      <c r="F201" s="591"/>
      <c r="G201" s="591"/>
      <c r="H201" s="583"/>
      <c r="I201" s="586"/>
      <c r="J201" s="586"/>
      <c r="K201" s="585"/>
      <c r="L201" s="585"/>
      <c r="M201" s="585"/>
      <c r="N201" s="585"/>
      <c r="O201" s="582"/>
      <c r="P201" s="582"/>
      <c r="Q201" s="582"/>
      <c r="R201" s="585"/>
      <c r="S201" s="585"/>
      <c r="T201" s="585"/>
      <c r="U201" s="585"/>
      <c r="V201" s="589"/>
      <c r="W201" s="585"/>
      <c r="X201" s="582"/>
      <c r="Y201" s="582"/>
      <c r="Z201" s="582"/>
    </row>
    <row r="202" ht="21.0" customHeight="1">
      <c r="A202" s="582"/>
      <c r="B202" s="583"/>
      <c r="C202" s="583"/>
      <c r="D202" s="583"/>
      <c r="E202" s="583"/>
      <c r="F202" s="591"/>
      <c r="G202" s="591"/>
      <c r="H202" s="583"/>
      <c r="I202" s="586"/>
      <c r="J202" s="586"/>
      <c r="K202" s="585"/>
      <c r="L202" s="585"/>
      <c r="M202" s="585"/>
      <c r="N202" s="585"/>
      <c r="O202" s="582"/>
      <c r="P202" s="582"/>
      <c r="Q202" s="582"/>
      <c r="R202" s="585"/>
      <c r="S202" s="585"/>
      <c r="T202" s="585"/>
      <c r="U202" s="585"/>
      <c r="V202" s="589"/>
      <c r="W202" s="585"/>
      <c r="X202" s="582"/>
      <c r="Y202" s="582"/>
      <c r="Z202" s="582"/>
    </row>
    <row r="203" ht="21.0" customHeight="1">
      <c r="A203" s="582"/>
      <c r="B203" s="583"/>
      <c r="C203" s="583"/>
      <c r="D203" s="583"/>
      <c r="E203" s="583"/>
      <c r="F203" s="591"/>
      <c r="G203" s="591"/>
      <c r="H203" s="583"/>
      <c r="I203" s="586"/>
      <c r="J203" s="586"/>
      <c r="K203" s="585"/>
      <c r="L203" s="585"/>
      <c r="M203" s="585"/>
      <c r="N203" s="585"/>
      <c r="O203" s="582"/>
      <c r="P203" s="582"/>
      <c r="Q203" s="582"/>
      <c r="R203" s="585"/>
      <c r="S203" s="585"/>
      <c r="T203" s="585"/>
      <c r="U203" s="585"/>
      <c r="V203" s="589"/>
      <c r="W203" s="585"/>
      <c r="X203" s="582"/>
      <c r="Y203" s="582"/>
      <c r="Z203" s="582"/>
    </row>
    <row r="204" ht="21.0" customHeight="1">
      <c r="A204" s="582"/>
      <c r="B204" s="583"/>
      <c r="C204" s="583"/>
      <c r="D204" s="583"/>
      <c r="E204" s="583"/>
      <c r="F204" s="591"/>
      <c r="G204" s="591"/>
      <c r="H204" s="583"/>
      <c r="I204" s="586"/>
      <c r="J204" s="586"/>
      <c r="K204" s="585"/>
      <c r="L204" s="585"/>
      <c r="M204" s="585"/>
      <c r="N204" s="585"/>
      <c r="O204" s="582"/>
      <c r="P204" s="582"/>
      <c r="Q204" s="582"/>
      <c r="R204" s="585"/>
      <c r="S204" s="585"/>
      <c r="T204" s="585"/>
      <c r="U204" s="585"/>
      <c r="V204" s="589"/>
      <c r="W204" s="585"/>
      <c r="X204" s="582"/>
      <c r="Y204" s="582"/>
      <c r="Z204" s="582"/>
    </row>
    <row r="205" ht="21.0" customHeight="1">
      <c r="A205" s="582"/>
      <c r="B205" s="583"/>
      <c r="C205" s="583"/>
      <c r="D205" s="583"/>
      <c r="E205" s="583"/>
      <c r="F205" s="591"/>
      <c r="G205" s="591"/>
      <c r="H205" s="583"/>
      <c r="I205" s="586"/>
      <c r="J205" s="586"/>
      <c r="K205" s="585"/>
      <c r="L205" s="585"/>
      <c r="M205" s="585"/>
      <c r="N205" s="585"/>
      <c r="O205" s="582"/>
      <c r="P205" s="582"/>
      <c r="Q205" s="582"/>
      <c r="R205" s="585"/>
      <c r="S205" s="585"/>
      <c r="T205" s="585"/>
      <c r="U205" s="585"/>
      <c r="V205" s="589"/>
      <c r="W205" s="585"/>
      <c r="X205" s="582"/>
      <c r="Y205" s="582"/>
      <c r="Z205" s="582"/>
    </row>
    <row r="206" ht="21.0" customHeight="1">
      <c r="A206" s="582"/>
      <c r="B206" s="583"/>
      <c r="C206" s="583"/>
      <c r="D206" s="583"/>
      <c r="E206" s="583"/>
      <c r="F206" s="591"/>
      <c r="G206" s="591"/>
      <c r="H206" s="583"/>
      <c r="I206" s="586"/>
      <c r="J206" s="586"/>
      <c r="K206" s="585"/>
      <c r="L206" s="585"/>
      <c r="M206" s="585"/>
      <c r="N206" s="585"/>
      <c r="O206" s="582"/>
      <c r="P206" s="582"/>
      <c r="Q206" s="582"/>
      <c r="R206" s="585"/>
      <c r="S206" s="585"/>
      <c r="T206" s="585"/>
      <c r="U206" s="585"/>
      <c r="V206" s="589"/>
      <c r="W206" s="585"/>
      <c r="X206" s="582"/>
      <c r="Y206" s="582"/>
      <c r="Z206" s="582"/>
    </row>
    <row r="207" ht="21.0" customHeight="1">
      <c r="A207" s="582"/>
      <c r="B207" s="583"/>
      <c r="C207" s="583"/>
      <c r="D207" s="583"/>
      <c r="E207" s="583"/>
      <c r="F207" s="591"/>
      <c r="G207" s="591"/>
      <c r="H207" s="583"/>
      <c r="I207" s="586"/>
      <c r="J207" s="586"/>
      <c r="K207" s="585"/>
      <c r="L207" s="585"/>
      <c r="M207" s="585"/>
      <c r="N207" s="585"/>
      <c r="O207" s="582"/>
      <c r="P207" s="582"/>
      <c r="Q207" s="582"/>
      <c r="R207" s="585"/>
      <c r="S207" s="585"/>
      <c r="T207" s="585"/>
      <c r="U207" s="585"/>
      <c r="V207" s="589"/>
      <c r="W207" s="585"/>
      <c r="X207" s="582"/>
      <c r="Y207" s="582"/>
      <c r="Z207" s="582"/>
    </row>
    <row r="208" ht="21.0" customHeight="1">
      <c r="A208" s="582"/>
      <c r="B208" s="583"/>
      <c r="C208" s="583"/>
      <c r="D208" s="583"/>
      <c r="E208" s="583"/>
      <c r="F208" s="591"/>
      <c r="G208" s="591"/>
      <c r="H208" s="583"/>
      <c r="I208" s="586"/>
      <c r="J208" s="586"/>
      <c r="K208" s="585"/>
      <c r="L208" s="585"/>
      <c r="M208" s="585"/>
      <c r="N208" s="585"/>
      <c r="O208" s="582"/>
      <c r="P208" s="582"/>
      <c r="Q208" s="582"/>
      <c r="R208" s="585"/>
      <c r="S208" s="585"/>
      <c r="T208" s="585"/>
      <c r="U208" s="585"/>
      <c r="V208" s="589"/>
      <c r="W208" s="585"/>
      <c r="X208" s="582"/>
      <c r="Y208" s="582"/>
      <c r="Z208" s="582"/>
    </row>
    <row r="209" ht="21.0" customHeight="1">
      <c r="A209" s="582"/>
      <c r="B209" s="583"/>
      <c r="C209" s="583"/>
      <c r="D209" s="583"/>
      <c r="E209" s="583"/>
      <c r="F209" s="591"/>
      <c r="G209" s="591"/>
      <c r="H209" s="583"/>
      <c r="I209" s="586"/>
      <c r="J209" s="586"/>
      <c r="K209" s="585"/>
      <c r="L209" s="585"/>
      <c r="M209" s="585"/>
      <c r="N209" s="585"/>
      <c r="O209" s="582"/>
      <c r="P209" s="582"/>
      <c r="Q209" s="582"/>
      <c r="R209" s="585"/>
      <c r="S209" s="585"/>
      <c r="T209" s="585"/>
      <c r="U209" s="585"/>
      <c r="V209" s="589"/>
      <c r="W209" s="585"/>
      <c r="X209" s="582"/>
      <c r="Y209" s="582"/>
      <c r="Z209" s="582"/>
    </row>
    <row r="210" ht="21.0" customHeight="1">
      <c r="A210" s="582"/>
      <c r="B210" s="583"/>
      <c r="C210" s="583"/>
      <c r="D210" s="583"/>
      <c r="E210" s="583"/>
      <c r="F210" s="591"/>
      <c r="G210" s="591"/>
      <c r="H210" s="583"/>
      <c r="I210" s="586"/>
      <c r="J210" s="586"/>
      <c r="K210" s="585"/>
      <c r="L210" s="585"/>
      <c r="M210" s="585"/>
      <c r="N210" s="585"/>
      <c r="O210" s="582"/>
      <c r="P210" s="582"/>
      <c r="Q210" s="582"/>
      <c r="R210" s="585"/>
      <c r="S210" s="585"/>
      <c r="T210" s="585"/>
      <c r="U210" s="585"/>
      <c r="V210" s="589"/>
      <c r="W210" s="585"/>
      <c r="X210" s="582"/>
      <c r="Y210" s="582"/>
      <c r="Z210" s="582"/>
    </row>
    <row r="211" ht="21.0" customHeight="1">
      <c r="A211" s="582"/>
      <c r="B211" s="583"/>
      <c r="C211" s="583"/>
      <c r="D211" s="583"/>
      <c r="E211" s="583"/>
      <c r="F211" s="591"/>
      <c r="G211" s="591"/>
      <c r="H211" s="583"/>
      <c r="I211" s="586"/>
      <c r="J211" s="586"/>
      <c r="K211" s="585"/>
      <c r="L211" s="585"/>
      <c r="M211" s="585"/>
      <c r="N211" s="585"/>
      <c r="O211" s="582"/>
      <c r="P211" s="582"/>
      <c r="Q211" s="582"/>
      <c r="R211" s="585"/>
      <c r="S211" s="585"/>
      <c r="T211" s="585"/>
      <c r="U211" s="585"/>
      <c r="V211" s="589"/>
      <c r="W211" s="585"/>
      <c r="X211" s="582"/>
      <c r="Y211" s="582"/>
      <c r="Z211" s="582"/>
    </row>
    <row r="212" ht="21.0" customHeight="1">
      <c r="A212" s="582"/>
      <c r="B212" s="583"/>
      <c r="C212" s="583"/>
      <c r="D212" s="583"/>
      <c r="E212" s="583"/>
      <c r="F212" s="591"/>
      <c r="G212" s="591"/>
      <c r="H212" s="583"/>
      <c r="I212" s="586"/>
      <c r="J212" s="586"/>
      <c r="K212" s="585"/>
      <c r="L212" s="585"/>
      <c r="M212" s="585"/>
      <c r="N212" s="585"/>
      <c r="O212" s="582"/>
      <c r="P212" s="582"/>
      <c r="Q212" s="582"/>
      <c r="R212" s="585"/>
      <c r="S212" s="585"/>
      <c r="T212" s="585"/>
      <c r="U212" s="585"/>
      <c r="V212" s="589"/>
      <c r="W212" s="585"/>
      <c r="X212" s="582"/>
      <c r="Y212" s="582"/>
      <c r="Z212" s="582"/>
    </row>
    <row r="213" ht="21.0" customHeight="1">
      <c r="A213" s="582"/>
      <c r="B213" s="583"/>
      <c r="C213" s="583"/>
      <c r="D213" s="583"/>
      <c r="E213" s="583"/>
      <c r="F213" s="591"/>
      <c r="G213" s="591"/>
      <c r="H213" s="583"/>
      <c r="I213" s="586"/>
      <c r="J213" s="586"/>
      <c r="K213" s="585"/>
      <c r="L213" s="585"/>
      <c r="M213" s="585"/>
      <c r="N213" s="585"/>
      <c r="O213" s="582"/>
      <c r="P213" s="582"/>
      <c r="Q213" s="582"/>
      <c r="R213" s="585"/>
      <c r="S213" s="585"/>
      <c r="T213" s="585"/>
      <c r="U213" s="585"/>
      <c r="V213" s="589"/>
      <c r="W213" s="585"/>
      <c r="X213" s="582"/>
      <c r="Y213" s="582"/>
      <c r="Z213" s="582"/>
    </row>
    <row r="214" ht="21.0" customHeight="1">
      <c r="A214" s="582"/>
      <c r="B214" s="583"/>
      <c r="C214" s="583"/>
      <c r="D214" s="583"/>
      <c r="E214" s="583"/>
      <c r="F214" s="591"/>
      <c r="G214" s="591"/>
      <c r="H214" s="583"/>
      <c r="I214" s="586"/>
      <c r="J214" s="586"/>
      <c r="K214" s="585"/>
      <c r="L214" s="585"/>
      <c r="M214" s="585"/>
      <c r="N214" s="585"/>
      <c r="O214" s="582"/>
      <c r="P214" s="582"/>
      <c r="Q214" s="582"/>
      <c r="R214" s="585"/>
      <c r="S214" s="585"/>
      <c r="T214" s="585"/>
      <c r="U214" s="585"/>
      <c r="V214" s="589"/>
      <c r="W214" s="585"/>
      <c r="X214" s="582"/>
      <c r="Y214" s="582"/>
      <c r="Z214" s="582"/>
    </row>
    <row r="215" ht="21.0" customHeight="1">
      <c r="A215" s="582"/>
      <c r="B215" s="583"/>
      <c r="C215" s="583"/>
      <c r="D215" s="583"/>
      <c r="E215" s="583"/>
      <c r="F215" s="591"/>
      <c r="G215" s="591"/>
      <c r="H215" s="583"/>
      <c r="I215" s="586"/>
      <c r="J215" s="586"/>
      <c r="K215" s="585"/>
      <c r="L215" s="585"/>
      <c r="M215" s="585"/>
      <c r="N215" s="585"/>
      <c r="O215" s="582"/>
      <c r="P215" s="582"/>
      <c r="Q215" s="582"/>
      <c r="R215" s="585"/>
      <c r="S215" s="585"/>
      <c r="T215" s="585"/>
      <c r="U215" s="585"/>
      <c r="V215" s="589"/>
      <c r="W215" s="585"/>
      <c r="X215" s="582"/>
      <c r="Y215" s="582"/>
      <c r="Z215" s="582"/>
    </row>
    <row r="216" ht="21.0" customHeight="1">
      <c r="A216" s="582"/>
      <c r="B216" s="583"/>
      <c r="C216" s="583"/>
      <c r="D216" s="583"/>
      <c r="E216" s="583"/>
      <c r="F216" s="591"/>
      <c r="G216" s="591"/>
      <c r="H216" s="583"/>
      <c r="I216" s="586"/>
      <c r="J216" s="586"/>
      <c r="K216" s="585"/>
      <c r="L216" s="585"/>
      <c r="M216" s="585"/>
      <c r="N216" s="585"/>
      <c r="O216" s="582"/>
      <c r="P216" s="582"/>
      <c r="Q216" s="582"/>
      <c r="R216" s="585"/>
      <c r="S216" s="585"/>
      <c r="T216" s="585"/>
      <c r="U216" s="585"/>
      <c r="V216" s="589"/>
      <c r="W216" s="585"/>
      <c r="X216" s="582"/>
      <c r="Y216" s="582"/>
      <c r="Z216" s="582"/>
    </row>
    <row r="217" ht="21.0" customHeight="1">
      <c r="A217" s="582"/>
      <c r="B217" s="583"/>
      <c r="C217" s="583"/>
      <c r="D217" s="583"/>
      <c r="E217" s="583"/>
      <c r="F217" s="591"/>
      <c r="G217" s="591"/>
      <c r="H217" s="583"/>
      <c r="I217" s="586"/>
      <c r="J217" s="586"/>
      <c r="K217" s="585"/>
      <c r="L217" s="585"/>
      <c r="M217" s="585"/>
      <c r="N217" s="585"/>
      <c r="O217" s="582"/>
      <c r="P217" s="582"/>
      <c r="Q217" s="582"/>
      <c r="R217" s="585"/>
      <c r="S217" s="585"/>
      <c r="T217" s="585"/>
      <c r="U217" s="585"/>
      <c r="V217" s="589"/>
      <c r="W217" s="585"/>
      <c r="X217" s="582"/>
      <c r="Y217" s="582"/>
      <c r="Z217" s="582"/>
    </row>
    <row r="218" ht="21.0" customHeight="1">
      <c r="A218" s="582"/>
      <c r="B218" s="583"/>
      <c r="C218" s="583"/>
      <c r="D218" s="583"/>
      <c r="E218" s="583"/>
      <c r="F218" s="591"/>
      <c r="G218" s="591"/>
      <c r="H218" s="583"/>
      <c r="I218" s="586"/>
      <c r="J218" s="586"/>
      <c r="K218" s="585"/>
      <c r="L218" s="585"/>
      <c r="M218" s="585"/>
      <c r="N218" s="585"/>
      <c r="O218" s="582"/>
      <c r="P218" s="582"/>
      <c r="Q218" s="582"/>
      <c r="R218" s="585"/>
      <c r="S218" s="585"/>
      <c r="T218" s="585"/>
      <c r="U218" s="585"/>
      <c r="V218" s="589"/>
      <c r="W218" s="585"/>
      <c r="X218" s="582"/>
      <c r="Y218" s="582"/>
      <c r="Z218" s="582"/>
    </row>
    <row r="219" ht="21.0" customHeight="1">
      <c r="A219" s="582"/>
      <c r="B219" s="583"/>
      <c r="C219" s="583"/>
      <c r="D219" s="583"/>
      <c r="E219" s="583"/>
      <c r="F219" s="591"/>
      <c r="G219" s="591"/>
      <c r="H219" s="583"/>
      <c r="I219" s="586"/>
      <c r="J219" s="586"/>
      <c r="K219" s="585"/>
      <c r="L219" s="585"/>
      <c r="M219" s="585"/>
      <c r="N219" s="585"/>
      <c r="O219" s="582"/>
      <c r="P219" s="582"/>
      <c r="Q219" s="582"/>
      <c r="R219" s="585"/>
      <c r="S219" s="585"/>
      <c r="T219" s="585"/>
      <c r="U219" s="585"/>
      <c r="V219" s="589"/>
      <c r="W219" s="585"/>
      <c r="X219" s="582"/>
      <c r="Y219" s="582"/>
      <c r="Z219" s="582"/>
    </row>
    <row r="220" ht="21.0" customHeight="1">
      <c r="A220" s="582"/>
      <c r="B220" s="583"/>
      <c r="C220" s="583"/>
      <c r="D220" s="583"/>
      <c r="E220" s="583"/>
      <c r="F220" s="591"/>
      <c r="G220" s="591"/>
      <c r="H220" s="583"/>
      <c r="I220" s="586"/>
      <c r="J220" s="586"/>
      <c r="K220" s="585"/>
      <c r="L220" s="585"/>
      <c r="M220" s="585"/>
      <c r="N220" s="585"/>
      <c r="O220" s="582"/>
      <c r="P220" s="582"/>
      <c r="Q220" s="582"/>
      <c r="R220" s="585"/>
      <c r="S220" s="585"/>
      <c r="T220" s="585"/>
      <c r="U220" s="585"/>
      <c r="V220" s="589"/>
      <c r="W220" s="585"/>
      <c r="X220" s="582"/>
      <c r="Y220" s="582"/>
      <c r="Z220" s="582"/>
    </row>
    <row r="221" ht="21.0" customHeight="1">
      <c r="A221" s="582"/>
      <c r="B221" s="583"/>
      <c r="C221" s="583"/>
      <c r="D221" s="583"/>
      <c r="E221" s="583"/>
      <c r="F221" s="591"/>
      <c r="G221" s="591"/>
      <c r="H221" s="583"/>
      <c r="I221" s="586"/>
      <c r="J221" s="586"/>
      <c r="K221" s="585"/>
      <c r="L221" s="585"/>
      <c r="M221" s="585"/>
      <c r="N221" s="585"/>
      <c r="O221" s="582"/>
      <c r="P221" s="582"/>
      <c r="Q221" s="582"/>
      <c r="R221" s="585"/>
      <c r="S221" s="585"/>
      <c r="T221" s="585"/>
      <c r="U221" s="585"/>
      <c r="V221" s="589"/>
      <c r="W221" s="585"/>
      <c r="X221" s="582"/>
      <c r="Y221" s="582"/>
      <c r="Z221" s="582"/>
    </row>
    <row r="222" ht="21.0" customHeight="1">
      <c r="A222" s="582"/>
      <c r="B222" s="583"/>
      <c r="C222" s="583"/>
      <c r="D222" s="583"/>
      <c r="E222" s="583"/>
      <c r="F222" s="591"/>
      <c r="G222" s="591"/>
      <c r="H222" s="583"/>
      <c r="I222" s="586"/>
      <c r="J222" s="586"/>
      <c r="K222" s="585"/>
      <c r="L222" s="585"/>
      <c r="M222" s="585"/>
      <c r="N222" s="585"/>
      <c r="O222" s="582"/>
      <c r="P222" s="582"/>
      <c r="Q222" s="582"/>
      <c r="R222" s="585"/>
      <c r="S222" s="585"/>
      <c r="T222" s="585"/>
      <c r="U222" s="585"/>
      <c r="V222" s="589"/>
      <c r="W222" s="585"/>
      <c r="X222" s="582"/>
      <c r="Y222" s="582"/>
      <c r="Z222" s="582"/>
    </row>
    <row r="223" ht="21.0" customHeight="1">
      <c r="A223" s="582"/>
      <c r="B223" s="583"/>
      <c r="C223" s="583"/>
      <c r="D223" s="583"/>
      <c r="E223" s="583"/>
      <c r="F223" s="591"/>
      <c r="G223" s="591"/>
      <c r="H223" s="583"/>
      <c r="I223" s="586"/>
      <c r="J223" s="586"/>
      <c r="K223" s="585"/>
      <c r="L223" s="585"/>
      <c r="M223" s="585"/>
      <c r="N223" s="585"/>
      <c r="O223" s="582"/>
      <c r="P223" s="582"/>
      <c r="Q223" s="582"/>
      <c r="R223" s="585"/>
      <c r="S223" s="585"/>
      <c r="T223" s="585"/>
      <c r="U223" s="585"/>
      <c r="V223" s="589"/>
      <c r="W223" s="585"/>
      <c r="X223" s="582"/>
      <c r="Y223" s="582"/>
      <c r="Z223" s="582"/>
    </row>
    <row r="224" ht="21.0" customHeight="1">
      <c r="A224" s="582"/>
      <c r="B224" s="583"/>
      <c r="C224" s="583"/>
      <c r="D224" s="583"/>
      <c r="E224" s="583"/>
      <c r="F224" s="591"/>
      <c r="G224" s="591"/>
      <c r="H224" s="583"/>
      <c r="I224" s="586"/>
      <c r="J224" s="586"/>
      <c r="K224" s="585"/>
      <c r="L224" s="585"/>
      <c r="M224" s="585"/>
      <c r="N224" s="585"/>
      <c r="O224" s="582"/>
      <c r="P224" s="582"/>
      <c r="Q224" s="582"/>
      <c r="R224" s="585"/>
      <c r="S224" s="585"/>
      <c r="T224" s="585"/>
      <c r="U224" s="585"/>
      <c r="V224" s="589"/>
      <c r="W224" s="585"/>
      <c r="X224" s="582"/>
      <c r="Y224" s="582"/>
      <c r="Z224" s="582"/>
    </row>
    <row r="225" ht="21.0" customHeight="1">
      <c r="A225" s="582"/>
      <c r="B225" s="583"/>
      <c r="C225" s="583"/>
      <c r="D225" s="583"/>
      <c r="E225" s="583"/>
      <c r="F225" s="591"/>
      <c r="G225" s="591"/>
      <c r="H225" s="583"/>
      <c r="I225" s="586"/>
      <c r="J225" s="586"/>
      <c r="K225" s="585"/>
      <c r="L225" s="585"/>
      <c r="M225" s="585"/>
      <c r="N225" s="585"/>
      <c r="O225" s="582"/>
      <c r="P225" s="582"/>
      <c r="Q225" s="582"/>
      <c r="R225" s="585"/>
      <c r="S225" s="585"/>
      <c r="T225" s="585"/>
      <c r="U225" s="585"/>
      <c r="V225" s="589"/>
      <c r="W225" s="585"/>
      <c r="X225" s="582"/>
      <c r="Y225" s="582"/>
      <c r="Z225" s="582"/>
    </row>
    <row r="226" ht="21.0" customHeight="1">
      <c r="A226" s="582"/>
      <c r="B226" s="583"/>
      <c r="C226" s="583"/>
      <c r="D226" s="583"/>
      <c r="E226" s="583"/>
      <c r="F226" s="591"/>
      <c r="G226" s="591"/>
      <c r="H226" s="583"/>
      <c r="I226" s="586"/>
      <c r="J226" s="586"/>
      <c r="K226" s="585"/>
      <c r="L226" s="585"/>
      <c r="M226" s="585"/>
      <c r="N226" s="585"/>
      <c r="O226" s="582"/>
      <c r="P226" s="582"/>
      <c r="Q226" s="582"/>
      <c r="R226" s="585"/>
      <c r="S226" s="585"/>
      <c r="T226" s="585"/>
      <c r="U226" s="585"/>
      <c r="V226" s="589"/>
      <c r="W226" s="585"/>
      <c r="X226" s="582"/>
      <c r="Y226" s="582"/>
      <c r="Z226" s="582"/>
    </row>
    <row r="227" ht="21.0" customHeight="1">
      <c r="A227" s="582"/>
      <c r="B227" s="583"/>
      <c r="C227" s="583"/>
      <c r="D227" s="583"/>
      <c r="E227" s="583"/>
      <c r="F227" s="591"/>
      <c r="G227" s="591"/>
      <c r="H227" s="583"/>
      <c r="I227" s="586"/>
      <c r="J227" s="586"/>
      <c r="K227" s="585"/>
      <c r="L227" s="585"/>
      <c r="M227" s="585"/>
      <c r="N227" s="585"/>
      <c r="O227" s="582"/>
      <c r="P227" s="582"/>
      <c r="Q227" s="582"/>
      <c r="R227" s="585"/>
      <c r="S227" s="585"/>
      <c r="T227" s="585"/>
      <c r="U227" s="585"/>
      <c r="V227" s="589"/>
      <c r="W227" s="585"/>
      <c r="X227" s="582"/>
      <c r="Y227" s="582"/>
      <c r="Z227" s="582"/>
    </row>
    <row r="228" ht="21.0" customHeight="1">
      <c r="A228" s="582"/>
      <c r="B228" s="583"/>
      <c r="C228" s="583"/>
      <c r="D228" s="583"/>
      <c r="E228" s="583"/>
      <c r="F228" s="591"/>
      <c r="G228" s="591"/>
      <c r="H228" s="583"/>
      <c r="I228" s="586"/>
      <c r="J228" s="586"/>
      <c r="K228" s="585"/>
      <c r="L228" s="585"/>
      <c r="M228" s="585"/>
      <c r="N228" s="585"/>
      <c r="O228" s="582"/>
      <c r="P228" s="582"/>
      <c r="Q228" s="582"/>
      <c r="R228" s="585"/>
      <c r="S228" s="585"/>
      <c r="T228" s="585"/>
      <c r="U228" s="585"/>
      <c r="V228" s="589"/>
      <c r="W228" s="585"/>
      <c r="X228" s="582"/>
      <c r="Y228" s="582"/>
      <c r="Z228" s="582"/>
    </row>
    <row r="229" ht="21.0" customHeight="1">
      <c r="A229" s="582"/>
      <c r="B229" s="583"/>
      <c r="C229" s="583"/>
      <c r="D229" s="583"/>
      <c r="E229" s="583"/>
      <c r="F229" s="591"/>
      <c r="G229" s="591"/>
      <c r="H229" s="583"/>
      <c r="I229" s="586"/>
      <c r="J229" s="586"/>
      <c r="K229" s="585"/>
      <c r="L229" s="585"/>
      <c r="M229" s="585"/>
      <c r="N229" s="585"/>
      <c r="O229" s="582"/>
      <c r="P229" s="582"/>
      <c r="Q229" s="582"/>
      <c r="R229" s="585"/>
      <c r="S229" s="585"/>
      <c r="T229" s="585"/>
      <c r="U229" s="585"/>
      <c r="V229" s="589"/>
      <c r="W229" s="585"/>
      <c r="X229" s="582"/>
      <c r="Y229" s="582"/>
      <c r="Z229" s="582"/>
    </row>
    <row r="230" ht="21.0" customHeight="1">
      <c r="A230" s="582"/>
      <c r="B230" s="583"/>
      <c r="C230" s="583"/>
      <c r="D230" s="583"/>
      <c r="E230" s="583"/>
      <c r="F230" s="591"/>
      <c r="G230" s="591"/>
      <c r="H230" s="583"/>
      <c r="I230" s="586"/>
      <c r="J230" s="586"/>
      <c r="K230" s="585"/>
      <c r="L230" s="585"/>
      <c r="M230" s="585"/>
      <c r="N230" s="585"/>
      <c r="O230" s="582"/>
      <c r="P230" s="582"/>
      <c r="Q230" s="582"/>
      <c r="R230" s="585"/>
      <c r="S230" s="585"/>
      <c r="T230" s="585"/>
      <c r="U230" s="585"/>
      <c r="V230" s="589"/>
      <c r="W230" s="585"/>
      <c r="X230" s="582"/>
      <c r="Y230" s="582"/>
      <c r="Z230" s="582"/>
    </row>
    <row r="231" ht="21.0" customHeight="1">
      <c r="A231" s="582"/>
      <c r="B231" s="583"/>
      <c r="C231" s="583"/>
      <c r="D231" s="583"/>
      <c r="E231" s="583"/>
      <c r="F231" s="591"/>
      <c r="G231" s="591"/>
      <c r="H231" s="583"/>
      <c r="I231" s="586"/>
      <c r="J231" s="586"/>
      <c r="K231" s="585"/>
      <c r="L231" s="585"/>
      <c r="M231" s="585"/>
      <c r="N231" s="585"/>
      <c r="O231" s="582"/>
      <c r="P231" s="582"/>
      <c r="Q231" s="582"/>
      <c r="R231" s="585"/>
      <c r="S231" s="585"/>
      <c r="T231" s="585"/>
      <c r="U231" s="585"/>
      <c r="V231" s="589"/>
      <c r="W231" s="585"/>
      <c r="X231" s="582"/>
      <c r="Y231" s="582"/>
      <c r="Z231" s="582"/>
    </row>
    <row r="232" ht="21.0" customHeight="1">
      <c r="A232" s="582"/>
      <c r="B232" s="583"/>
      <c r="C232" s="583"/>
      <c r="D232" s="583"/>
      <c r="E232" s="583"/>
      <c r="F232" s="591"/>
      <c r="G232" s="591"/>
      <c r="H232" s="583"/>
      <c r="I232" s="586"/>
      <c r="J232" s="586"/>
      <c r="K232" s="585"/>
      <c r="L232" s="585"/>
      <c r="M232" s="585"/>
      <c r="N232" s="585"/>
      <c r="O232" s="582"/>
      <c r="P232" s="582"/>
      <c r="Q232" s="582"/>
      <c r="R232" s="585"/>
      <c r="S232" s="585"/>
      <c r="T232" s="585"/>
      <c r="U232" s="585"/>
      <c r="V232" s="589"/>
      <c r="W232" s="585"/>
      <c r="X232" s="582"/>
      <c r="Y232" s="582"/>
      <c r="Z232" s="582"/>
    </row>
    <row r="233" ht="21.0" customHeight="1">
      <c r="A233" s="582"/>
      <c r="B233" s="583"/>
      <c r="C233" s="583"/>
      <c r="D233" s="583"/>
      <c r="E233" s="583"/>
      <c r="F233" s="591"/>
      <c r="G233" s="591"/>
      <c r="H233" s="583"/>
      <c r="I233" s="586"/>
      <c r="J233" s="586"/>
      <c r="K233" s="585"/>
      <c r="L233" s="585"/>
      <c r="M233" s="585"/>
      <c r="N233" s="585"/>
      <c r="O233" s="582"/>
      <c r="P233" s="582"/>
      <c r="Q233" s="582"/>
      <c r="R233" s="585"/>
      <c r="S233" s="585"/>
      <c r="T233" s="585"/>
      <c r="U233" s="585"/>
      <c r="V233" s="589"/>
      <c r="W233" s="585"/>
      <c r="X233" s="582"/>
      <c r="Y233" s="582"/>
      <c r="Z233" s="582"/>
    </row>
    <row r="234" ht="21.0" customHeight="1">
      <c r="A234" s="582"/>
      <c r="B234" s="583"/>
      <c r="C234" s="608"/>
      <c r="D234" s="583"/>
      <c r="E234" s="608"/>
      <c r="F234" s="609"/>
      <c r="G234" s="609"/>
      <c r="H234" s="608"/>
      <c r="I234" s="586"/>
      <c r="J234" s="586"/>
      <c r="K234" s="585"/>
      <c r="L234" s="585"/>
      <c r="M234" s="585"/>
      <c r="N234" s="585"/>
      <c r="O234" s="582"/>
      <c r="P234" s="582"/>
      <c r="Q234" s="582"/>
      <c r="R234" s="585"/>
      <c r="S234" s="585"/>
      <c r="T234" s="585"/>
      <c r="U234" s="585"/>
      <c r="V234" s="589"/>
      <c r="W234" s="585"/>
      <c r="X234" s="582"/>
      <c r="Y234" s="582"/>
      <c r="Z234" s="582"/>
    </row>
    <row r="235" ht="21.0" customHeight="1">
      <c r="A235" s="582"/>
      <c r="B235" s="608"/>
      <c r="C235" s="608"/>
      <c r="D235" s="608"/>
      <c r="E235" s="608"/>
      <c r="F235" s="609"/>
      <c r="G235" s="609"/>
      <c r="H235" s="608"/>
      <c r="I235" s="586"/>
      <c r="J235" s="586"/>
      <c r="K235" s="585"/>
      <c r="L235" s="585"/>
      <c r="M235" s="585"/>
      <c r="N235" s="585"/>
      <c r="O235" s="582"/>
      <c r="P235" s="582"/>
      <c r="Q235" s="582"/>
      <c r="R235" s="585"/>
      <c r="S235" s="585"/>
      <c r="T235" s="585"/>
      <c r="U235" s="585"/>
      <c r="V235" s="589"/>
      <c r="W235" s="585"/>
      <c r="X235" s="582"/>
      <c r="Y235" s="582"/>
      <c r="Z235" s="582"/>
    </row>
    <row r="236" ht="21.0" customHeight="1">
      <c r="A236" s="582"/>
      <c r="B236" s="608"/>
      <c r="C236" s="608"/>
      <c r="D236" s="608"/>
      <c r="E236" s="608"/>
      <c r="F236" s="609"/>
      <c r="G236" s="609"/>
      <c r="H236" s="608"/>
      <c r="I236" s="586"/>
      <c r="J236" s="586"/>
      <c r="K236" s="585"/>
      <c r="L236" s="585"/>
      <c r="M236" s="585"/>
      <c r="N236" s="585"/>
      <c r="O236" s="582"/>
      <c r="P236" s="582"/>
      <c r="Q236" s="582"/>
      <c r="R236" s="585"/>
      <c r="S236" s="585"/>
      <c r="T236" s="585"/>
      <c r="U236" s="585"/>
      <c r="V236" s="589"/>
      <c r="W236" s="585"/>
      <c r="X236" s="582"/>
      <c r="Y236" s="582"/>
      <c r="Z236" s="582"/>
    </row>
    <row r="237" ht="21.0" customHeight="1">
      <c r="A237" s="582"/>
      <c r="B237" s="608"/>
      <c r="C237" s="608"/>
      <c r="D237" s="608"/>
      <c r="E237" s="608"/>
      <c r="F237" s="609"/>
      <c r="G237" s="609"/>
      <c r="H237" s="608"/>
      <c r="I237" s="586"/>
      <c r="J237" s="586"/>
      <c r="K237" s="585"/>
      <c r="L237" s="585"/>
      <c r="M237" s="585"/>
      <c r="N237" s="585"/>
      <c r="O237" s="582"/>
      <c r="P237" s="582"/>
      <c r="Q237" s="582"/>
      <c r="R237" s="585"/>
      <c r="S237" s="585"/>
      <c r="T237" s="585"/>
      <c r="U237" s="585"/>
      <c r="V237" s="589"/>
      <c r="W237" s="585"/>
      <c r="X237" s="582"/>
      <c r="Y237" s="582"/>
      <c r="Z237" s="582"/>
    </row>
    <row r="238" ht="21.0" customHeight="1">
      <c r="A238" s="582"/>
      <c r="B238" s="608"/>
      <c r="C238" s="608"/>
      <c r="D238" s="608"/>
      <c r="E238" s="608"/>
      <c r="F238" s="609"/>
      <c r="G238" s="609"/>
      <c r="H238" s="608"/>
      <c r="I238" s="586"/>
      <c r="J238" s="586"/>
      <c r="K238" s="585"/>
      <c r="L238" s="585"/>
      <c r="M238" s="585"/>
      <c r="N238" s="585"/>
      <c r="O238" s="582"/>
      <c r="P238" s="582"/>
      <c r="Q238" s="582"/>
      <c r="R238" s="585"/>
      <c r="S238" s="585"/>
      <c r="T238" s="585"/>
      <c r="U238" s="585"/>
      <c r="V238" s="589"/>
      <c r="W238" s="585"/>
      <c r="X238" s="582"/>
      <c r="Y238" s="582"/>
      <c r="Z238" s="582"/>
    </row>
    <row r="239" ht="21.0" customHeight="1">
      <c r="A239" s="582"/>
      <c r="B239" s="608"/>
      <c r="C239" s="608"/>
      <c r="D239" s="608"/>
      <c r="E239" s="608"/>
      <c r="F239" s="609"/>
      <c r="G239" s="609"/>
      <c r="H239" s="608"/>
      <c r="I239" s="586"/>
      <c r="J239" s="586"/>
      <c r="K239" s="585"/>
      <c r="L239" s="585"/>
      <c r="M239" s="585"/>
      <c r="N239" s="585"/>
      <c r="O239" s="582"/>
      <c r="P239" s="582"/>
      <c r="Q239" s="582"/>
      <c r="R239" s="585"/>
      <c r="S239" s="585"/>
      <c r="T239" s="585"/>
      <c r="U239" s="585"/>
      <c r="V239" s="589"/>
      <c r="W239" s="585"/>
      <c r="X239" s="582"/>
      <c r="Y239" s="582"/>
      <c r="Z239" s="582"/>
    </row>
    <row r="240" ht="21.0" customHeight="1">
      <c r="A240" s="582"/>
      <c r="B240" s="608"/>
      <c r="C240" s="608"/>
      <c r="D240" s="608"/>
      <c r="E240" s="608"/>
      <c r="F240" s="609"/>
      <c r="G240" s="609"/>
      <c r="H240" s="608"/>
      <c r="I240" s="586"/>
      <c r="J240" s="586"/>
      <c r="K240" s="585"/>
      <c r="L240" s="585"/>
      <c r="M240" s="585"/>
      <c r="N240" s="585"/>
      <c r="O240" s="582"/>
      <c r="P240" s="582"/>
      <c r="Q240" s="582"/>
      <c r="R240" s="585"/>
      <c r="S240" s="585"/>
      <c r="T240" s="585"/>
      <c r="U240" s="585"/>
      <c r="V240" s="589"/>
      <c r="W240" s="585"/>
      <c r="X240" s="582"/>
      <c r="Y240" s="582"/>
      <c r="Z240" s="582"/>
    </row>
    <row r="241" ht="21.0" customHeight="1">
      <c r="A241" s="582"/>
      <c r="B241" s="608"/>
      <c r="C241" s="608"/>
      <c r="D241" s="608"/>
      <c r="E241" s="608"/>
      <c r="F241" s="609"/>
      <c r="G241" s="609"/>
      <c r="H241" s="608"/>
      <c r="I241" s="586"/>
      <c r="J241" s="586"/>
      <c r="K241" s="585"/>
      <c r="L241" s="585"/>
      <c r="M241" s="585"/>
      <c r="N241" s="585"/>
      <c r="O241" s="582"/>
      <c r="P241" s="582"/>
      <c r="Q241" s="582"/>
      <c r="R241" s="585"/>
      <c r="S241" s="585"/>
      <c r="T241" s="585"/>
      <c r="U241" s="585"/>
      <c r="V241" s="589"/>
      <c r="W241" s="585"/>
      <c r="X241" s="582"/>
      <c r="Y241" s="582"/>
      <c r="Z241" s="582"/>
    </row>
    <row r="242" ht="21.0" customHeight="1">
      <c r="A242" s="582"/>
      <c r="B242" s="608"/>
      <c r="C242" s="608"/>
      <c r="D242" s="608"/>
      <c r="E242" s="608"/>
      <c r="F242" s="609"/>
      <c r="G242" s="609"/>
      <c r="H242" s="608"/>
      <c r="I242" s="586"/>
      <c r="J242" s="586"/>
      <c r="K242" s="585"/>
      <c r="L242" s="585"/>
      <c r="M242" s="585"/>
      <c r="N242" s="585"/>
      <c r="O242" s="582"/>
      <c r="P242" s="582"/>
      <c r="Q242" s="582"/>
      <c r="R242" s="585"/>
      <c r="S242" s="585"/>
      <c r="T242" s="585"/>
      <c r="U242" s="585"/>
      <c r="V242" s="589"/>
      <c r="W242" s="585"/>
      <c r="X242" s="582"/>
      <c r="Y242" s="582"/>
      <c r="Z242" s="582"/>
    </row>
    <row r="243" ht="21.0" customHeight="1">
      <c r="A243" s="582"/>
      <c r="B243" s="608"/>
      <c r="C243" s="608"/>
      <c r="D243" s="608"/>
      <c r="E243" s="608"/>
      <c r="F243" s="609"/>
      <c r="G243" s="609"/>
      <c r="H243" s="608"/>
      <c r="I243" s="586"/>
      <c r="J243" s="586"/>
      <c r="K243" s="585"/>
      <c r="L243" s="585"/>
      <c r="M243" s="585"/>
      <c r="N243" s="585"/>
      <c r="O243" s="582"/>
      <c r="P243" s="582"/>
      <c r="Q243" s="582"/>
      <c r="R243" s="585"/>
      <c r="S243" s="585"/>
      <c r="T243" s="585"/>
      <c r="U243" s="585"/>
      <c r="V243" s="589"/>
      <c r="W243" s="585"/>
      <c r="X243" s="582"/>
      <c r="Y243" s="582"/>
      <c r="Z243" s="582"/>
    </row>
    <row r="244" ht="21.0" customHeight="1">
      <c r="A244" s="582"/>
      <c r="B244" s="608"/>
      <c r="C244" s="608"/>
      <c r="D244" s="608"/>
      <c r="E244" s="608"/>
      <c r="F244" s="609"/>
      <c r="G244" s="609"/>
      <c r="H244" s="608"/>
      <c r="I244" s="586"/>
      <c r="J244" s="586"/>
      <c r="K244" s="585"/>
      <c r="L244" s="585"/>
      <c r="M244" s="585"/>
      <c r="N244" s="585"/>
      <c r="O244" s="582"/>
      <c r="P244" s="582"/>
      <c r="Q244" s="582"/>
      <c r="R244" s="585"/>
      <c r="S244" s="585"/>
      <c r="T244" s="585"/>
      <c r="U244" s="585"/>
      <c r="V244" s="589"/>
      <c r="W244" s="585"/>
      <c r="X244" s="582"/>
      <c r="Y244" s="582"/>
      <c r="Z244" s="582"/>
    </row>
    <row r="245" ht="21.0" customHeight="1">
      <c r="A245" s="582"/>
      <c r="B245" s="608"/>
      <c r="C245" s="608"/>
      <c r="D245" s="608"/>
      <c r="E245" s="608"/>
      <c r="F245" s="609"/>
      <c r="G245" s="609"/>
      <c r="H245" s="608"/>
      <c r="I245" s="586"/>
      <c r="J245" s="586"/>
      <c r="K245" s="585"/>
      <c r="L245" s="585"/>
      <c r="M245" s="585"/>
      <c r="N245" s="585"/>
      <c r="O245" s="582"/>
      <c r="P245" s="582"/>
      <c r="Q245" s="582"/>
      <c r="R245" s="585"/>
      <c r="S245" s="585"/>
      <c r="T245" s="585"/>
      <c r="U245" s="585"/>
      <c r="V245" s="589"/>
      <c r="W245" s="585"/>
      <c r="X245" s="582"/>
      <c r="Y245" s="582"/>
      <c r="Z245" s="582"/>
    </row>
    <row r="246" ht="21.0" customHeight="1">
      <c r="A246" s="582"/>
      <c r="B246" s="608"/>
      <c r="C246" s="608"/>
      <c r="D246" s="608"/>
      <c r="E246" s="608"/>
      <c r="F246" s="609"/>
      <c r="G246" s="609"/>
      <c r="H246" s="608"/>
      <c r="I246" s="586"/>
      <c r="J246" s="586"/>
      <c r="K246" s="585"/>
      <c r="L246" s="585"/>
      <c r="M246" s="585"/>
      <c r="N246" s="585"/>
      <c r="O246" s="582"/>
      <c r="P246" s="582"/>
      <c r="Q246" s="582"/>
      <c r="R246" s="585"/>
      <c r="S246" s="585"/>
      <c r="T246" s="585"/>
      <c r="U246" s="585"/>
      <c r="V246" s="589"/>
      <c r="W246" s="585"/>
      <c r="X246" s="582"/>
      <c r="Y246" s="582"/>
      <c r="Z246" s="582"/>
    </row>
    <row r="247" ht="21.0" customHeight="1">
      <c r="A247" s="582"/>
      <c r="B247" s="608"/>
      <c r="C247" s="608"/>
      <c r="D247" s="608"/>
      <c r="E247" s="608"/>
      <c r="F247" s="609"/>
      <c r="G247" s="609"/>
      <c r="H247" s="608"/>
      <c r="I247" s="586"/>
      <c r="J247" s="586"/>
      <c r="K247" s="585"/>
      <c r="L247" s="585"/>
      <c r="M247" s="585"/>
      <c r="N247" s="585"/>
      <c r="O247" s="582"/>
      <c r="P247" s="582"/>
      <c r="Q247" s="582"/>
      <c r="R247" s="585"/>
      <c r="S247" s="585"/>
      <c r="T247" s="585"/>
      <c r="U247" s="585"/>
      <c r="V247" s="589"/>
      <c r="W247" s="585"/>
      <c r="X247" s="582"/>
      <c r="Y247" s="582"/>
      <c r="Z247" s="582"/>
    </row>
    <row r="248" ht="21.0" customHeight="1">
      <c r="A248" s="582"/>
      <c r="B248" s="608"/>
      <c r="C248" s="608"/>
      <c r="D248" s="608"/>
      <c r="E248" s="608"/>
      <c r="F248" s="609"/>
      <c r="G248" s="609"/>
      <c r="H248" s="608"/>
      <c r="I248" s="586"/>
      <c r="J248" s="586"/>
      <c r="K248" s="585"/>
      <c r="L248" s="585"/>
      <c r="M248" s="585"/>
      <c r="N248" s="585"/>
      <c r="O248" s="582"/>
      <c r="P248" s="582"/>
      <c r="Q248" s="582"/>
      <c r="R248" s="585"/>
      <c r="S248" s="585"/>
      <c r="T248" s="585"/>
      <c r="U248" s="585"/>
      <c r="V248" s="589"/>
      <c r="W248" s="585"/>
      <c r="X248" s="582"/>
      <c r="Y248" s="582"/>
      <c r="Z248" s="582"/>
    </row>
    <row r="249" ht="21.0" customHeight="1">
      <c r="A249" s="582"/>
      <c r="B249" s="608"/>
      <c r="C249" s="608"/>
      <c r="D249" s="608"/>
      <c r="E249" s="608"/>
      <c r="F249" s="609"/>
      <c r="G249" s="609"/>
      <c r="H249" s="608"/>
      <c r="I249" s="586"/>
      <c r="J249" s="586"/>
      <c r="K249" s="585"/>
      <c r="L249" s="585"/>
      <c r="M249" s="585"/>
      <c r="N249" s="585"/>
      <c r="O249" s="582"/>
      <c r="P249" s="582"/>
      <c r="Q249" s="582"/>
      <c r="R249" s="585"/>
      <c r="S249" s="585"/>
      <c r="T249" s="585"/>
      <c r="U249" s="585"/>
      <c r="V249" s="589"/>
      <c r="W249" s="585"/>
      <c r="X249" s="582"/>
      <c r="Y249" s="582"/>
      <c r="Z249" s="582"/>
    </row>
    <row r="250" ht="21.0" customHeight="1">
      <c r="A250" s="582"/>
      <c r="B250" s="608"/>
      <c r="C250" s="608"/>
      <c r="D250" s="608"/>
      <c r="E250" s="608"/>
      <c r="F250" s="609"/>
      <c r="G250" s="609"/>
      <c r="H250" s="608"/>
      <c r="I250" s="586"/>
      <c r="J250" s="586"/>
      <c r="K250" s="585"/>
      <c r="L250" s="585"/>
      <c r="M250" s="585"/>
      <c r="N250" s="585"/>
      <c r="O250" s="582"/>
      <c r="P250" s="582"/>
      <c r="Q250" s="582"/>
      <c r="R250" s="585"/>
      <c r="S250" s="585"/>
      <c r="T250" s="585"/>
      <c r="U250" s="585"/>
      <c r="V250" s="589"/>
      <c r="W250" s="585"/>
      <c r="X250" s="582"/>
      <c r="Y250" s="582"/>
      <c r="Z250" s="582"/>
    </row>
    <row r="251" ht="21.0" customHeight="1">
      <c r="A251" s="582"/>
      <c r="B251" s="608"/>
      <c r="C251" s="608"/>
      <c r="D251" s="608"/>
      <c r="E251" s="608"/>
      <c r="F251" s="609"/>
      <c r="G251" s="609"/>
      <c r="H251" s="608"/>
      <c r="I251" s="586"/>
      <c r="J251" s="586"/>
      <c r="K251" s="585"/>
      <c r="L251" s="585"/>
      <c r="M251" s="585"/>
      <c r="N251" s="585"/>
      <c r="O251" s="582"/>
      <c r="P251" s="582"/>
      <c r="Q251" s="582"/>
      <c r="R251" s="585"/>
      <c r="S251" s="585"/>
      <c r="T251" s="585"/>
      <c r="U251" s="585"/>
      <c r="V251" s="589"/>
      <c r="W251" s="585"/>
      <c r="X251" s="582"/>
      <c r="Y251" s="582"/>
      <c r="Z251" s="582"/>
    </row>
    <row r="252" ht="21.0" customHeight="1">
      <c r="A252" s="582"/>
      <c r="B252" s="608"/>
      <c r="C252" s="608"/>
      <c r="D252" s="608"/>
      <c r="E252" s="608"/>
      <c r="F252" s="609"/>
      <c r="G252" s="609"/>
      <c r="H252" s="608"/>
      <c r="I252" s="586"/>
      <c r="J252" s="586"/>
      <c r="K252" s="585"/>
      <c r="L252" s="585"/>
      <c r="M252" s="585"/>
      <c r="N252" s="585"/>
      <c r="O252" s="582"/>
      <c r="P252" s="582"/>
      <c r="Q252" s="582"/>
      <c r="R252" s="585"/>
      <c r="S252" s="585"/>
      <c r="T252" s="585"/>
      <c r="U252" s="585"/>
      <c r="V252" s="589"/>
      <c r="W252" s="585"/>
      <c r="X252" s="582"/>
      <c r="Y252" s="582"/>
      <c r="Z252" s="582"/>
    </row>
    <row r="253" ht="21.0" customHeight="1">
      <c r="A253" s="582"/>
      <c r="B253" s="610"/>
      <c r="C253" s="610"/>
      <c r="D253" s="610"/>
      <c r="E253" s="610"/>
      <c r="F253" s="611"/>
      <c r="G253" s="611"/>
      <c r="H253" s="610"/>
      <c r="I253" s="612"/>
      <c r="J253" s="612"/>
      <c r="K253" s="585"/>
      <c r="L253" s="585"/>
      <c r="M253" s="585"/>
      <c r="N253" s="585"/>
      <c r="O253" s="582"/>
      <c r="P253" s="582"/>
      <c r="Q253" s="582"/>
      <c r="R253" s="585"/>
      <c r="S253" s="585"/>
      <c r="T253" s="585"/>
      <c r="U253" s="585"/>
      <c r="V253" s="589"/>
      <c r="W253" s="585"/>
      <c r="X253" s="582"/>
      <c r="Y253" s="582"/>
      <c r="Z253" s="582"/>
    </row>
    <row r="254" ht="21.0" customHeight="1">
      <c r="A254" s="582"/>
      <c r="B254" s="610"/>
      <c r="C254" s="610"/>
      <c r="D254" s="610"/>
      <c r="E254" s="610"/>
      <c r="F254" s="611"/>
      <c r="G254" s="611"/>
      <c r="H254" s="610"/>
      <c r="I254" s="612"/>
      <c r="J254" s="612"/>
      <c r="K254" s="585"/>
      <c r="L254" s="585"/>
      <c r="M254" s="585"/>
      <c r="N254" s="585"/>
      <c r="O254" s="582"/>
      <c r="P254" s="582"/>
      <c r="Q254" s="582"/>
      <c r="R254" s="585"/>
      <c r="S254" s="585"/>
      <c r="T254" s="585"/>
      <c r="U254" s="585"/>
      <c r="V254" s="585"/>
      <c r="W254" s="585"/>
      <c r="X254" s="582"/>
      <c r="Y254" s="582"/>
      <c r="Z254" s="582"/>
    </row>
    <row r="255" ht="21.0" customHeight="1">
      <c r="A255" s="582"/>
      <c r="B255" s="610"/>
      <c r="C255" s="610"/>
      <c r="D255" s="610"/>
      <c r="E255" s="610"/>
      <c r="F255" s="611"/>
      <c r="G255" s="611"/>
      <c r="H255" s="610"/>
      <c r="I255" s="612"/>
      <c r="J255" s="612"/>
      <c r="K255" s="585"/>
      <c r="L255" s="585"/>
      <c r="M255" s="585"/>
      <c r="N255" s="585"/>
      <c r="O255" s="582"/>
      <c r="P255" s="582"/>
      <c r="Q255" s="582"/>
      <c r="R255" s="585"/>
      <c r="S255" s="585"/>
      <c r="T255" s="585"/>
      <c r="U255" s="585"/>
      <c r="V255" s="585"/>
      <c r="W255" s="585"/>
      <c r="X255" s="582"/>
      <c r="Y255" s="582"/>
      <c r="Z255" s="582"/>
    </row>
    <row r="256" ht="21.0" customHeight="1">
      <c r="A256" s="582"/>
      <c r="B256" s="610"/>
      <c r="C256" s="610"/>
      <c r="D256" s="610"/>
      <c r="E256" s="610"/>
      <c r="F256" s="611"/>
      <c r="G256" s="611"/>
      <c r="H256" s="610"/>
      <c r="I256" s="612"/>
      <c r="J256" s="612"/>
      <c r="K256" s="585"/>
      <c r="L256" s="585"/>
      <c r="M256" s="585"/>
      <c r="N256" s="585"/>
      <c r="O256" s="582"/>
      <c r="P256" s="582"/>
      <c r="Q256" s="582"/>
      <c r="R256" s="585"/>
      <c r="S256" s="585"/>
      <c r="T256" s="585"/>
      <c r="U256" s="585"/>
      <c r="V256" s="585"/>
      <c r="W256" s="585"/>
      <c r="X256" s="582"/>
      <c r="Y256" s="582"/>
      <c r="Z256" s="582"/>
    </row>
    <row r="257" ht="21.0" customHeight="1">
      <c r="A257" s="582"/>
      <c r="B257" s="610"/>
      <c r="C257" s="610"/>
      <c r="D257" s="610"/>
      <c r="E257" s="610"/>
      <c r="F257" s="611"/>
      <c r="G257" s="611"/>
      <c r="H257" s="610"/>
      <c r="I257" s="612"/>
      <c r="J257" s="612"/>
      <c r="K257" s="585"/>
      <c r="L257" s="585"/>
      <c r="M257" s="585"/>
      <c r="N257" s="585"/>
      <c r="O257" s="582"/>
      <c r="P257" s="582"/>
      <c r="Q257" s="582"/>
      <c r="R257" s="585"/>
      <c r="S257" s="585"/>
      <c r="T257" s="585"/>
      <c r="U257" s="585"/>
      <c r="V257" s="585"/>
      <c r="W257" s="585"/>
      <c r="X257" s="582"/>
      <c r="Y257" s="582"/>
      <c r="Z257" s="582"/>
    </row>
    <row r="258" ht="21.0" customHeight="1">
      <c r="A258" s="582"/>
      <c r="B258" s="613"/>
      <c r="C258" s="613"/>
      <c r="D258" s="613"/>
      <c r="E258" s="613"/>
      <c r="F258" s="614"/>
      <c r="G258" s="614"/>
      <c r="H258" s="613"/>
      <c r="I258" s="615"/>
      <c r="J258" s="615"/>
      <c r="K258" s="585"/>
      <c r="L258" s="585"/>
      <c r="M258" s="585"/>
      <c r="N258" s="585"/>
      <c r="O258" s="582"/>
      <c r="P258" s="582"/>
      <c r="Q258" s="582"/>
      <c r="R258" s="585"/>
      <c r="S258" s="585"/>
      <c r="T258" s="585"/>
      <c r="U258" s="585"/>
      <c r="V258" s="585"/>
      <c r="W258" s="585"/>
      <c r="X258" s="582"/>
      <c r="Y258" s="582"/>
      <c r="Z258" s="582"/>
    </row>
    <row r="259" ht="21.0" customHeight="1">
      <c r="A259" s="582"/>
      <c r="B259" s="613"/>
      <c r="C259" s="613"/>
      <c r="D259" s="613"/>
      <c r="E259" s="613"/>
      <c r="F259" s="614"/>
      <c r="G259" s="614"/>
      <c r="H259" s="613"/>
      <c r="I259" s="615"/>
      <c r="J259" s="615"/>
      <c r="K259" s="585"/>
      <c r="L259" s="585"/>
      <c r="M259" s="585"/>
      <c r="N259" s="585"/>
      <c r="O259" s="582"/>
      <c r="P259" s="582"/>
      <c r="Q259" s="582"/>
      <c r="R259" s="585"/>
      <c r="S259" s="585"/>
      <c r="T259" s="585"/>
      <c r="U259" s="585"/>
      <c r="V259" s="585"/>
      <c r="W259" s="585"/>
      <c r="X259" s="582"/>
      <c r="Y259" s="582"/>
      <c r="Z259" s="582"/>
    </row>
    <row r="260" ht="21.0" customHeight="1">
      <c r="A260" s="582"/>
      <c r="B260" s="613"/>
      <c r="C260" s="613"/>
      <c r="D260" s="613"/>
      <c r="E260" s="613"/>
      <c r="F260" s="614"/>
      <c r="G260" s="614"/>
      <c r="H260" s="613"/>
      <c r="I260" s="615"/>
      <c r="J260" s="615"/>
      <c r="K260" s="585"/>
      <c r="L260" s="585"/>
      <c r="M260" s="585"/>
      <c r="N260" s="585"/>
      <c r="O260" s="582"/>
      <c r="P260" s="582"/>
      <c r="Q260" s="582"/>
      <c r="R260" s="585"/>
      <c r="S260" s="585"/>
      <c r="T260" s="585"/>
      <c r="U260" s="585"/>
      <c r="V260" s="585"/>
      <c r="W260" s="585"/>
      <c r="X260" s="582"/>
      <c r="Y260" s="582"/>
      <c r="Z260" s="582"/>
    </row>
    <row r="261" ht="21.0" customHeight="1">
      <c r="A261" s="582"/>
      <c r="B261" s="613"/>
      <c r="C261" s="613"/>
      <c r="D261" s="613"/>
      <c r="E261" s="613"/>
      <c r="F261" s="614"/>
      <c r="G261" s="614"/>
      <c r="H261" s="613"/>
      <c r="I261" s="615"/>
      <c r="J261" s="615"/>
      <c r="K261" s="585"/>
      <c r="L261" s="585"/>
      <c r="M261" s="585"/>
      <c r="N261" s="585"/>
      <c r="O261" s="582"/>
      <c r="P261" s="582"/>
      <c r="Q261" s="582"/>
      <c r="R261" s="585"/>
      <c r="S261" s="585"/>
      <c r="T261" s="585"/>
      <c r="U261" s="585"/>
      <c r="V261" s="585"/>
      <c r="W261" s="585"/>
      <c r="X261" s="582"/>
      <c r="Y261" s="582"/>
      <c r="Z261" s="582"/>
    </row>
    <row r="262" ht="21.0" customHeight="1">
      <c r="A262" s="582"/>
      <c r="B262" s="613"/>
      <c r="C262" s="613"/>
      <c r="D262" s="613"/>
      <c r="E262" s="613"/>
      <c r="F262" s="614"/>
      <c r="G262" s="614"/>
      <c r="H262" s="613"/>
      <c r="I262" s="615"/>
      <c r="J262" s="615"/>
      <c r="K262" s="585"/>
      <c r="L262" s="585"/>
      <c r="M262" s="585"/>
      <c r="N262" s="585"/>
      <c r="O262" s="582"/>
      <c r="P262" s="582"/>
      <c r="Q262" s="582"/>
      <c r="R262" s="585"/>
      <c r="S262" s="585"/>
      <c r="T262" s="585"/>
      <c r="U262" s="585"/>
      <c r="V262" s="585"/>
      <c r="W262" s="585"/>
      <c r="X262" s="582"/>
      <c r="Y262" s="582"/>
      <c r="Z262" s="582"/>
    </row>
    <row r="263" ht="21.0" customHeight="1">
      <c r="A263" s="582"/>
      <c r="B263" s="613"/>
      <c r="C263" s="613"/>
      <c r="D263" s="613"/>
      <c r="E263" s="613"/>
      <c r="F263" s="614"/>
      <c r="G263" s="614"/>
      <c r="H263" s="613"/>
      <c r="I263" s="615"/>
      <c r="J263" s="615"/>
      <c r="K263" s="585"/>
      <c r="L263" s="585"/>
      <c r="M263" s="585"/>
      <c r="N263" s="585"/>
      <c r="O263" s="582"/>
      <c r="P263" s="582"/>
      <c r="Q263" s="582"/>
      <c r="R263" s="585"/>
      <c r="S263" s="585"/>
      <c r="T263" s="585"/>
      <c r="U263" s="585"/>
      <c r="V263" s="585"/>
      <c r="W263" s="585"/>
      <c r="X263" s="582"/>
      <c r="Y263" s="582"/>
      <c r="Z263" s="582"/>
    </row>
    <row r="264" ht="21.0" customHeight="1">
      <c r="A264" s="582"/>
      <c r="B264" s="613"/>
      <c r="C264" s="613"/>
      <c r="D264" s="613"/>
      <c r="E264" s="613"/>
      <c r="F264" s="614"/>
      <c r="G264" s="614"/>
      <c r="H264" s="613"/>
      <c r="I264" s="615"/>
      <c r="J264" s="615"/>
      <c r="K264" s="585"/>
      <c r="L264" s="585"/>
      <c r="M264" s="585"/>
      <c r="N264" s="585"/>
      <c r="O264" s="582"/>
      <c r="P264" s="582"/>
      <c r="Q264" s="582"/>
      <c r="R264" s="585"/>
      <c r="S264" s="585"/>
      <c r="T264" s="585"/>
      <c r="U264" s="585"/>
      <c r="V264" s="585"/>
      <c r="W264" s="585"/>
      <c r="X264" s="582"/>
      <c r="Y264" s="582"/>
      <c r="Z264" s="582"/>
    </row>
    <row r="265" ht="21.0" customHeight="1">
      <c r="A265" s="582"/>
      <c r="B265" s="613"/>
      <c r="C265" s="613"/>
      <c r="D265" s="613"/>
      <c r="E265" s="613"/>
      <c r="F265" s="614"/>
      <c r="G265" s="614"/>
      <c r="H265" s="613"/>
      <c r="I265" s="615"/>
      <c r="J265" s="615"/>
      <c r="K265" s="585"/>
      <c r="L265" s="585"/>
      <c r="M265" s="585"/>
      <c r="N265" s="585"/>
      <c r="O265" s="582"/>
      <c r="P265" s="582"/>
      <c r="Q265" s="582"/>
      <c r="R265" s="585"/>
      <c r="S265" s="585"/>
      <c r="T265" s="585"/>
      <c r="U265" s="585"/>
      <c r="V265" s="585"/>
      <c r="W265" s="585"/>
      <c r="X265" s="582"/>
      <c r="Y265" s="582"/>
      <c r="Z265" s="582"/>
    </row>
    <row r="266" ht="21.0" customHeight="1">
      <c r="A266" s="582"/>
      <c r="B266" s="613"/>
      <c r="C266" s="613"/>
      <c r="D266" s="613"/>
      <c r="E266" s="613"/>
      <c r="F266" s="614"/>
      <c r="G266" s="614"/>
      <c r="H266" s="613"/>
      <c r="I266" s="615"/>
      <c r="J266" s="615"/>
      <c r="K266" s="585"/>
      <c r="L266" s="585"/>
      <c r="M266" s="585"/>
      <c r="N266" s="585"/>
      <c r="O266" s="582"/>
      <c r="P266" s="582"/>
      <c r="Q266" s="582"/>
      <c r="R266" s="585"/>
      <c r="S266" s="585"/>
      <c r="T266" s="585"/>
      <c r="U266" s="585"/>
      <c r="V266" s="585"/>
      <c r="W266" s="585"/>
      <c r="X266" s="582"/>
      <c r="Y266" s="582"/>
      <c r="Z266" s="582"/>
    </row>
    <row r="267" ht="21.0" customHeight="1">
      <c r="A267" s="582"/>
      <c r="B267" s="613"/>
      <c r="C267" s="613"/>
      <c r="D267" s="613"/>
      <c r="E267" s="613"/>
      <c r="F267" s="614"/>
      <c r="G267" s="614"/>
      <c r="H267" s="613"/>
      <c r="I267" s="615"/>
      <c r="J267" s="615"/>
      <c r="K267" s="585"/>
      <c r="L267" s="585"/>
      <c r="M267" s="585"/>
      <c r="N267" s="585"/>
      <c r="O267" s="582"/>
      <c r="P267" s="582"/>
      <c r="Q267" s="582"/>
      <c r="R267" s="585"/>
      <c r="S267" s="585"/>
      <c r="T267" s="585"/>
      <c r="U267" s="585"/>
      <c r="V267" s="585"/>
      <c r="W267" s="585"/>
      <c r="X267" s="582"/>
      <c r="Y267" s="582"/>
      <c r="Z267" s="582"/>
    </row>
    <row r="268" ht="21.0" customHeight="1">
      <c r="A268" s="582"/>
      <c r="B268" s="613"/>
      <c r="C268" s="613"/>
      <c r="D268" s="613"/>
      <c r="E268" s="613"/>
      <c r="F268" s="614"/>
      <c r="G268" s="614"/>
      <c r="H268" s="613"/>
      <c r="I268" s="615"/>
      <c r="J268" s="615"/>
      <c r="K268" s="585"/>
      <c r="L268" s="585"/>
      <c r="M268" s="585"/>
      <c r="N268" s="585"/>
      <c r="O268" s="582"/>
      <c r="P268" s="582"/>
      <c r="Q268" s="582"/>
      <c r="R268" s="585"/>
      <c r="S268" s="585"/>
      <c r="T268" s="585"/>
      <c r="U268" s="585"/>
      <c r="V268" s="585"/>
      <c r="W268" s="585"/>
      <c r="X268" s="582"/>
      <c r="Y268" s="582"/>
      <c r="Z268" s="582"/>
    </row>
    <row r="269" ht="21.0" customHeight="1">
      <c r="A269" s="582"/>
      <c r="B269" s="613"/>
      <c r="C269" s="613"/>
      <c r="D269" s="613"/>
      <c r="E269" s="613"/>
      <c r="F269" s="614"/>
      <c r="G269" s="614"/>
      <c r="H269" s="613"/>
      <c r="I269" s="615"/>
      <c r="J269" s="615"/>
      <c r="K269" s="585"/>
      <c r="L269" s="585"/>
      <c r="M269" s="585"/>
      <c r="N269" s="585"/>
      <c r="O269" s="582"/>
      <c r="P269" s="582"/>
      <c r="Q269" s="582"/>
      <c r="R269" s="585"/>
      <c r="S269" s="585"/>
      <c r="T269" s="585"/>
      <c r="U269" s="585"/>
      <c r="V269" s="585"/>
      <c r="W269" s="585"/>
      <c r="X269" s="582"/>
      <c r="Y269" s="582"/>
      <c r="Z269" s="582"/>
    </row>
    <row r="270" ht="21.0" customHeight="1">
      <c r="A270" s="582"/>
      <c r="B270" s="613"/>
      <c r="C270" s="613"/>
      <c r="D270" s="613"/>
      <c r="E270" s="613"/>
      <c r="F270" s="614"/>
      <c r="G270" s="614"/>
      <c r="H270" s="613"/>
      <c r="I270" s="615"/>
      <c r="J270" s="615"/>
      <c r="K270" s="585"/>
      <c r="L270" s="585"/>
      <c r="M270" s="585"/>
      <c r="N270" s="585"/>
      <c r="O270" s="582"/>
      <c r="P270" s="582"/>
      <c r="Q270" s="582"/>
      <c r="R270" s="585"/>
      <c r="S270" s="585"/>
      <c r="T270" s="585"/>
      <c r="U270" s="585"/>
      <c r="V270" s="585"/>
      <c r="W270" s="585"/>
      <c r="X270" s="582"/>
      <c r="Y270" s="582"/>
      <c r="Z270" s="582"/>
    </row>
    <row r="271" ht="21.0" customHeight="1">
      <c r="A271" s="582"/>
      <c r="B271" s="613"/>
      <c r="C271" s="613"/>
      <c r="D271" s="613"/>
      <c r="E271" s="613"/>
      <c r="F271" s="614"/>
      <c r="G271" s="614"/>
      <c r="H271" s="613"/>
      <c r="I271" s="615"/>
      <c r="J271" s="615"/>
      <c r="K271" s="585"/>
      <c r="L271" s="585"/>
      <c r="M271" s="585"/>
      <c r="N271" s="585"/>
      <c r="O271" s="582"/>
      <c r="P271" s="582"/>
      <c r="Q271" s="582"/>
      <c r="R271" s="585"/>
      <c r="S271" s="585"/>
      <c r="T271" s="585"/>
      <c r="U271" s="585"/>
      <c r="V271" s="585"/>
      <c r="W271" s="585"/>
      <c r="X271" s="582"/>
      <c r="Y271" s="582"/>
      <c r="Z271" s="582"/>
    </row>
    <row r="272" ht="21.0" customHeight="1">
      <c r="A272" s="582"/>
      <c r="B272" s="613"/>
      <c r="C272" s="613"/>
      <c r="D272" s="613"/>
      <c r="E272" s="613"/>
      <c r="F272" s="614"/>
      <c r="G272" s="614"/>
      <c r="H272" s="613"/>
      <c r="I272" s="615"/>
      <c r="J272" s="615"/>
      <c r="K272" s="585"/>
      <c r="L272" s="585"/>
      <c r="M272" s="585"/>
      <c r="N272" s="585"/>
      <c r="O272" s="582"/>
      <c r="P272" s="582"/>
      <c r="Q272" s="582"/>
      <c r="R272" s="585"/>
      <c r="S272" s="585"/>
      <c r="T272" s="585"/>
      <c r="U272" s="585"/>
      <c r="V272" s="585"/>
      <c r="W272" s="585"/>
      <c r="X272" s="582"/>
      <c r="Y272" s="582"/>
      <c r="Z272" s="582"/>
    </row>
    <row r="273" ht="21.0" customHeight="1">
      <c r="A273" s="582"/>
      <c r="B273" s="613"/>
      <c r="C273" s="613"/>
      <c r="D273" s="613"/>
      <c r="E273" s="613"/>
      <c r="F273" s="614"/>
      <c r="G273" s="614"/>
      <c r="H273" s="613"/>
      <c r="I273" s="615"/>
      <c r="J273" s="615"/>
      <c r="K273" s="585"/>
      <c r="L273" s="585"/>
      <c r="M273" s="585"/>
      <c r="N273" s="585"/>
      <c r="O273" s="582"/>
      <c r="P273" s="582"/>
      <c r="Q273" s="582"/>
      <c r="R273" s="585"/>
      <c r="S273" s="585"/>
      <c r="T273" s="585"/>
      <c r="U273" s="585"/>
      <c r="V273" s="585"/>
      <c r="W273" s="585"/>
      <c r="X273" s="582"/>
      <c r="Y273" s="582"/>
      <c r="Z273" s="582"/>
    </row>
    <row r="274" ht="21.0" customHeight="1">
      <c r="A274" s="582"/>
      <c r="B274" s="613"/>
      <c r="C274" s="613"/>
      <c r="D274" s="613"/>
      <c r="E274" s="613"/>
      <c r="F274" s="614"/>
      <c r="G274" s="614"/>
      <c r="H274" s="613"/>
      <c r="I274" s="615"/>
      <c r="J274" s="615"/>
      <c r="K274" s="585"/>
      <c r="L274" s="585"/>
      <c r="M274" s="585"/>
      <c r="N274" s="585"/>
      <c r="O274" s="582"/>
      <c r="P274" s="582"/>
      <c r="Q274" s="582"/>
      <c r="R274" s="585"/>
      <c r="S274" s="585"/>
      <c r="T274" s="585"/>
      <c r="U274" s="585"/>
      <c r="V274" s="585"/>
      <c r="W274" s="585"/>
      <c r="X274" s="582"/>
      <c r="Y274" s="582"/>
      <c r="Z274" s="582"/>
    </row>
    <row r="275" ht="21.0" customHeight="1">
      <c r="A275" s="582"/>
      <c r="B275" s="613"/>
      <c r="C275" s="613"/>
      <c r="D275" s="613"/>
      <c r="E275" s="613"/>
      <c r="F275" s="614"/>
      <c r="G275" s="614"/>
      <c r="H275" s="613"/>
      <c r="I275" s="615"/>
      <c r="J275" s="615"/>
      <c r="K275" s="585"/>
      <c r="L275" s="585"/>
      <c r="M275" s="585"/>
      <c r="N275" s="585"/>
      <c r="O275" s="582"/>
      <c r="P275" s="582"/>
      <c r="Q275" s="582"/>
      <c r="R275" s="585"/>
      <c r="S275" s="585"/>
      <c r="T275" s="585"/>
      <c r="U275" s="585"/>
      <c r="V275" s="585"/>
      <c r="W275" s="585"/>
      <c r="X275" s="582"/>
      <c r="Y275" s="582"/>
      <c r="Z275" s="582"/>
    </row>
    <row r="276" ht="21.0" customHeight="1">
      <c r="A276" s="582"/>
      <c r="B276" s="613"/>
      <c r="C276" s="613"/>
      <c r="D276" s="613"/>
      <c r="E276" s="613"/>
      <c r="F276" s="614"/>
      <c r="G276" s="614"/>
      <c r="H276" s="613"/>
      <c r="I276" s="615"/>
      <c r="J276" s="615"/>
      <c r="K276" s="585"/>
      <c r="L276" s="585"/>
      <c r="M276" s="585"/>
      <c r="N276" s="585"/>
      <c r="O276" s="582"/>
      <c r="P276" s="582"/>
      <c r="Q276" s="582"/>
      <c r="R276" s="585"/>
      <c r="S276" s="585"/>
      <c r="T276" s="585"/>
      <c r="U276" s="585"/>
      <c r="V276" s="585"/>
      <c r="W276" s="585"/>
      <c r="X276" s="582"/>
      <c r="Y276" s="582"/>
      <c r="Z276" s="582"/>
    </row>
    <row r="277" ht="21.0" customHeight="1">
      <c r="A277" s="582"/>
      <c r="B277" s="613"/>
      <c r="C277" s="613"/>
      <c r="D277" s="613"/>
      <c r="E277" s="613"/>
      <c r="F277" s="614"/>
      <c r="G277" s="614"/>
      <c r="H277" s="613"/>
      <c r="I277" s="615"/>
      <c r="J277" s="615"/>
      <c r="K277" s="585"/>
      <c r="L277" s="585"/>
      <c r="M277" s="585"/>
      <c r="N277" s="585"/>
      <c r="O277" s="582"/>
      <c r="P277" s="582"/>
      <c r="Q277" s="582"/>
      <c r="R277" s="585"/>
      <c r="S277" s="585"/>
      <c r="T277" s="585"/>
      <c r="U277" s="585"/>
      <c r="V277" s="585"/>
      <c r="W277" s="585"/>
      <c r="X277" s="582"/>
      <c r="Y277" s="582"/>
      <c r="Z277" s="582"/>
    </row>
    <row r="278" ht="21.0" customHeight="1">
      <c r="A278" s="582"/>
      <c r="B278" s="613"/>
      <c r="C278" s="613"/>
      <c r="D278" s="613"/>
      <c r="E278" s="613"/>
      <c r="F278" s="614"/>
      <c r="G278" s="614"/>
      <c r="H278" s="613"/>
      <c r="I278" s="615"/>
      <c r="J278" s="615"/>
      <c r="K278" s="585"/>
      <c r="L278" s="585"/>
      <c r="M278" s="585"/>
      <c r="N278" s="585"/>
      <c r="O278" s="582"/>
      <c r="P278" s="582"/>
      <c r="Q278" s="582"/>
      <c r="R278" s="585"/>
      <c r="S278" s="585"/>
      <c r="T278" s="585"/>
      <c r="U278" s="585"/>
      <c r="V278" s="585"/>
      <c r="W278" s="585"/>
      <c r="X278" s="582"/>
      <c r="Y278" s="582"/>
      <c r="Z278" s="582"/>
    </row>
    <row r="279" ht="21.0" customHeight="1">
      <c r="A279" s="582"/>
      <c r="B279" s="613"/>
      <c r="C279" s="613"/>
      <c r="D279" s="613"/>
      <c r="E279" s="613"/>
      <c r="F279" s="614"/>
      <c r="G279" s="614"/>
      <c r="H279" s="613"/>
      <c r="I279" s="615"/>
      <c r="J279" s="615"/>
      <c r="K279" s="585"/>
      <c r="L279" s="585"/>
      <c r="M279" s="585"/>
      <c r="N279" s="585"/>
      <c r="O279" s="582"/>
      <c r="P279" s="582"/>
      <c r="Q279" s="582"/>
      <c r="R279" s="585"/>
      <c r="S279" s="585"/>
      <c r="T279" s="585"/>
      <c r="U279" s="585"/>
      <c r="V279" s="585"/>
      <c r="W279" s="585"/>
      <c r="X279" s="582"/>
      <c r="Y279" s="582"/>
      <c r="Z279" s="582"/>
    </row>
    <row r="280" ht="21.0" customHeight="1">
      <c r="A280" s="582"/>
      <c r="B280" s="613"/>
      <c r="C280" s="613"/>
      <c r="D280" s="613"/>
      <c r="E280" s="613"/>
      <c r="F280" s="614"/>
      <c r="G280" s="614"/>
      <c r="H280" s="613"/>
      <c r="I280" s="615"/>
      <c r="J280" s="615"/>
      <c r="K280" s="585"/>
      <c r="L280" s="585"/>
      <c r="M280" s="585"/>
      <c r="N280" s="585"/>
      <c r="O280" s="582"/>
      <c r="P280" s="582"/>
      <c r="Q280" s="582"/>
      <c r="R280" s="585"/>
      <c r="S280" s="585"/>
      <c r="T280" s="585"/>
      <c r="U280" s="585"/>
      <c r="V280" s="585"/>
      <c r="W280" s="585"/>
      <c r="X280" s="582"/>
      <c r="Y280" s="582"/>
      <c r="Z280" s="582"/>
    </row>
    <row r="281" ht="21.0" customHeight="1">
      <c r="A281" s="582"/>
      <c r="B281" s="613"/>
      <c r="C281" s="613"/>
      <c r="D281" s="613"/>
      <c r="E281" s="613"/>
      <c r="F281" s="614"/>
      <c r="G281" s="614"/>
      <c r="H281" s="613"/>
      <c r="I281" s="615"/>
      <c r="J281" s="615"/>
      <c r="K281" s="585"/>
      <c r="L281" s="585"/>
      <c r="M281" s="585"/>
      <c r="N281" s="585"/>
      <c r="O281" s="582"/>
      <c r="P281" s="582"/>
      <c r="Q281" s="582"/>
      <c r="R281" s="585"/>
      <c r="S281" s="585"/>
      <c r="T281" s="585"/>
      <c r="U281" s="585"/>
      <c r="V281" s="585"/>
      <c r="W281" s="585"/>
      <c r="X281" s="582"/>
      <c r="Y281" s="582"/>
      <c r="Z281" s="582"/>
    </row>
    <row r="282" ht="21.0" customHeight="1">
      <c r="A282" s="582"/>
      <c r="B282" s="613"/>
      <c r="C282" s="613"/>
      <c r="D282" s="613"/>
      <c r="E282" s="613"/>
      <c r="F282" s="614"/>
      <c r="G282" s="614"/>
      <c r="H282" s="613"/>
      <c r="I282" s="615"/>
      <c r="J282" s="615"/>
      <c r="K282" s="585"/>
      <c r="L282" s="585"/>
      <c r="M282" s="585"/>
      <c r="N282" s="585"/>
      <c r="O282" s="582"/>
      <c r="P282" s="582"/>
      <c r="Q282" s="582"/>
      <c r="R282" s="585"/>
      <c r="S282" s="585"/>
      <c r="T282" s="585"/>
      <c r="U282" s="585"/>
      <c r="V282" s="585"/>
      <c r="W282" s="585"/>
      <c r="X282" s="582"/>
      <c r="Y282" s="582"/>
      <c r="Z282" s="582"/>
    </row>
    <row r="283" ht="21.0" customHeight="1">
      <c r="A283" s="582"/>
      <c r="B283" s="613"/>
      <c r="C283" s="613"/>
      <c r="D283" s="613"/>
      <c r="E283" s="613"/>
      <c r="F283" s="614"/>
      <c r="G283" s="614"/>
      <c r="H283" s="613"/>
      <c r="I283" s="615"/>
      <c r="J283" s="615"/>
      <c r="K283" s="585"/>
      <c r="L283" s="585"/>
      <c r="M283" s="585"/>
      <c r="N283" s="585"/>
      <c r="O283" s="582"/>
      <c r="P283" s="582"/>
      <c r="Q283" s="582"/>
      <c r="R283" s="585"/>
      <c r="S283" s="585"/>
      <c r="T283" s="585"/>
      <c r="U283" s="585"/>
      <c r="V283" s="585"/>
      <c r="W283" s="585"/>
      <c r="X283" s="582"/>
      <c r="Y283" s="582"/>
      <c r="Z283" s="582"/>
    </row>
    <row r="284" ht="21.0" customHeight="1">
      <c r="A284" s="582"/>
      <c r="B284" s="613"/>
      <c r="C284" s="613"/>
      <c r="D284" s="613"/>
      <c r="E284" s="613"/>
      <c r="F284" s="614"/>
      <c r="G284" s="614"/>
      <c r="H284" s="613"/>
      <c r="I284" s="615"/>
      <c r="J284" s="615"/>
      <c r="K284" s="585"/>
      <c r="L284" s="585"/>
      <c r="M284" s="585"/>
      <c r="N284" s="585"/>
      <c r="O284" s="582"/>
      <c r="P284" s="582"/>
      <c r="Q284" s="582"/>
      <c r="R284" s="585"/>
      <c r="S284" s="585"/>
      <c r="T284" s="585"/>
      <c r="U284" s="585"/>
      <c r="V284" s="585"/>
      <c r="W284" s="585"/>
      <c r="X284" s="582"/>
      <c r="Y284" s="582"/>
      <c r="Z284" s="582"/>
    </row>
    <row r="285" ht="21.0" customHeight="1">
      <c r="A285" s="582"/>
      <c r="B285" s="613"/>
      <c r="C285" s="613"/>
      <c r="D285" s="613"/>
      <c r="E285" s="613"/>
      <c r="F285" s="614"/>
      <c r="G285" s="614"/>
      <c r="H285" s="613"/>
      <c r="I285" s="615"/>
      <c r="J285" s="615"/>
      <c r="K285" s="585"/>
      <c r="L285" s="585"/>
      <c r="M285" s="585"/>
      <c r="N285" s="585"/>
      <c r="O285" s="582"/>
      <c r="P285" s="582"/>
      <c r="Q285" s="582"/>
      <c r="R285" s="585"/>
      <c r="S285" s="585"/>
      <c r="T285" s="585"/>
      <c r="U285" s="585"/>
      <c r="V285" s="585"/>
      <c r="W285" s="585"/>
      <c r="X285" s="582"/>
      <c r="Y285" s="582"/>
      <c r="Z285" s="582"/>
    </row>
    <row r="286" ht="21.0" customHeight="1">
      <c r="A286" s="582"/>
      <c r="B286" s="613"/>
      <c r="C286" s="613"/>
      <c r="D286" s="613"/>
      <c r="E286" s="613"/>
      <c r="F286" s="614"/>
      <c r="G286" s="614"/>
      <c r="H286" s="613"/>
      <c r="I286" s="615"/>
      <c r="J286" s="615"/>
      <c r="K286" s="585"/>
      <c r="L286" s="585"/>
      <c r="M286" s="585"/>
      <c r="N286" s="585"/>
      <c r="O286" s="582"/>
      <c r="P286" s="582"/>
      <c r="Q286" s="582"/>
      <c r="R286" s="585"/>
      <c r="S286" s="585"/>
      <c r="T286" s="585"/>
      <c r="U286" s="585"/>
      <c r="V286" s="585"/>
      <c r="W286" s="585"/>
      <c r="X286" s="582"/>
      <c r="Y286" s="582"/>
      <c r="Z286" s="582"/>
    </row>
    <row r="287" ht="21.0" customHeight="1">
      <c r="A287" s="582"/>
      <c r="B287" s="613"/>
      <c r="C287" s="613"/>
      <c r="D287" s="613"/>
      <c r="E287" s="613"/>
      <c r="F287" s="614"/>
      <c r="G287" s="614"/>
      <c r="H287" s="613"/>
      <c r="I287" s="615"/>
      <c r="J287" s="615"/>
      <c r="K287" s="585"/>
      <c r="L287" s="585"/>
      <c r="M287" s="585"/>
      <c r="N287" s="585"/>
      <c r="O287" s="582"/>
      <c r="P287" s="582"/>
      <c r="Q287" s="582"/>
      <c r="R287" s="585"/>
      <c r="S287" s="585"/>
      <c r="T287" s="585"/>
      <c r="U287" s="585"/>
      <c r="V287" s="585"/>
      <c r="W287" s="585"/>
      <c r="X287" s="582"/>
      <c r="Y287" s="582"/>
      <c r="Z287" s="582"/>
    </row>
    <row r="288" ht="21.0" customHeight="1">
      <c r="A288" s="582"/>
      <c r="B288" s="613"/>
      <c r="C288" s="613"/>
      <c r="D288" s="613"/>
      <c r="E288" s="613"/>
      <c r="F288" s="614"/>
      <c r="G288" s="614"/>
      <c r="H288" s="613"/>
      <c r="I288" s="615"/>
      <c r="J288" s="615"/>
      <c r="K288" s="585"/>
      <c r="L288" s="585"/>
      <c r="M288" s="585"/>
      <c r="N288" s="585"/>
      <c r="O288" s="582"/>
      <c r="P288" s="582"/>
      <c r="Q288" s="582"/>
      <c r="R288" s="585"/>
      <c r="S288" s="585"/>
      <c r="T288" s="585"/>
      <c r="U288" s="585"/>
      <c r="V288" s="585"/>
      <c r="W288" s="585"/>
      <c r="X288" s="582"/>
      <c r="Y288" s="582"/>
      <c r="Z288" s="582"/>
    </row>
    <row r="289" ht="21.0" customHeight="1">
      <c r="A289" s="4"/>
      <c r="B289" s="585"/>
      <c r="C289" s="585"/>
      <c r="D289" s="585"/>
      <c r="E289" s="585"/>
      <c r="F289" s="8"/>
      <c r="G289" s="8"/>
      <c r="H289" s="603"/>
      <c r="I289" s="603"/>
      <c r="J289" s="603"/>
      <c r="K289" s="26"/>
      <c r="L289" s="26"/>
      <c r="M289" s="26"/>
      <c r="N289" s="26"/>
      <c r="O289" s="26"/>
      <c r="P289" s="26"/>
      <c r="Q289" s="26"/>
      <c r="R289" s="4"/>
      <c r="S289" s="4"/>
      <c r="T289" s="4"/>
      <c r="U289" s="4"/>
      <c r="V289" s="4"/>
      <c r="W289" s="4"/>
      <c r="X289" s="4"/>
      <c r="Y289" s="4"/>
      <c r="Z289" s="4"/>
    </row>
    <row r="290" ht="21.0" customHeight="1">
      <c r="A290" s="4"/>
      <c r="B290" s="585"/>
      <c r="C290" s="585"/>
      <c r="D290" s="585"/>
      <c r="E290" s="585"/>
      <c r="F290" s="616"/>
      <c r="G290" s="616"/>
      <c r="H290" s="585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1.0" customHeight="1">
      <c r="A291" s="4"/>
      <c r="B291" s="4"/>
      <c r="C291" s="4"/>
      <c r="D291" s="4"/>
      <c r="E291" s="4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1.0" customHeight="1">
      <c r="A292" s="4"/>
      <c r="B292" s="4"/>
      <c r="C292" s="4"/>
      <c r="D292" s="4"/>
      <c r="E292" s="4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1.0" customHeight="1">
      <c r="A293" s="4"/>
      <c r="B293" s="4"/>
      <c r="C293" s="4"/>
      <c r="D293" s="4"/>
      <c r="E293" s="4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1.0" customHeight="1">
      <c r="A294" s="7"/>
      <c r="B294" s="4"/>
      <c r="C294" s="4"/>
      <c r="D294" s="4"/>
      <c r="E294" s="4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1.0" customHeight="1">
      <c r="A295" s="4"/>
      <c r="B295" s="4"/>
      <c r="C295" s="4"/>
      <c r="D295" s="4"/>
      <c r="E295" s="4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1.0" customHeight="1">
      <c r="A296" s="4"/>
      <c r="B296" s="603"/>
      <c r="C296" s="617"/>
      <c r="D296" s="617"/>
      <c r="E296" s="617"/>
      <c r="F296" s="618"/>
      <c r="G296" s="618"/>
      <c r="H296" s="603"/>
      <c r="I296" s="603"/>
      <c r="J296" s="603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1.0" customHeight="1">
      <c r="A297" s="122"/>
      <c r="B297" s="583"/>
      <c r="C297" s="583"/>
      <c r="D297" s="583"/>
      <c r="E297" s="583"/>
      <c r="F297" s="591"/>
      <c r="G297" s="591"/>
      <c r="H297" s="583"/>
      <c r="I297" s="586"/>
      <c r="J297" s="586"/>
      <c r="K297" s="4"/>
      <c r="L297" s="4"/>
      <c r="M297" s="4"/>
      <c r="N297" s="4"/>
      <c r="O297" s="619"/>
      <c r="P297" s="619"/>
      <c r="Q297" s="619"/>
      <c r="R297" s="4"/>
      <c r="S297" s="4"/>
      <c r="T297" s="4"/>
      <c r="U297" s="4"/>
      <c r="V297" s="4"/>
      <c r="W297" s="4"/>
      <c r="X297" s="4"/>
      <c r="Y297" s="4"/>
      <c r="Z297" s="4"/>
    </row>
    <row r="298" ht="21.0" customHeight="1">
      <c r="A298" s="122"/>
      <c r="B298" s="583"/>
      <c r="C298" s="583"/>
      <c r="D298" s="583"/>
      <c r="E298" s="583"/>
      <c r="F298" s="591"/>
      <c r="G298" s="591"/>
      <c r="H298" s="583"/>
      <c r="I298" s="586"/>
      <c r="J298" s="586"/>
      <c r="K298" s="4"/>
      <c r="L298" s="4"/>
      <c r="M298" s="4"/>
      <c r="N298" s="4"/>
      <c r="O298" s="619"/>
      <c r="P298" s="619"/>
      <c r="Q298" s="619"/>
      <c r="R298" s="4"/>
      <c r="S298" s="4"/>
      <c r="T298" s="4"/>
      <c r="U298" s="4"/>
      <c r="V298" s="4"/>
      <c r="W298" s="4"/>
      <c r="X298" s="613"/>
      <c r="Y298" s="4"/>
      <c r="Z298" s="4"/>
    </row>
    <row r="299" ht="21.0" customHeight="1">
      <c r="A299" s="122"/>
      <c r="B299" s="583"/>
      <c r="C299" s="583"/>
      <c r="D299" s="583"/>
      <c r="E299" s="583"/>
      <c r="F299" s="591"/>
      <c r="G299" s="591"/>
      <c r="H299" s="583"/>
      <c r="I299" s="586"/>
      <c r="J299" s="586"/>
      <c r="K299" s="4"/>
      <c r="L299" s="4"/>
      <c r="M299" s="4"/>
      <c r="N299" s="4"/>
      <c r="O299" s="619"/>
      <c r="P299" s="619"/>
      <c r="Q299" s="619"/>
      <c r="R299" s="4"/>
      <c r="S299" s="4"/>
      <c r="T299" s="4"/>
      <c r="U299" s="4"/>
      <c r="V299" s="4"/>
      <c r="W299" s="4"/>
      <c r="X299" s="613"/>
      <c r="Y299" s="4"/>
      <c r="Z299" s="4"/>
    </row>
    <row r="300" ht="21.0" customHeight="1">
      <c r="A300" s="122"/>
      <c r="B300" s="583"/>
      <c r="C300" s="583"/>
      <c r="D300" s="583"/>
      <c r="E300" s="583"/>
      <c r="F300" s="591"/>
      <c r="G300" s="591"/>
      <c r="H300" s="583"/>
      <c r="I300" s="586"/>
      <c r="J300" s="586"/>
      <c r="K300" s="4"/>
      <c r="L300" s="4"/>
      <c r="M300" s="4"/>
      <c r="N300" s="4"/>
      <c r="O300" s="619"/>
      <c r="P300" s="619"/>
      <c r="Q300" s="619"/>
      <c r="R300" s="4"/>
      <c r="S300" s="4"/>
      <c r="T300" s="4"/>
      <c r="U300" s="4"/>
      <c r="V300" s="4"/>
      <c r="W300" s="4"/>
      <c r="X300" s="613"/>
      <c r="Y300" s="4"/>
      <c r="Z300" s="4"/>
    </row>
    <row r="301" ht="21.0" customHeight="1">
      <c r="A301" s="122"/>
      <c r="B301" s="583"/>
      <c r="C301" s="583"/>
      <c r="D301" s="583"/>
      <c r="E301" s="583"/>
      <c r="F301" s="591"/>
      <c r="G301" s="591"/>
      <c r="H301" s="583"/>
      <c r="I301" s="586"/>
      <c r="J301" s="586"/>
      <c r="K301" s="4"/>
      <c r="L301" s="4"/>
      <c r="M301" s="4"/>
      <c r="N301" s="4"/>
      <c r="O301" s="619"/>
      <c r="P301" s="619"/>
      <c r="Q301" s="619"/>
      <c r="R301" s="4"/>
      <c r="S301" s="4"/>
      <c r="T301" s="4"/>
      <c r="U301" s="4"/>
      <c r="V301" s="4"/>
      <c r="W301" s="4"/>
      <c r="X301" s="4"/>
      <c r="Y301" s="4"/>
      <c r="Z301" s="4"/>
    </row>
    <row r="302" ht="21.0" customHeight="1">
      <c r="A302" s="122"/>
      <c r="B302" s="583"/>
      <c r="C302" s="583"/>
      <c r="D302" s="583"/>
      <c r="E302" s="583"/>
      <c r="F302" s="591"/>
      <c r="G302" s="591"/>
      <c r="H302" s="583"/>
      <c r="I302" s="586"/>
      <c r="J302" s="586"/>
      <c r="K302" s="4"/>
      <c r="L302" s="4"/>
      <c r="M302" s="4"/>
      <c r="N302" s="4"/>
      <c r="O302" s="619"/>
      <c r="P302" s="619"/>
      <c r="Q302" s="619"/>
      <c r="R302" s="4"/>
      <c r="S302" s="4"/>
      <c r="T302" s="4"/>
      <c r="U302" s="4"/>
      <c r="V302" s="4"/>
      <c r="W302" s="4"/>
      <c r="X302" s="4"/>
      <c r="Y302" s="4"/>
      <c r="Z302" s="4"/>
    </row>
    <row r="303" ht="21.0" customHeight="1">
      <c r="A303" s="122"/>
      <c r="B303" s="583"/>
      <c r="C303" s="583"/>
      <c r="D303" s="583"/>
      <c r="E303" s="583"/>
      <c r="F303" s="591"/>
      <c r="G303" s="591"/>
      <c r="H303" s="583"/>
      <c r="I303" s="586"/>
      <c r="J303" s="586"/>
      <c r="K303" s="4"/>
      <c r="L303" s="4"/>
      <c r="M303" s="4"/>
      <c r="N303" s="4"/>
      <c r="O303" s="619"/>
      <c r="P303" s="619"/>
      <c r="Q303" s="619"/>
      <c r="R303" s="4"/>
      <c r="S303" s="4"/>
      <c r="T303" s="4"/>
      <c r="U303" s="4"/>
      <c r="V303" s="4"/>
      <c r="W303" s="4"/>
      <c r="X303" s="4"/>
      <c r="Y303" s="4"/>
      <c r="Z303" s="4"/>
    </row>
    <row r="304" ht="21.0" customHeight="1">
      <c r="A304" s="122"/>
      <c r="B304" s="583"/>
      <c r="C304" s="583"/>
      <c r="D304" s="583"/>
      <c r="E304" s="583"/>
      <c r="F304" s="591"/>
      <c r="G304" s="591"/>
      <c r="H304" s="583"/>
      <c r="I304" s="586"/>
      <c r="J304" s="586"/>
      <c r="K304" s="4"/>
      <c r="L304" s="4"/>
      <c r="M304" s="4"/>
      <c r="N304" s="4"/>
      <c r="O304" s="619"/>
      <c r="P304" s="619"/>
      <c r="Q304" s="619"/>
      <c r="R304" s="4"/>
      <c r="S304" s="4"/>
      <c r="T304" s="4"/>
      <c r="U304" s="4"/>
      <c r="V304" s="4"/>
      <c r="W304" s="4"/>
      <c r="X304" s="4"/>
      <c r="Y304" s="4"/>
      <c r="Z304" s="4"/>
    </row>
    <row r="305" ht="21.0" customHeight="1">
      <c r="A305" s="122"/>
      <c r="B305" s="583"/>
      <c r="C305" s="583"/>
      <c r="D305" s="583"/>
      <c r="E305" s="583"/>
      <c r="F305" s="591"/>
      <c r="G305" s="591"/>
      <c r="H305" s="583"/>
      <c r="I305" s="586"/>
      <c r="J305" s="586"/>
      <c r="K305" s="4"/>
      <c r="L305" s="4"/>
      <c r="M305" s="4"/>
      <c r="N305" s="4"/>
      <c r="O305" s="619"/>
      <c r="P305" s="619"/>
      <c r="Q305" s="619"/>
      <c r="R305" s="4"/>
      <c r="S305" s="4"/>
      <c r="T305" s="4"/>
      <c r="U305" s="4"/>
      <c r="V305" s="4"/>
      <c r="W305" s="4"/>
      <c r="X305" s="4"/>
      <c r="Y305" s="4"/>
      <c r="Z305" s="4"/>
    </row>
    <row r="306" ht="21.0" customHeight="1">
      <c r="A306" s="122"/>
      <c r="B306" s="583"/>
      <c r="C306" s="583"/>
      <c r="D306" s="583"/>
      <c r="E306" s="583"/>
      <c r="F306" s="591"/>
      <c r="G306" s="591"/>
      <c r="H306" s="583"/>
      <c r="I306" s="586"/>
      <c r="J306" s="586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620"/>
      <c r="X306" s="4"/>
      <c r="Y306" s="4"/>
      <c r="Z306" s="4"/>
    </row>
    <row r="307" ht="21.0" customHeight="1">
      <c r="A307" s="122"/>
      <c r="B307" s="4"/>
      <c r="C307" s="4"/>
      <c r="D307" s="4"/>
      <c r="E307" s="4"/>
      <c r="F307" s="618"/>
      <c r="G307" s="618"/>
      <c r="H307" s="4"/>
      <c r="I307" s="621"/>
      <c r="J307" s="621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620"/>
      <c r="X307" s="4"/>
      <c r="Y307" s="4"/>
      <c r="Z307" s="4"/>
    </row>
    <row r="308" ht="21.0" customHeight="1">
      <c r="A308" s="4"/>
      <c r="B308" s="4"/>
      <c r="C308" s="4"/>
      <c r="D308" s="4"/>
      <c r="E308" s="4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620"/>
      <c r="X308" s="4"/>
      <c r="Y308" s="4"/>
      <c r="Z308" s="4"/>
    </row>
    <row r="309" ht="21.0" customHeight="1">
      <c r="A309" s="4"/>
      <c r="B309" s="4"/>
      <c r="C309" s="4"/>
      <c r="D309" s="4"/>
      <c r="E309" s="4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620"/>
      <c r="X309" s="4"/>
      <c r="Y309" s="4"/>
      <c r="Z309" s="4"/>
    </row>
    <row r="310" ht="21.0" customHeight="1">
      <c r="A310" s="4"/>
      <c r="B310" s="4"/>
      <c r="C310" s="4"/>
      <c r="D310" s="4"/>
      <c r="E310" s="4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620"/>
      <c r="X310" s="4"/>
      <c r="Y310" s="4"/>
      <c r="Z310" s="4"/>
    </row>
    <row r="311" ht="21.0" customHeight="1">
      <c r="A311" s="7"/>
      <c r="B311" s="4"/>
      <c r="C311" s="4"/>
      <c r="D311" s="4"/>
      <c r="E311" s="4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620"/>
      <c r="X311" s="4"/>
      <c r="Y311" s="4"/>
      <c r="Z311" s="4"/>
    </row>
    <row r="312" ht="21.0" customHeight="1">
      <c r="A312" s="4"/>
      <c r="B312" s="4"/>
      <c r="C312" s="4"/>
      <c r="D312" s="4"/>
      <c r="E312" s="4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620"/>
      <c r="X312" s="4"/>
      <c r="Y312" s="4"/>
      <c r="Z312" s="4"/>
    </row>
    <row r="313" ht="21.0" customHeight="1">
      <c r="A313" s="4"/>
      <c r="B313" s="603"/>
      <c r="C313" s="617"/>
      <c r="D313" s="617"/>
      <c r="E313" s="617"/>
      <c r="F313" s="618"/>
      <c r="G313" s="618"/>
      <c r="H313" s="603"/>
      <c r="I313" s="603"/>
      <c r="J313" s="603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620"/>
      <c r="X313" s="4"/>
      <c r="Y313" s="4"/>
      <c r="Z313" s="4"/>
    </row>
    <row r="314" ht="21.0" customHeight="1">
      <c r="A314" s="122"/>
      <c r="B314" s="622"/>
      <c r="C314" s="621"/>
      <c r="D314" s="621"/>
      <c r="E314" s="621"/>
      <c r="F314" s="623"/>
      <c r="G314" s="623"/>
      <c r="H314" s="621"/>
      <c r="I314" s="621"/>
      <c r="J314" s="621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620"/>
      <c r="X314" s="4"/>
      <c r="Y314" s="4"/>
      <c r="Z314" s="4"/>
    </row>
    <row r="315" ht="21.0" customHeight="1">
      <c r="A315" s="122"/>
      <c r="B315" s="622"/>
      <c r="C315" s="621"/>
      <c r="D315" s="621"/>
      <c r="E315" s="621"/>
      <c r="F315" s="623"/>
      <c r="G315" s="623"/>
      <c r="H315" s="621"/>
      <c r="I315" s="621"/>
      <c r="J315" s="621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620"/>
      <c r="X315" s="4"/>
      <c r="Y315" s="4"/>
      <c r="Z315" s="4"/>
    </row>
    <row r="316" ht="21.0" customHeight="1">
      <c r="A316" s="122"/>
      <c r="B316" s="622"/>
      <c r="C316" s="621"/>
      <c r="D316" s="621"/>
      <c r="E316" s="621"/>
      <c r="F316" s="623"/>
      <c r="G316" s="623"/>
      <c r="H316" s="621"/>
      <c r="I316" s="621"/>
      <c r="J316" s="621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620"/>
      <c r="X316" s="4"/>
      <c r="Y316" s="4"/>
      <c r="Z316" s="4"/>
    </row>
    <row r="317" ht="21.0" customHeight="1">
      <c r="A317" s="122"/>
      <c r="B317" s="622"/>
      <c r="C317" s="621"/>
      <c r="D317" s="621"/>
      <c r="E317" s="621"/>
      <c r="F317" s="624"/>
      <c r="G317" s="624"/>
      <c r="H317" s="621"/>
      <c r="I317" s="621"/>
      <c r="J317" s="621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3"/>
      <c r="X317" s="4"/>
      <c r="Y317" s="4"/>
      <c r="Z317" s="4"/>
    </row>
    <row r="318" ht="21.0" customHeight="1">
      <c r="A318" s="122"/>
      <c r="B318" s="622"/>
      <c r="C318" s="621"/>
      <c r="D318" s="621"/>
      <c r="E318" s="621"/>
      <c r="F318" s="624"/>
      <c r="G318" s="624"/>
      <c r="H318" s="621"/>
      <c r="I318" s="621"/>
      <c r="J318" s="621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620"/>
      <c r="X318" s="4"/>
      <c r="Y318" s="4"/>
      <c r="Z318" s="4"/>
    </row>
    <row r="319" ht="21.0" customHeight="1">
      <c r="A319" s="122"/>
      <c r="B319" s="622"/>
      <c r="C319" s="2"/>
      <c r="D319" s="621"/>
      <c r="E319" s="621"/>
      <c r="F319" s="624"/>
      <c r="G319" s="624"/>
      <c r="H319" s="621"/>
      <c r="I319" s="621"/>
      <c r="J319" s="621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620"/>
      <c r="X319" s="4"/>
      <c r="Y319" s="4"/>
      <c r="Z319" s="4"/>
    </row>
    <row r="320" ht="21.0" customHeight="1">
      <c r="A320" s="4"/>
      <c r="B320" s="4"/>
      <c r="C320" s="4"/>
      <c r="D320" s="4"/>
      <c r="E320" s="4"/>
      <c r="F320" s="618"/>
      <c r="G320" s="618"/>
      <c r="H320" s="4"/>
      <c r="I320" s="621"/>
      <c r="J320" s="621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620"/>
      <c r="X320" s="4"/>
      <c r="Y320" s="4"/>
      <c r="Z320" s="4"/>
    </row>
    <row r="321" ht="21.0" customHeight="1">
      <c r="A321" s="4"/>
      <c r="B321" s="4"/>
      <c r="C321" s="4"/>
      <c r="D321" s="4"/>
      <c r="E321" s="4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620"/>
      <c r="X321" s="4"/>
      <c r="Y321" s="4"/>
      <c r="Z321" s="4"/>
    </row>
    <row r="322" ht="21.0" customHeight="1">
      <c r="A322" s="4"/>
      <c r="B322" s="4"/>
      <c r="C322" s="4"/>
      <c r="D322" s="4"/>
      <c r="E322" s="4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620"/>
      <c r="X322" s="4"/>
      <c r="Y322" s="4"/>
      <c r="Z322" s="4"/>
    </row>
    <row r="323" ht="21.0" customHeight="1">
      <c r="A323" s="4"/>
      <c r="B323" s="4"/>
      <c r="C323" s="4"/>
      <c r="D323" s="4"/>
      <c r="E323" s="4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620"/>
      <c r="X323" s="4"/>
      <c r="Y323" s="4"/>
      <c r="Z323" s="4"/>
    </row>
    <row r="324" ht="21.0" customHeight="1">
      <c r="A324" s="107"/>
      <c r="B324" s="4"/>
      <c r="C324" s="4"/>
      <c r="D324" s="4"/>
      <c r="E324" s="4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620"/>
      <c r="X324" s="4"/>
      <c r="Y324" s="4"/>
      <c r="Z324" s="4"/>
    </row>
    <row r="325" ht="21.0" customHeight="1">
      <c r="A325" s="66"/>
      <c r="B325" s="625"/>
      <c r="C325" s="625"/>
      <c r="D325" s="625"/>
      <c r="E325" s="625"/>
      <c r="F325" s="626"/>
      <c r="G325" s="626"/>
      <c r="H325" s="625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20"/>
      <c r="X325" s="66"/>
      <c r="Y325" s="66"/>
      <c r="Z325" s="66"/>
    </row>
    <row r="326" ht="21.0" customHeight="1">
      <c r="A326" s="603"/>
      <c r="B326" s="603"/>
      <c r="C326" s="603"/>
      <c r="D326" s="603"/>
      <c r="E326" s="603"/>
      <c r="F326" s="627"/>
      <c r="G326" s="627"/>
      <c r="H326" s="603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620"/>
      <c r="X326" s="4"/>
      <c r="Y326" s="4"/>
      <c r="Z326" s="4"/>
    </row>
    <row r="327" ht="21.0" customHeight="1">
      <c r="A327" s="603"/>
      <c r="B327" s="603"/>
      <c r="C327" s="628"/>
      <c r="D327" s="629"/>
      <c r="E327" s="629"/>
      <c r="F327" s="132"/>
      <c r="G327" s="132"/>
      <c r="H327" s="629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620"/>
      <c r="X327" s="4"/>
      <c r="Y327" s="4"/>
      <c r="Z327" s="4"/>
    </row>
    <row r="328" ht="21.0" customHeight="1">
      <c r="A328" s="603"/>
      <c r="B328" s="122"/>
      <c r="C328" s="123"/>
      <c r="D328" s="123"/>
      <c r="E328" s="123"/>
      <c r="F328" s="124"/>
      <c r="G328" s="124"/>
      <c r="H328" s="1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620"/>
      <c r="X328" s="4"/>
      <c r="Y328" s="4"/>
      <c r="Z328" s="4"/>
    </row>
    <row r="329" ht="21.0" customHeight="1">
      <c r="A329" s="4"/>
      <c r="B329" s="4"/>
      <c r="C329" s="4"/>
      <c r="D329" s="26" t="s">
        <v>50</v>
      </c>
      <c r="E329" s="26" t="s">
        <v>48</v>
      </c>
      <c r="F329" s="627">
        <f>+D326+E326+F326+H326</f>
        <v>0</v>
      </c>
      <c r="G329" s="618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545"/>
      <c r="X329" s="4"/>
      <c r="Y329" s="4"/>
      <c r="Z329" s="4"/>
    </row>
    <row r="330" ht="21.0" customHeight="1">
      <c r="A330" s="4"/>
      <c r="B330" s="4"/>
      <c r="C330" s="4"/>
      <c r="D330" s="2"/>
      <c r="E330" s="26" t="s">
        <v>49</v>
      </c>
      <c r="F330" s="132" t="str">
        <f>+F329/B326</f>
        <v>#DIV/0!</v>
      </c>
      <c r="G330" s="132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545"/>
      <c r="X330" s="4"/>
      <c r="Y330" s="4"/>
      <c r="Z330" s="4"/>
    </row>
    <row r="331" ht="21.0" customHeight="1">
      <c r="A331" s="66"/>
      <c r="B331" s="66"/>
      <c r="C331" s="26" t="s">
        <v>51</v>
      </c>
      <c r="D331" s="66"/>
      <c r="E331" s="66"/>
      <c r="F331" s="135"/>
      <c r="G331" s="135"/>
      <c r="H331" s="66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3"/>
      <c r="X331" s="4"/>
      <c r="Y331" s="4"/>
      <c r="Z331" s="4"/>
    </row>
    <row r="332" ht="21.0" customHeight="1">
      <c r="A332" s="66"/>
      <c r="B332" s="66"/>
      <c r="C332" s="66"/>
      <c r="D332" s="26" t="s">
        <v>52</v>
      </c>
      <c r="E332" s="66"/>
      <c r="F332" s="135">
        <f>+F331*(F329-F326)</f>
        <v>0</v>
      </c>
      <c r="G332" s="135"/>
      <c r="H332" s="66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1.0" customHeight="1">
      <c r="A333" s="4"/>
      <c r="B333" s="4"/>
      <c r="C333" s="4"/>
      <c r="D333" s="4"/>
      <c r="E333" s="4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1.0" customHeight="1">
      <c r="A334" s="4"/>
      <c r="B334" s="4"/>
      <c r="C334" s="4"/>
      <c r="D334" s="4"/>
      <c r="E334" s="4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1.0" customHeight="1">
      <c r="A335" s="4"/>
      <c r="B335" s="4"/>
      <c r="C335" s="4"/>
      <c r="D335" s="4"/>
      <c r="E335" s="4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1.0" customHeight="1">
      <c r="A336" s="4"/>
      <c r="B336" s="4"/>
      <c r="C336" s="4"/>
      <c r="D336" s="4"/>
      <c r="E336" s="4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1.0" customHeight="1">
      <c r="A337" s="4"/>
      <c r="B337" s="4"/>
      <c r="C337" s="4"/>
      <c r="D337" s="4"/>
      <c r="E337" s="4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1.0" customHeight="1">
      <c r="A338" s="4"/>
      <c r="B338" s="4"/>
      <c r="C338" s="4"/>
      <c r="D338" s="4"/>
      <c r="E338" s="4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1.0" customHeight="1">
      <c r="A339" s="4"/>
      <c r="B339" s="4"/>
      <c r="C339" s="4"/>
      <c r="D339" s="4"/>
      <c r="E339" s="4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1.0" customHeight="1">
      <c r="A340" s="4"/>
      <c r="B340" s="4"/>
      <c r="C340" s="4"/>
      <c r="D340" s="4"/>
      <c r="E340" s="4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1.0" customHeight="1">
      <c r="A341" s="4"/>
      <c r="B341" s="4"/>
      <c r="C341" s="4"/>
      <c r="D341" s="4"/>
      <c r="E341" s="4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1.0" customHeight="1">
      <c r="A342" s="4"/>
      <c r="B342" s="4"/>
      <c r="C342" s="4"/>
      <c r="D342" s="4"/>
      <c r="E342" s="4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1.0" customHeight="1">
      <c r="A343" s="4"/>
      <c r="B343" s="4"/>
      <c r="C343" s="4"/>
      <c r="D343" s="4"/>
      <c r="E343" s="4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1.0" customHeight="1">
      <c r="A344" s="4"/>
      <c r="B344" s="4"/>
      <c r="C344" s="4"/>
      <c r="D344" s="4"/>
      <c r="E344" s="4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1.0" customHeight="1">
      <c r="A345" s="4"/>
      <c r="B345" s="4"/>
      <c r="C345" s="4"/>
      <c r="D345" s="4"/>
      <c r="E345" s="4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1.0" customHeight="1">
      <c r="A346" s="4"/>
      <c r="B346" s="4"/>
      <c r="C346" s="4"/>
      <c r="D346" s="4"/>
      <c r="E346" s="4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1.0" customHeight="1">
      <c r="A347" s="4"/>
      <c r="B347" s="4"/>
      <c r="C347" s="4"/>
      <c r="D347" s="4"/>
      <c r="E347" s="4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1.0" customHeight="1">
      <c r="A348" s="4"/>
      <c r="B348" s="4"/>
      <c r="C348" s="4"/>
      <c r="D348" s="4"/>
      <c r="E348" s="4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1.0" customHeight="1">
      <c r="A349" s="4"/>
      <c r="B349" s="4"/>
      <c r="C349" s="4"/>
      <c r="D349" s="4"/>
      <c r="E349" s="4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1.0" customHeight="1">
      <c r="A350" s="4"/>
      <c r="B350" s="4"/>
      <c r="C350" s="4"/>
      <c r="D350" s="4"/>
      <c r="E350" s="4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1.0" customHeight="1">
      <c r="A351" s="4"/>
      <c r="B351" s="4"/>
      <c r="C351" s="4"/>
      <c r="D351" s="4"/>
      <c r="E351" s="4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1.0" customHeight="1">
      <c r="A352" s="4"/>
      <c r="B352" s="4"/>
      <c r="C352" s="4"/>
      <c r="D352" s="4"/>
      <c r="E352" s="4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1.0" customHeight="1">
      <c r="A353" s="4"/>
      <c r="B353" s="4"/>
      <c r="C353" s="4"/>
      <c r="D353" s="4"/>
      <c r="E353" s="4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1.0" customHeight="1">
      <c r="A354" s="4"/>
      <c r="B354" s="4"/>
      <c r="C354" s="4"/>
      <c r="D354" s="4"/>
      <c r="E354" s="4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1.0" customHeight="1">
      <c r="A355" s="4"/>
      <c r="B355" s="4"/>
      <c r="C355" s="4"/>
      <c r="D355" s="4"/>
      <c r="E355" s="4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1.0" customHeight="1">
      <c r="A356" s="4"/>
      <c r="B356" s="4"/>
      <c r="C356" s="4"/>
      <c r="D356" s="4"/>
      <c r="E356" s="4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1.0" customHeight="1">
      <c r="A357" s="4"/>
      <c r="B357" s="4"/>
      <c r="C357" s="4"/>
      <c r="D357" s="4"/>
      <c r="E357" s="4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1.0" customHeight="1">
      <c r="A358" s="4"/>
      <c r="B358" s="4"/>
      <c r="C358" s="4"/>
      <c r="D358" s="4"/>
      <c r="E358" s="4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1.0" customHeight="1">
      <c r="A359" s="4"/>
      <c r="B359" s="4"/>
      <c r="C359" s="4"/>
      <c r="D359" s="4"/>
      <c r="E359" s="4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1.0" customHeight="1">
      <c r="A360" s="4"/>
      <c r="B360" s="4"/>
      <c r="C360" s="4"/>
      <c r="D360" s="4"/>
      <c r="E360" s="4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1.0" customHeight="1">
      <c r="A361" s="4"/>
      <c r="B361" s="4"/>
      <c r="C361" s="4"/>
      <c r="D361" s="4"/>
      <c r="E361" s="4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1.0" customHeight="1">
      <c r="A362" s="4"/>
      <c r="B362" s="4"/>
      <c r="C362" s="4"/>
      <c r="D362" s="4"/>
      <c r="E362" s="4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1.0" customHeight="1">
      <c r="A363" s="4"/>
      <c r="B363" s="4"/>
      <c r="C363" s="4"/>
      <c r="D363" s="4"/>
      <c r="E363" s="4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1.0" customHeight="1">
      <c r="A364" s="4"/>
      <c r="B364" s="4"/>
      <c r="C364" s="4"/>
      <c r="D364" s="4"/>
      <c r="E364" s="4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1.0" customHeight="1">
      <c r="A365" s="4"/>
      <c r="B365" s="4"/>
      <c r="C365" s="4"/>
      <c r="D365" s="4"/>
      <c r="E365" s="4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1.0" customHeight="1">
      <c r="A366" s="4"/>
      <c r="B366" s="4"/>
      <c r="C366" s="4"/>
      <c r="D366" s="4"/>
      <c r="E366" s="4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1.0" customHeight="1">
      <c r="A367" s="4"/>
      <c r="B367" s="4"/>
      <c r="C367" s="4"/>
      <c r="D367" s="4"/>
      <c r="E367" s="4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1.0" customHeight="1">
      <c r="A368" s="4"/>
      <c r="B368" s="4"/>
      <c r="C368" s="4"/>
      <c r="D368" s="4"/>
      <c r="E368" s="4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1.0" customHeight="1">
      <c r="A369" s="4"/>
      <c r="B369" s="4"/>
      <c r="C369" s="4"/>
      <c r="D369" s="4"/>
      <c r="E369" s="4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1.0" customHeight="1">
      <c r="A370" s="4"/>
      <c r="B370" s="4"/>
      <c r="C370" s="4"/>
      <c r="D370" s="4"/>
      <c r="E370" s="4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1.0" customHeight="1">
      <c r="A371" s="4"/>
      <c r="B371" s="4"/>
      <c r="C371" s="4"/>
      <c r="D371" s="4"/>
      <c r="E371" s="4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1.0" customHeight="1">
      <c r="A372" s="4"/>
      <c r="B372" s="4"/>
      <c r="C372" s="4"/>
      <c r="D372" s="4"/>
      <c r="E372" s="4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1.0" customHeight="1">
      <c r="A373" s="4"/>
      <c r="B373" s="4"/>
      <c r="C373" s="4"/>
      <c r="D373" s="4"/>
      <c r="E373" s="4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1.0" customHeight="1">
      <c r="A374" s="4"/>
      <c r="B374" s="4"/>
      <c r="C374" s="4"/>
      <c r="D374" s="4"/>
      <c r="E374" s="4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1.0" customHeight="1">
      <c r="A375" s="4"/>
      <c r="B375" s="4"/>
      <c r="C375" s="4"/>
      <c r="D375" s="4"/>
      <c r="E375" s="4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1.0" customHeight="1">
      <c r="A376" s="4"/>
      <c r="B376" s="4"/>
      <c r="C376" s="4"/>
      <c r="D376" s="4"/>
      <c r="E376" s="4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1.0" customHeight="1">
      <c r="A377" s="4"/>
      <c r="B377" s="4"/>
      <c r="C377" s="4"/>
      <c r="D377" s="4"/>
      <c r="E377" s="4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1.0" customHeight="1">
      <c r="A378" s="4"/>
      <c r="B378" s="4"/>
      <c r="C378" s="4"/>
      <c r="D378" s="4"/>
      <c r="E378" s="4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1.0" customHeight="1">
      <c r="A379" s="4"/>
      <c r="B379" s="4"/>
      <c r="C379" s="4"/>
      <c r="D379" s="4"/>
      <c r="E379" s="4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1.0" customHeight="1">
      <c r="A380" s="4"/>
      <c r="B380" s="4"/>
      <c r="C380" s="4"/>
      <c r="D380" s="4"/>
      <c r="E380" s="4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1.0" customHeight="1">
      <c r="A381" s="4"/>
      <c r="B381" s="4"/>
      <c r="C381" s="4"/>
      <c r="D381" s="4"/>
      <c r="E381" s="4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1.0" customHeight="1">
      <c r="A382" s="4"/>
      <c r="B382" s="4"/>
      <c r="C382" s="4"/>
      <c r="D382" s="4"/>
      <c r="E382" s="4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1.0" customHeight="1">
      <c r="A383" s="4"/>
      <c r="B383" s="4"/>
      <c r="C383" s="4"/>
      <c r="D383" s="4"/>
      <c r="E383" s="4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1.0" customHeight="1">
      <c r="A384" s="4"/>
      <c r="B384" s="4"/>
      <c r="C384" s="4"/>
      <c r="D384" s="4"/>
      <c r="E384" s="4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1.0" customHeight="1">
      <c r="A385" s="4"/>
      <c r="B385" s="4"/>
      <c r="C385" s="4"/>
      <c r="D385" s="4"/>
      <c r="E385" s="4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1.0" customHeight="1">
      <c r="A386" s="4"/>
      <c r="B386" s="4"/>
      <c r="C386" s="4"/>
      <c r="D386" s="4"/>
      <c r="E386" s="4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1.0" customHeight="1">
      <c r="A387" s="4"/>
      <c r="B387" s="4"/>
      <c r="C387" s="4"/>
      <c r="D387" s="4"/>
      <c r="E387" s="4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1.0" customHeight="1">
      <c r="A388" s="4"/>
      <c r="B388" s="4"/>
      <c r="C388" s="4"/>
      <c r="D388" s="4"/>
      <c r="E388" s="4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1.0" customHeight="1">
      <c r="A389" s="4"/>
      <c r="B389" s="4"/>
      <c r="C389" s="4"/>
      <c r="D389" s="4"/>
      <c r="E389" s="4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1.0" customHeight="1">
      <c r="A390" s="4"/>
      <c r="B390" s="4"/>
      <c r="C390" s="4"/>
      <c r="D390" s="4"/>
      <c r="E390" s="4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1.0" customHeight="1">
      <c r="A391" s="4"/>
      <c r="B391" s="4"/>
      <c r="C391" s="4"/>
      <c r="D391" s="4"/>
      <c r="E391" s="4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1.0" customHeight="1">
      <c r="A392" s="4"/>
      <c r="B392" s="4"/>
      <c r="C392" s="4"/>
      <c r="D392" s="4"/>
      <c r="E392" s="4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1.0" customHeight="1">
      <c r="A393" s="4"/>
      <c r="B393" s="4"/>
      <c r="C393" s="4"/>
      <c r="D393" s="4"/>
      <c r="E393" s="4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1.0" customHeight="1">
      <c r="A394" s="4"/>
      <c r="B394" s="4"/>
      <c r="C394" s="4"/>
      <c r="D394" s="4"/>
      <c r="E394" s="4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1.0" customHeight="1">
      <c r="A395" s="4"/>
      <c r="B395" s="4"/>
      <c r="C395" s="4"/>
      <c r="D395" s="4"/>
      <c r="E395" s="4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1.0" customHeight="1">
      <c r="A396" s="4"/>
      <c r="B396" s="4"/>
      <c r="C396" s="4"/>
      <c r="D396" s="4"/>
      <c r="E396" s="4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1.0" customHeight="1">
      <c r="A397" s="4"/>
      <c r="B397" s="4"/>
      <c r="C397" s="4"/>
      <c r="D397" s="4"/>
      <c r="E397" s="4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1.0" customHeight="1">
      <c r="A398" s="4"/>
      <c r="B398" s="4"/>
      <c r="C398" s="4"/>
      <c r="D398" s="4"/>
      <c r="E398" s="4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1.0" customHeight="1">
      <c r="A399" s="4"/>
      <c r="B399" s="4"/>
      <c r="C399" s="4"/>
      <c r="D399" s="4"/>
      <c r="E399" s="4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1.0" customHeight="1">
      <c r="A400" s="4"/>
      <c r="B400" s="4"/>
      <c r="C400" s="4"/>
      <c r="D400" s="4"/>
      <c r="E400" s="4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1.0" customHeight="1">
      <c r="A401" s="4"/>
      <c r="B401" s="4"/>
      <c r="C401" s="4"/>
      <c r="D401" s="4"/>
      <c r="E401" s="4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1.0" customHeight="1">
      <c r="A402" s="4"/>
      <c r="B402" s="4"/>
      <c r="C402" s="4"/>
      <c r="D402" s="4"/>
      <c r="E402" s="4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1.0" customHeight="1">
      <c r="A403" s="4"/>
      <c r="B403" s="4"/>
      <c r="C403" s="4"/>
      <c r="D403" s="4"/>
      <c r="E403" s="4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1.0" customHeight="1">
      <c r="A404" s="4"/>
      <c r="B404" s="4"/>
      <c r="C404" s="4"/>
      <c r="D404" s="4"/>
      <c r="E404" s="4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1.0" customHeight="1">
      <c r="A405" s="4"/>
      <c r="B405" s="4"/>
      <c r="C405" s="4"/>
      <c r="D405" s="4"/>
      <c r="E405" s="4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1.0" customHeight="1">
      <c r="A406" s="4"/>
      <c r="B406" s="4"/>
      <c r="C406" s="4"/>
      <c r="D406" s="4"/>
      <c r="E406" s="4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1.0" customHeight="1">
      <c r="A407" s="4"/>
      <c r="B407" s="4"/>
      <c r="C407" s="4"/>
      <c r="D407" s="4"/>
      <c r="E407" s="4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1.0" customHeight="1">
      <c r="A408" s="4"/>
      <c r="B408" s="4"/>
      <c r="C408" s="4"/>
      <c r="D408" s="4"/>
      <c r="E408" s="4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1.0" customHeight="1">
      <c r="A409" s="4"/>
      <c r="B409" s="4"/>
      <c r="C409" s="4"/>
      <c r="D409" s="4"/>
      <c r="E409" s="4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1.0" customHeight="1">
      <c r="A410" s="4"/>
      <c r="B410" s="4"/>
      <c r="C410" s="4"/>
      <c r="D410" s="4"/>
      <c r="E410" s="4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1.0" customHeight="1">
      <c r="A411" s="4"/>
      <c r="B411" s="4"/>
      <c r="C411" s="4"/>
      <c r="D411" s="4"/>
      <c r="E411" s="4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1.0" customHeight="1">
      <c r="A412" s="4"/>
      <c r="B412" s="4"/>
      <c r="C412" s="4"/>
      <c r="D412" s="4"/>
      <c r="E412" s="4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1.0" customHeight="1">
      <c r="A413" s="4"/>
      <c r="B413" s="4"/>
      <c r="C413" s="4"/>
      <c r="D413" s="4"/>
      <c r="E413" s="4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1.0" customHeight="1">
      <c r="A414" s="4"/>
      <c r="B414" s="4"/>
      <c r="C414" s="4"/>
      <c r="D414" s="4"/>
      <c r="E414" s="4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1.0" customHeight="1">
      <c r="A415" s="4"/>
      <c r="B415" s="4"/>
      <c r="C415" s="4"/>
      <c r="D415" s="4"/>
      <c r="E415" s="4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1.0" customHeight="1">
      <c r="A416" s="4"/>
      <c r="B416" s="4"/>
      <c r="C416" s="4"/>
      <c r="D416" s="4"/>
      <c r="E416" s="4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1.0" customHeight="1">
      <c r="A417" s="4"/>
      <c r="B417" s="4"/>
      <c r="C417" s="4"/>
      <c r="D417" s="4"/>
      <c r="E417" s="4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1.0" customHeight="1">
      <c r="A418" s="4"/>
      <c r="B418" s="4"/>
      <c r="C418" s="4"/>
      <c r="D418" s="4"/>
      <c r="E418" s="4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1.0" customHeight="1">
      <c r="A419" s="4"/>
      <c r="B419" s="4"/>
      <c r="C419" s="4"/>
      <c r="D419" s="4"/>
      <c r="E419" s="4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1.0" customHeight="1">
      <c r="A420" s="4"/>
      <c r="B420" s="4"/>
      <c r="C420" s="4"/>
      <c r="D420" s="4"/>
      <c r="E420" s="4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1.0" customHeight="1">
      <c r="A421" s="4"/>
      <c r="B421" s="4"/>
      <c r="C421" s="4"/>
      <c r="D421" s="4"/>
      <c r="E421" s="4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1.0" customHeight="1">
      <c r="A422" s="4"/>
      <c r="B422" s="4"/>
      <c r="C422" s="4"/>
      <c r="D422" s="4"/>
      <c r="E422" s="4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1.0" customHeight="1">
      <c r="A423" s="4"/>
      <c r="B423" s="4"/>
      <c r="C423" s="4"/>
      <c r="D423" s="4"/>
      <c r="E423" s="4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1.0" customHeight="1">
      <c r="A424" s="4"/>
      <c r="B424" s="4"/>
      <c r="C424" s="4"/>
      <c r="D424" s="4"/>
      <c r="E424" s="4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1.0" customHeight="1">
      <c r="A425" s="4"/>
      <c r="B425" s="4"/>
      <c r="C425" s="4"/>
      <c r="D425" s="4"/>
      <c r="E425" s="4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1.0" customHeight="1">
      <c r="A426" s="4"/>
      <c r="B426" s="4"/>
      <c r="C426" s="4"/>
      <c r="D426" s="4"/>
      <c r="E426" s="4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1.0" customHeight="1">
      <c r="A427" s="4"/>
      <c r="B427" s="4"/>
      <c r="C427" s="4"/>
      <c r="D427" s="4"/>
      <c r="E427" s="4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1.0" customHeight="1">
      <c r="A428" s="4"/>
      <c r="B428" s="4"/>
      <c r="C428" s="4"/>
      <c r="D428" s="4"/>
      <c r="E428" s="4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1.0" customHeight="1">
      <c r="A429" s="4"/>
      <c r="B429" s="4"/>
      <c r="C429" s="4"/>
      <c r="D429" s="4"/>
      <c r="E429" s="4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1.0" customHeight="1">
      <c r="A430" s="4"/>
      <c r="B430" s="4"/>
      <c r="C430" s="4"/>
      <c r="D430" s="4"/>
      <c r="E430" s="4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1.0" customHeight="1">
      <c r="A431" s="4"/>
      <c r="B431" s="4"/>
      <c r="C431" s="4"/>
      <c r="D431" s="4"/>
      <c r="E431" s="4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1.0" customHeight="1">
      <c r="A432" s="4"/>
      <c r="B432" s="4"/>
      <c r="C432" s="4"/>
      <c r="D432" s="4"/>
      <c r="E432" s="4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1.0" customHeight="1">
      <c r="A433" s="4"/>
      <c r="B433" s="4"/>
      <c r="C433" s="4"/>
      <c r="D433" s="4"/>
      <c r="E433" s="4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1.0" customHeight="1">
      <c r="A434" s="4"/>
      <c r="B434" s="4"/>
      <c r="C434" s="4"/>
      <c r="D434" s="4"/>
      <c r="E434" s="4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1.0" customHeight="1">
      <c r="A435" s="4"/>
      <c r="B435" s="4"/>
      <c r="C435" s="4"/>
      <c r="D435" s="4"/>
      <c r="E435" s="4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1.0" customHeight="1">
      <c r="A436" s="4"/>
      <c r="B436" s="4"/>
      <c r="C436" s="4"/>
      <c r="D436" s="4"/>
      <c r="E436" s="4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1.0" customHeight="1">
      <c r="A437" s="4"/>
      <c r="B437" s="4"/>
      <c r="C437" s="4"/>
      <c r="D437" s="4"/>
      <c r="E437" s="4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1.0" customHeight="1">
      <c r="A438" s="4"/>
      <c r="B438" s="4"/>
      <c r="C438" s="4"/>
      <c r="D438" s="4"/>
      <c r="E438" s="4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1.0" customHeight="1">
      <c r="A439" s="4"/>
      <c r="B439" s="4"/>
      <c r="C439" s="4"/>
      <c r="D439" s="4"/>
      <c r="E439" s="4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1.0" customHeight="1">
      <c r="A440" s="4"/>
      <c r="B440" s="4"/>
      <c r="C440" s="4"/>
      <c r="D440" s="4"/>
      <c r="E440" s="4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1.0" customHeight="1">
      <c r="A441" s="4"/>
      <c r="B441" s="4"/>
      <c r="C441" s="4"/>
      <c r="D441" s="4"/>
      <c r="E441" s="4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1.0" customHeight="1">
      <c r="A442" s="4"/>
      <c r="B442" s="4"/>
      <c r="C442" s="4"/>
      <c r="D442" s="4"/>
      <c r="E442" s="4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1.0" customHeight="1">
      <c r="A443" s="4"/>
      <c r="B443" s="4"/>
      <c r="C443" s="4"/>
      <c r="D443" s="4"/>
      <c r="E443" s="4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1.0" customHeight="1">
      <c r="A444" s="4"/>
      <c r="B444" s="4"/>
      <c r="C444" s="4"/>
      <c r="D444" s="4"/>
      <c r="E444" s="4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1.0" customHeight="1">
      <c r="A445" s="4"/>
      <c r="B445" s="4"/>
      <c r="C445" s="4"/>
      <c r="D445" s="4"/>
      <c r="E445" s="4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1.0" customHeight="1">
      <c r="A446" s="4"/>
      <c r="B446" s="4"/>
      <c r="C446" s="4"/>
      <c r="D446" s="4"/>
      <c r="E446" s="4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1.0" customHeight="1">
      <c r="A447" s="4"/>
      <c r="B447" s="4"/>
      <c r="C447" s="4"/>
      <c r="D447" s="4"/>
      <c r="E447" s="4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1.0" customHeight="1">
      <c r="A448" s="4"/>
      <c r="B448" s="4"/>
      <c r="C448" s="4"/>
      <c r="D448" s="4"/>
      <c r="E448" s="4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1.0" customHeight="1">
      <c r="A449" s="4"/>
      <c r="B449" s="4"/>
      <c r="C449" s="4"/>
      <c r="D449" s="4"/>
      <c r="E449" s="4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1.0" customHeight="1">
      <c r="A450" s="4"/>
      <c r="B450" s="4"/>
      <c r="C450" s="4"/>
      <c r="D450" s="4"/>
      <c r="E450" s="4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1.0" customHeight="1">
      <c r="A451" s="4"/>
      <c r="B451" s="4"/>
      <c r="C451" s="4"/>
      <c r="D451" s="4"/>
      <c r="E451" s="4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1.0" customHeight="1">
      <c r="A452" s="4"/>
      <c r="B452" s="4"/>
      <c r="C452" s="4"/>
      <c r="D452" s="4"/>
      <c r="E452" s="4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1.0" customHeight="1">
      <c r="A453" s="4"/>
      <c r="B453" s="4"/>
      <c r="C453" s="4"/>
      <c r="D453" s="4"/>
      <c r="E453" s="4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1.0" customHeight="1">
      <c r="A454" s="4"/>
      <c r="B454" s="4"/>
      <c r="C454" s="4"/>
      <c r="D454" s="4"/>
      <c r="E454" s="4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1.0" customHeight="1">
      <c r="A455" s="4"/>
      <c r="B455" s="4"/>
      <c r="C455" s="4"/>
      <c r="D455" s="4"/>
      <c r="E455" s="4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1.0" customHeight="1">
      <c r="A456" s="4"/>
      <c r="B456" s="4"/>
      <c r="C456" s="4"/>
      <c r="D456" s="4"/>
      <c r="E456" s="4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1.0" customHeight="1">
      <c r="A457" s="4"/>
      <c r="B457" s="4"/>
      <c r="C457" s="4"/>
      <c r="D457" s="4"/>
      <c r="E457" s="4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1.0" customHeight="1">
      <c r="A458" s="4"/>
      <c r="B458" s="4"/>
      <c r="C458" s="4"/>
      <c r="D458" s="4"/>
      <c r="E458" s="4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1.0" customHeight="1">
      <c r="A459" s="4"/>
      <c r="B459" s="4"/>
      <c r="C459" s="4"/>
      <c r="D459" s="4"/>
      <c r="E459" s="4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1.0" customHeight="1">
      <c r="A460" s="4"/>
      <c r="B460" s="4"/>
      <c r="C460" s="4"/>
      <c r="D460" s="4"/>
      <c r="E460" s="4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1.0" customHeight="1">
      <c r="A461" s="4"/>
      <c r="B461" s="4"/>
      <c r="C461" s="4"/>
      <c r="D461" s="4"/>
      <c r="E461" s="4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1.0" customHeight="1">
      <c r="A462" s="4"/>
      <c r="B462" s="4"/>
      <c r="C462" s="4"/>
      <c r="D462" s="4"/>
      <c r="E462" s="4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1.0" customHeight="1">
      <c r="A463" s="4"/>
      <c r="B463" s="4"/>
      <c r="C463" s="4"/>
      <c r="D463" s="4"/>
      <c r="E463" s="4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1.0" customHeight="1">
      <c r="A464" s="4"/>
      <c r="B464" s="4"/>
      <c r="C464" s="4"/>
      <c r="D464" s="4"/>
      <c r="E464" s="4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1.0" customHeight="1">
      <c r="A465" s="4"/>
      <c r="B465" s="4"/>
      <c r="C465" s="4"/>
      <c r="D465" s="4"/>
      <c r="E465" s="4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1.0" customHeight="1">
      <c r="A466" s="4"/>
      <c r="B466" s="4"/>
      <c r="C466" s="4"/>
      <c r="D466" s="4"/>
      <c r="E466" s="4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1.0" customHeight="1">
      <c r="A467" s="4"/>
      <c r="B467" s="4"/>
      <c r="C467" s="4"/>
      <c r="D467" s="4"/>
      <c r="E467" s="4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1.0" customHeight="1">
      <c r="A468" s="4"/>
      <c r="B468" s="4"/>
      <c r="C468" s="4"/>
      <c r="D468" s="4"/>
      <c r="E468" s="4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1.0" customHeight="1">
      <c r="A469" s="4"/>
      <c r="B469" s="4"/>
      <c r="C469" s="4"/>
      <c r="D469" s="4"/>
      <c r="E469" s="4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1.0" customHeight="1">
      <c r="A470" s="4"/>
      <c r="B470" s="4"/>
      <c r="C470" s="4"/>
      <c r="D470" s="4"/>
      <c r="E470" s="4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1.0" customHeight="1">
      <c r="A471" s="4"/>
      <c r="B471" s="4"/>
      <c r="C471" s="4"/>
      <c r="D471" s="4"/>
      <c r="E471" s="4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1.0" customHeight="1">
      <c r="A472" s="4"/>
      <c r="B472" s="4"/>
      <c r="C472" s="4"/>
      <c r="D472" s="4"/>
      <c r="E472" s="4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1.0" customHeight="1">
      <c r="A473" s="4"/>
      <c r="B473" s="4"/>
      <c r="C473" s="4"/>
      <c r="D473" s="4"/>
      <c r="E473" s="4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1.0" customHeight="1">
      <c r="A474" s="4"/>
      <c r="B474" s="4"/>
      <c r="C474" s="4"/>
      <c r="D474" s="4"/>
      <c r="E474" s="4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1.0" customHeight="1">
      <c r="A475" s="4"/>
      <c r="B475" s="4"/>
      <c r="C475" s="4"/>
      <c r="D475" s="4"/>
      <c r="E475" s="4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1.0" customHeight="1">
      <c r="A476" s="4"/>
      <c r="B476" s="4"/>
      <c r="C476" s="4"/>
      <c r="D476" s="4"/>
      <c r="E476" s="4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1.0" customHeight="1">
      <c r="A477" s="4"/>
      <c r="B477" s="4"/>
      <c r="C477" s="4"/>
      <c r="D477" s="4"/>
      <c r="E477" s="4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1.0" customHeight="1">
      <c r="A478" s="4"/>
      <c r="B478" s="4"/>
      <c r="C478" s="4"/>
      <c r="D478" s="4"/>
      <c r="E478" s="4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1.0" customHeight="1">
      <c r="A479" s="4"/>
      <c r="B479" s="4"/>
      <c r="C479" s="4"/>
      <c r="D479" s="4"/>
      <c r="E479" s="4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1.0" customHeight="1">
      <c r="A480" s="4"/>
      <c r="B480" s="4"/>
      <c r="C480" s="4"/>
      <c r="D480" s="4"/>
      <c r="E480" s="4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1.0" customHeight="1">
      <c r="A481" s="4"/>
      <c r="B481" s="4"/>
      <c r="C481" s="4"/>
      <c r="D481" s="4"/>
      <c r="E481" s="4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1.0" customHeight="1">
      <c r="A482" s="4"/>
      <c r="B482" s="4"/>
      <c r="C482" s="4"/>
      <c r="D482" s="4"/>
      <c r="E482" s="4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1.0" customHeight="1">
      <c r="A483" s="4"/>
      <c r="B483" s="4"/>
      <c r="C483" s="4"/>
      <c r="D483" s="4"/>
      <c r="E483" s="4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1.0" customHeight="1">
      <c r="A484" s="4"/>
      <c r="B484" s="4"/>
      <c r="C484" s="4"/>
      <c r="D484" s="4"/>
      <c r="E484" s="4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1.0" customHeight="1">
      <c r="A485" s="4"/>
      <c r="B485" s="4"/>
      <c r="C485" s="4"/>
      <c r="D485" s="4"/>
      <c r="E485" s="4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1.0" customHeight="1">
      <c r="A486" s="4"/>
      <c r="B486" s="4"/>
      <c r="C486" s="4"/>
      <c r="D486" s="4"/>
      <c r="E486" s="4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1.0" customHeight="1">
      <c r="A487" s="4"/>
      <c r="B487" s="4"/>
      <c r="C487" s="4"/>
      <c r="D487" s="4"/>
      <c r="E487" s="4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1.0" customHeight="1">
      <c r="A488" s="4"/>
      <c r="B488" s="4"/>
      <c r="C488" s="4"/>
      <c r="D488" s="4"/>
      <c r="E488" s="4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1.0" customHeight="1">
      <c r="A489" s="4"/>
      <c r="B489" s="4"/>
      <c r="C489" s="4"/>
      <c r="D489" s="4"/>
      <c r="E489" s="4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1.0" customHeight="1">
      <c r="A490" s="4"/>
      <c r="B490" s="4"/>
      <c r="C490" s="4"/>
      <c r="D490" s="4"/>
      <c r="E490" s="4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1.0" customHeight="1">
      <c r="A491" s="4"/>
      <c r="B491" s="4"/>
      <c r="C491" s="4"/>
      <c r="D491" s="4"/>
      <c r="E491" s="4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1.0" customHeight="1">
      <c r="A492" s="4"/>
      <c r="B492" s="4"/>
      <c r="C492" s="4"/>
      <c r="D492" s="4"/>
      <c r="E492" s="4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1.0" customHeight="1">
      <c r="A493" s="4"/>
      <c r="B493" s="4"/>
      <c r="C493" s="4"/>
      <c r="D493" s="4"/>
      <c r="E493" s="4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1.0" customHeight="1">
      <c r="A494" s="4"/>
      <c r="B494" s="4"/>
      <c r="C494" s="4"/>
      <c r="D494" s="4"/>
      <c r="E494" s="4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1.0" customHeight="1">
      <c r="A495" s="4"/>
      <c r="B495" s="4"/>
      <c r="C495" s="4"/>
      <c r="D495" s="4"/>
      <c r="E495" s="4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1.0" customHeight="1">
      <c r="A496" s="4"/>
      <c r="B496" s="4"/>
      <c r="C496" s="4"/>
      <c r="D496" s="4"/>
      <c r="E496" s="4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1.0" customHeight="1">
      <c r="A497" s="4"/>
      <c r="B497" s="4"/>
      <c r="C497" s="4"/>
      <c r="D497" s="4"/>
      <c r="E497" s="4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1.0" customHeight="1">
      <c r="A498" s="4"/>
      <c r="B498" s="4"/>
      <c r="C498" s="4"/>
      <c r="D498" s="4"/>
      <c r="E498" s="4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1.0" customHeight="1">
      <c r="A499" s="4"/>
      <c r="B499" s="4"/>
      <c r="C499" s="4"/>
      <c r="D499" s="4"/>
      <c r="E499" s="4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1.0" customHeight="1">
      <c r="A500" s="4"/>
      <c r="B500" s="4"/>
      <c r="C500" s="4"/>
      <c r="D500" s="4"/>
      <c r="E500" s="4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1.0" customHeight="1">
      <c r="A501" s="4"/>
      <c r="B501" s="4"/>
      <c r="C501" s="4"/>
      <c r="D501" s="4"/>
      <c r="E501" s="4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1.0" customHeight="1">
      <c r="A502" s="4"/>
      <c r="B502" s="4"/>
      <c r="C502" s="4"/>
      <c r="D502" s="4"/>
      <c r="E502" s="4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1.0" customHeight="1">
      <c r="A503" s="4"/>
      <c r="B503" s="4"/>
      <c r="C503" s="4"/>
      <c r="D503" s="4"/>
      <c r="E503" s="4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1.0" customHeight="1">
      <c r="A504" s="4"/>
      <c r="B504" s="4"/>
      <c r="C504" s="4"/>
      <c r="D504" s="4"/>
      <c r="E504" s="4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1.0" customHeight="1">
      <c r="A505" s="4"/>
      <c r="B505" s="4"/>
      <c r="C505" s="4"/>
      <c r="D505" s="4"/>
      <c r="E505" s="4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1.0" customHeight="1">
      <c r="A506" s="4"/>
      <c r="B506" s="4"/>
      <c r="C506" s="4"/>
      <c r="D506" s="4"/>
      <c r="E506" s="4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1.0" customHeight="1">
      <c r="A507" s="4"/>
      <c r="B507" s="4"/>
      <c r="C507" s="4"/>
      <c r="D507" s="4"/>
      <c r="E507" s="4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1.0" customHeight="1">
      <c r="A508" s="4"/>
      <c r="B508" s="4"/>
      <c r="C508" s="4"/>
      <c r="D508" s="4"/>
      <c r="E508" s="4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1.0" customHeight="1">
      <c r="A509" s="4"/>
      <c r="B509" s="4"/>
      <c r="C509" s="4"/>
      <c r="D509" s="4"/>
      <c r="E509" s="4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1.0" customHeight="1">
      <c r="A510" s="4"/>
      <c r="B510" s="4"/>
      <c r="C510" s="4"/>
      <c r="D510" s="4"/>
      <c r="E510" s="4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1.0" customHeight="1">
      <c r="A511" s="4"/>
      <c r="B511" s="4"/>
      <c r="C511" s="4"/>
      <c r="D511" s="4"/>
      <c r="E511" s="4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1.0" customHeight="1">
      <c r="A512" s="4"/>
      <c r="B512" s="4"/>
      <c r="C512" s="4"/>
      <c r="D512" s="4"/>
      <c r="E512" s="4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1.0" customHeight="1">
      <c r="A513" s="4"/>
      <c r="B513" s="4"/>
      <c r="C513" s="4"/>
      <c r="D513" s="4"/>
      <c r="E513" s="4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1.0" customHeight="1">
      <c r="A514" s="4"/>
      <c r="B514" s="4"/>
      <c r="C514" s="4"/>
      <c r="D514" s="4"/>
      <c r="E514" s="4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1.0" customHeight="1">
      <c r="A515" s="4"/>
      <c r="B515" s="4"/>
      <c r="C515" s="4"/>
      <c r="D515" s="4"/>
      <c r="E515" s="4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1.0" customHeight="1">
      <c r="A516" s="4"/>
      <c r="B516" s="4"/>
      <c r="C516" s="4"/>
      <c r="D516" s="4"/>
      <c r="E516" s="4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1.0" customHeight="1">
      <c r="A517" s="4"/>
      <c r="B517" s="4"/>
      <c r="C517" s="4"/>
      <c r="D517" s="4"/>
      <c r="E517" s="4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1.0" customHeight="1">
      <c r="A518" s="4"/>
      <c r="B518" s="4"/>
      <c r="C518" s="4"/>
      <c r="D518" s="4"/>
      <c r="E518" s="4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1.0" customHeight="1">
      <c r="A519" s="4"/>
      <c r="B519" s="4"/>
      <c r="C519" s="4"/>
      <c r="D519" s="4"/>
      <c r="E519" s="4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1.0" customHeight="1">
      <c r="A520" s="4"/>
      <c r="B520" s="4"/>
      <c r="C520" s="4"/>
      <c r="D520" s="4"/>
      <c r="E520" s="4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1.0" customHeight="1">
      <c r="A521" s="4"/>
      <c r="B521" s="4"/>
      <c r="C521" s="4"/>
      <c r="D521" s="4"/>
      <c r="E521" s="4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1.0" customHeight="1">
      <c r="A522" s="4"/>
      <c r="B522" s="4"/>
      <c r="C522" s="4"/>
      <c r="D522" s="4"/>
      <c r="E522" s="4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1.0" customHeight="1">
      <c r="A523" s="4"/>
      <c r="B523" s="4"/>
      <c r="C523" s="4"/>
      <c r="D523" s="4"/>
      <c r="E523" s="4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1.0" customHeight="1">
      <c r="A524" s="4"/>
      <c r="B524" s="4"/>
      <c r="C524" s="4"/>
      <c r="D524" s="4"/>
      <c r="E524" s="4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1.0" customHeight="1">
      <c r="A525" s="4"/>
      <c r="B525" s="4"/>
      <c r="C525" s="4"/>
      <c r="D525" s="4"/>
      <c r="E525" s="4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1.0" customHeight="1">
      <c r="A526" s="4"/>
      <c r="B526" s="4"/>
      <c r="C526" s="4"/>
      <c r="D526" s="4"/>
      <c r="E526" s="4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1.0" customHeight="1">
      <c r="A527" s="4"/>
      <c r="B527" s="4"/>
      <c r="C527" s="4"/>
      <c r="D527" s="4"/>
      <c r="E527" s="4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1.0" customHeight="1">
      <c r="A528" s="4"/>
      <c r="B528" s="4"/>
      <c r="C528" s="4"/>
      <c r="D528" s="4"/>
      <c r="E528" s="4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1.0" customHeight="1">
      <c r="A529" s="4"/>
      <c r="B529" s="4"/>
      <c r="C529" s="4"/>
      <c r="D529" s="4"/>
      <c r="E529" s="4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1.0" customHeight="1">
      <c r="A530" s="4"/>
      <c r="B530" s="4"/>
      <c r="C530" s="4"/>
      <c r="D530" s="4"/>
      <c r="E530" s="4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1.0" customHeight="1">
      <c r="A531" s="4"/>
      <c r="B531" s="4"/>
      <c r="C531" s="4"/>
      <c r="D531" s="4"/>
      <c r="E531" s="4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1.0" customHeight="1">
      <c r="A532" s="4"/>
      <c r="B532" s="4"/>
      <c r="C532" s="4"/>
      <c r="D532" s="4"/>
      <c r="E532" s="4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.29"/>
    <col customWidth="1" min="3" max="3" width="32.14"/>
    <col customWidth="1" min="4" max="6" width="9.14"/>
    <col customWidth="1" min="7" max="23" width="8.0"/>
  </cols>
  <sheetData>
    <row r="1" ht="12.75" customHeight="1">
      <c r="A1" s="630" t="s">
        <v>249</v>
      </c>
      <c r="B1" s="631"/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</row>
    <row r="2" ht="13.5" customHeight="1">
      <c r="A2" s="630" t="s">
        <v>250</v>
      </c>
      <c r="B2" s="631"/>
      <c r="C2" s="631"/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631"/>
      <c r="S2" s="631"/>
      <c r="T2" s="631"/>
      <c r="U2" s="631"/>
      <c r="V2" s="631"/>
      <c r="W2" s="631"/>
    </row>
    <row r="3" ht="13.5" customHeight="1">
      <c r="A3" s="632" t="s">
        <v>251</v>
      </c>
      <c r="B3" s="631"/>
      <c r="C3" s="633" t="s">
        <v>252</v>
      </c>
      <c r="D3" s="631"/>
      <c r="E3" s="631"/>
      <c r="F3" s="631"/>
      <c r="G3" s="631"/>
      <c r="H3" s="631"/>
      <c r="I3" s="631"/>
      <c r="J3" s="631"/>
      <c r="K3" s="631"/>
      <c r="L3" s="631"/>
      <c r="M3" s="631"/>
      <c r="N3" s="631"/>
      <c r="O3" s="631"/>
      <c r="P3" s="631"/>
      <c r="Q3" s="631"/>
      <c r="R3" s="631"/>
      <c r="S3" s="631"/>
      <c r="T3" s="631"/>
      <c r="U3" s="631"/>
      <c r="V3" s="631"/>
      <c r="W3" s="631"/>
    </row>
    <row r="4" ht="12.75" customHeight="1">
      <c r="A4" s="632" t="e">
        <v>#N/A</v>
      </c>
      <c r="B4" s="631"/>
      <c r="C4" s="631"/>
      <c r="D4" s="631"/>
      <c r="E4" s="631"/>
      <c r="F4" s="631"/>
      <c r="G4" s="631"/>
      <c r="H4" s="631"/>
      <c r="I4" s="631"/>
      <c r="J4" s="631"/>
      <c r="K4" s="631"/>
      <c r="L4" s="631"/>
      <c r="M4" s="631"/>
      <c r="N4" s="631"/>
      <c r="O4" s="631"/>
      <c r="P4" s="631"/>
      <c r="Q4" s="631"/>
      <c r="R4" s="631"/>
      <c r="S4" s="631"/>
      <c r="T4" s="631"/>
      <c r="U4" s="631"/>
      <c r="V4" s="631"/>
      <c r="W4" s="631"/>
    </row>
    <row r="5" ht="12.75" customHeight="1">
      <c r="A5" s="631"/>
      <c r="B5" s="631"/>
      <c r="C5" s="631"/>
      <c r="D5" s="631"/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631"/>
      <c r="P5" s="631"/>
      <c r="Q5" s="631"/>
      <c r="R5" s="631"/>
      <c r="S5" s="631"/>
      <c r="T5" s="631"/>
      <c r="U5" s="631"/>
      <c r="V5" s="631"/>
      <c r="W5" s="631"/>
    </row>
    <row r="6" ht="13.5" customHeight="1">
      <c r="A6" s="631"/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</row>
    <row r="7" ht="12.75" customHeight="1">
      <c r="A7" s="634" t="s">
        <v>253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</row>
    <row r="8" ht="12.75" customHeight="1">
      <c r="A8" s="635" t="s">
        <v>254</v>
      </c>
      <c r="B8" s="631"/>
      <c r="C8" s="631"/>
      <c r="D8" s="631"/>
      <c r="E8" s="631"/>
      <c r="F8" s="631"/>
      <c r="G8" s="631"/>
      <c r="H8" s="631"/>
      <c r="I8" s="631"/>
      <c r="J8" s="631"/>
      <c r="K8" s="631"/>
      <c r="L8" s="631"/>
      <c r="M8" s="631"/>
      <c r="N8" s="631"/>
      <c r="O8" s="631"/>
      <c r="P8" s="631"/>
      <c r="Q8" s="631"/>
      <c r="R8" s="631"/>
      <c r="S8" s="631"/>
      <c r="T8" s="631"/>
      <c r="U8" s="631"/>
      <c r="V8" s="631"/>
      <c r="W8" s="631"/>
    </row>
    <row r="9" ht="12.75" customHeight="1">
      <c r="A9" s="636" t="s">
        <v>255</v>
      </c>
      <c r="B9" s="631"/>
      <c r="C9" s="631"/>
      <c r="D9" s="631"/>
      <c r="E9" s="631"/>
      <c r="F9" s="631"/>
      <c r="G9" s="631"/>
      <c r="H9" s="631"/>
      <c r="I9" s="631"/>
      <c r="J9" s="631"/>
      <c r="K9" s="631"/>
      <c r="L9" s="631"/>
      <c r="M9" s="631"/>
      <c r="N9" s="631"/>
      <c r="O9" s="631"/>
      <c r="P9" s="631"/>
      <c r="Q9" s="631"/>
      <c r="R9" s="631"/>
      <c r="S9" s="631"/>
      <c r="T9" s="631"/>
      <c r="U9" s="631"/>
      <c r="V9" s="631"/>
      <c r="W9" s="631"/>
    </row>
    <row r="10" ht="12.75" customHeight="1">
      <c r="A10" s="635" t="s">
        <v>256</v>
      </c>
      <c r="B10" s="631"/>
      <c r="C10" s="631"/>
      <c r="D10" s="631"/>
      <c r="E10" s="631"/>
      <c r="F10" s="631"/>
      <c r="G10" s="631"/>
      <c r="H10" s="631"/>
      <c r="I10" s="631"/>
      <c r="J10" s="631"/>
      <c r="K10" s="631"/>
      <c r="L10" s="631"/>
      <c r="M10" s="631"/>
      <c r="N10" s="631"/>
      <c r="O10" s="631"/>
      <c r="P10" s="631"/>
      <c r="Q10" s="631"/>
      <c r="R10" s="631"/>
      <c r="S10" s="631"/>
      <c r="T10" s="631"/>
      <c r="U10" s="631"/>
      <c r="V10" s="631"/>
      <c r="W10" s="631"/>
    </row>
    <row r="11" ht="13.5" customHeight="1">
      <c r="A11" s="637" t="s">
        <v>257</v>
      </c>
      <c r="B11" s="631"/>
      <c r="C11" s="631"/>
      <c r="D11" s="631"/>
      <c r="E11" s="631"/>
      <c r="F11" s="631"/>
      <c r="G11" s="631"/>
      <c r="H11" s="631"/>
      <c r="I11" s="631"/>
      <c r="J11" s="631"/>
      <c r="K11" s="631"/>
      <c r="L11" s="631"/>
      <c r="M11" s="631"/>
      <c r="N11" s="631"/>
      <c r="O11" s="631"/>
      <c r="P11" s="631"/>
      <c r="Q11" s="631"/>
      <c r="R11" s="631"/>
      <c r="S11" s="631"/>
      <c r="T11" s="631"/>
      <c r="U11" s="631"/>
      <c r="V11" s="631"/>
      <c r="W11" s="631"/>
    </row>
    <row r="12" ht="12.75" customHeight="1">
      <c r="A12" s="631"/>
      <c r="B12" s="631"/>
      <c r="C12" s="631"/>
      <c r="D12" s="631"/>
      <c r="E12" s="631"/>
      <c r="F12" s="631"/>
      <c r="G12" s="631"/>
      <c r="H12" s="631"/>
      <c r="I12" s="631"/>
      <c r="J12" s="631"/>
      <c r="K12" s="631"/>
      <c r="L12" s="631"/>
      <c r="M12" s="631"/>
      <c r="N12" s="631"/>
      <c r="O12" s="631"/>
      <c r="P12" s="631"/>
      <c r="Q12" s="631"/>
      <c r="R12" s="631"/>
      <c r="S12" s="631"/>
      <c r="T12" s="631"/>
      <c r="U12" s="631"/>
      <c r="V12" s="631"/>
      <c r="W12" s="631"/>
    </row>
    <row r="13" ht="13.5" customHeight="1">
      <c r="A13" s="631"/>
      <c r="B13" s="631"/>
      <c r="C13" s="631"/>
      <c r="D13" s="631"/>
      <c r="E13" s="631"/>
      <c r="F13" s="631"/>
      <c r="G13" s="631"/>
      <c r="H13" s="631"/>
      <c r="I13" s="631"/>
      <c r="J13" s="631"/>
      <c r="K13" s="631"/>
      <c r="L13" s="631"/>
      <c r="M13" s="631"/>
      <c r="N13" s="631"/>
      <c r="O13" s="631"/>
      <c r="P13" s="631"/>
      <c r="Q13" s="631"/>
      <c r="R13" s="631"/>
      <c r="S13" s="631"/>
      <c r="T13" s="631"/>
      <c r="U13" s="631"/>
      <c r="V13" s="631"/>
      <c r="W13" s="631"/>
    </row>
    <row r="14" ht="13.5" customHeight="1">
      <c r="A14" s="633" t="s">
        <v>258</v>
      </c>
      <c r="B14" s="631"/>
      <c r="C14" s="631"/>
      <c r="D14" s="631"/>
      <c r="E14" s="631"/>
      <c r="F14" s="631"/>
      <c r="G14" s="631"/>
      <c r="H14" s="631"/>
      <c r="I14" s="631"/>
      <c r="J14" s="631"/>
      <c r="K14" s="631"/>
      <c r="L14" s="631"/>
      <c r="M14" s="631"/>
      <c r="N14" s="631"/>
      <c r="O14" s="631"/>
      <c r="P14" s="631"/>
      <c r="Q14" s="631"/>
      <c r="R14" s="631"/>
      <c r="S14" s="631"/>
      <c r="T14" s="631"/>
      <c r="U14" s="631"/>
      <c r="V14" s="631"/>
      <c r="W14" s="631"/>
    </row>
    <row r="15" ht="12.75" customHeight="1">
      <c r="A15" s="631"/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631"/>
      <c r="T15" s="631"/>
      <c r="U15" s="631"/>
      <c r="V15" s="631"/>
      <c r="W15" s="631"/>
    </row>
    <row r="16" ht="13.5" customHeight="1">
      <c r="A16" s="631"/>
      <c r="B16" s="631"/>
      <c r="C16" s="631"/>
      <c r="D16" s="631"/>
      <c r="E16" s="631"/>
      <c r="F16" s="631"/>
      <c r="G16" s="631"/>
      <c r="H16" s="631"/>
      <c r="I16" s="631"/>
      <c r="J16" s="631"/>
      <c r="K16" s="631"/>
      <c r="L16" s="631"/>
      <c r="M16" s="631"/>
      <c r="N16" s="631"/>
      <c r="O16" s="631"/>
      <c r="P16" s="631"/>
      <c r="Q16" s="631"/>
      <c r="R16" s="631"/>
      <c r="S16" s="631"/>
      <c r="T16" s="631"/>
      <c r="U16" s="631"/>
      <c r="V16" s="631"/>
      <c r="W16" s="631"/>
    </row>
    <row r="17" ht="13.5" customHeight="1">
      <c r="A17" s="631"/>
      <c r="B17" s="631"/>
      <c r="C17" s="633" t="s">
        <v>259</v>
      </c>
      <c r="D17" s="631"/>
      <c r="E17" s="631"/>
      <c r="F17" s="631"/>
      <c r="G17" s="631"/>
      <c r="H17" s="631"/>
      <c r="I17" s="631"/>
      <c r="J17" s="631"/>
      <c r="K17" s="631"/>
      <c r="L17" s="631"/>
      <c r="M17" s="631"/>
      <c r="N17" s="631"/>
      <c r="O17" s="631"/>
      <c r="P17" s="631"/>
      <c r="Q17" s="631"/>
      <c r="R17" s="631"/>
      <c r="S17" s="631"/>
      <c r="T17" s="631"/>
      <c r="U17" s="631"/>
      <c r="V17" s="631"/>
      <c r="W17" s="631"/>
    </row>
    <row r="18" ht="12.75" customHeight="1">
      <c r="A18" s="631"/>
      <c r="B18" s="631"/>
      <c r="C18" s="631"/>
      <c r="D18" s="631"/>
      <c r="E18" s="631"/>
      <c r="F18" s="631"/>
      <c r="G18" s="631"/>
      <c r="H18" s="631"/>
      <c r="I18" s="631"/>
      <c r="J18" s="631"/>
      <c r="K18" s="631"/>
      <c r="L18" s="631"/>
      <c r="M18" s="631"/>
      <c r="N18" s="631"/>
      <c r="O18" s="631"/>
      <c r="P18" s="631"/>
      <c r="Q18" s="631"/>
      <c r="R18" s="631"/>
      <c r="S18" s="631"/>
      <c r="T18" s="631"/>
      <c r="U18" s="631"/>
      <c r="V18" s="631"/>
      <c r="W18" s="631"/>
    </row>
    <row r="19" ht="12.75" customHeight="1">
      <c r="A19" s="631"/>
      <c r="B19" s="631"/>
      <c r="C19" s="631"/>
      <c r="D19" s="631"/>
      <c r="E19" s="631"/>
      <c r="F19" s="631"/>
      <c r="G19" s="631"/>
      <c r="H19" s="631"/>
      <c r="I19" s="631"/>
      <c r="J19" s="631"/>
      <c r="K19" s="631"/>
      <c r="L19" s="631"/>
      <c r="M19" s="631"/>
      <c r="N19" s="631"/>
      <c r="O19" s="631"/>
      <c r="P19" s="631"/>
      <c r="Q19" s="631"/>
      <c r="R19" s="631"/>
      <c r="S19" s="631"/>
      <c r="T19" s="631"/>
      <c r="U19" s="631"/>
      <c r="V19" s="631"/>
      <c r="W19" s="631"/>
    </row>
    <row r="20" ht="12.75" customHeight="1">
      <c r="A20" s="638" t="s">
        <v>260</v>
      </c>
      <c r="B20" s="631"/>
      <c r="C20" s="631"/>
      <c r="D20" s="631"/>
      <c r="E20" s="631"/>
      <c r="F20" s="631"/>
      <c r="G20" s="631"/>
      <c r="H20" s="631"/>
      <c r="I20" s="631"/>
      <c r="J20" s="631"/>
      <c r="K20" s="631"/>
      <c r="L20" s="631"/>
      <c r="M20" s="631"/>
      <c r="N20" s="631"/>
      <c r="O20" s="631"/>
      <c r="P20" s="631"/>
      <c r="Q20" s="631"/>
      <c r="R20" s="631"/>
      <c r="S20" s="631"/>
      <c r="T20" s="631"/>
      <c r="U20" s="631"/>
      <c r="V20" s="631"/>
      <c r="W20" s="631"/>
    </row>
    <row r="21" ht="12.75" customHeight="1">
      <c r="A21" s="631"/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31"/>
      <c r="T21" s="631"/>
      <c r="U21" s="631"/>
      <c r="V21" s="631"/>
      <c r="W21" s="631"/>
    </row>
    <row r="22" ht="12.75" customHeight="1">
      <c r="A22" s="631"/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631"/>
      <c r="T22" s="631"/>
      <c r="U22" s="631"/>
      <c r="V22" s="631"/>
      <c r="W22" s="631"/>
    </row>
    <row r="23" ht="12.75" customHeight="1">
      <c r="A23" s="631"/>
      <c r="B23" s="631"/>
      <c r="C23" s="631"/>
      <c r="D23" s="631"/>
      <c r="E23" s="631"/>
      <c r="F23" s="631"/>
      <c r="G23" s="631"/>
      <c r="H23" s="631"/>
      <c r="I23" s="631"/>
      <c r="J23" s="631"/>
      <c r="K23" s="631"/>
      <c r="L23" s="631"/>
      <c r="M23" s="631"/>
      <c r="N23" s="631"/>
      <c r="O23" s="631"/>
      <c r="P23" s="631"/>
      <c r="Q23" s="631"/>
      <c r="R23" s="631"/>
      <c r="S23" s="631"/>
      <c r="T23" s="631"/>
      <c r="U23" s="631"/>
      <c r="V23" s="631"/>
      <c r="W23" s="631"/>
    </row>
    <row r="24" ht="12.75" customHeight="1">
      <c r="A24" s="631"/>
      <c r="B24" s="631"/>
      <c r="C24" s="631"/>
      <c r="D24" s="631"/>
      <c r="E24" s="631"/>
      <c r="F24" s="631"/>
      <c r="G24" s="631"/>
      <c r="H24" s="631"/>
      <c r="I24" s="631"/>
      <c r="J24" s="631"/>
      <c r="K24" s="631"/>
      <c r="L24" s="631"/>
      <c r="M24" s="631"/>
      <c r="N24" s="631"/>
      <c r="O24" s="631"/>
      <c r="P24" s="631"/>
      <c r="Q24" s="631"/>
      <c r="R24" s="631"/>
      <c r="S24" s="631"/>
      <c r="T24" s="631"/>
      <c r="U24" s="631"/>
      <c r="V24" s="631"/>
      <c r="W24" s="631"/>
    </row>
    <row r="25" ht="12.75" customHeight="1">
      <c r="A25" s="631"/>
      <c r="B25" s="631"/>
      <c r="C25" s="631"/>
      <c r="D25" s="631"/>
      <c r="E25" s="631"/>
      <c r="F25" s="631"/>
      <c r="G25" s="631"/>
      <c r="H25" s="631"/>
      <c r="I25" s="631"/>
      <c r="J25" s="631"/>
      <c r="K25" s="631"/>
      <c r="L25" s="631"/>
      <c r="M25" s="631"/>
      <c r="N25" s="631"/>
      <c r="O25" s="631"/>
      <c r="P25" s="631"/>
      <c r="Q25" s="631"/>
      <c r="R25" s="631"/>
      <c r="S25" s="631"/>
      <c r="T25" s="631"/>
      <c r="U25" s="631"/>
      <c r="V25" s="631"/>
      <c r="W25" s="631"/>
    </row>
    <row r="26" ht="13.5" customHeight="1">
      <c r="A26" s="631"/>
      <c r="B26" s="631"/>
      <c r="C26" s="639" t="s">
        <v>261</v>
      </c>
      <c r="D26" s="631"/>
      <c r="E26" s="631"/>
      <c r="F26" s="631"/>
      <c r="G26" s="631"/>
      <c r="H26" s="631"/>
      <c r="I26" s="631"/>
      <c r="J26" s="631"/>
      <c r="K26" s="631"/>
      <c r="L26" s="631"/>
      <c r="M26" s="631"/>
      <c r="N26" s="631"/>
      <c r="O26" s="631"/>
      <c r="P26" s="631"/>
      <c r="Q26" s="631"/>
      <c r="R26" s="631"/>
      <c r="S26" s="631"/>
      <c r="T26" s="631"/>
      <c r="U26" s="631"/>
      <c r="V26" s="631"/>
      <c r="W26" s="631"/>
    </row>
    <row r="27" ht="12.75" customHeight="1">
      <c r="A27" s="631"/>
      <c r="B27" s="631"/>
      <c r="C27" s="631"/>
      <c r="D27" s="631"/>
      <c r="E27" s="631"/>
      <c r="F27" s="631"/>
      <c r="G27" s="631"/>
      <c r="H27" s="631"/>
      <c r="I27" s="631"/>
      <c r="J27" s="631"/>
      <c r="K27" s="631"/>
      <c r="L27" s="631"/>
      <c r="M27" s="631"/>
      <c r="N27" s="631"/>
      <c r="O27" s="631"/>
      <c r="P27" s="631"/>
      <c r="Q27" s="631"/>
      <c r="R27" s="631"/>
      <c r="S27" s="631"/>
      <c r="T27" s="631"/>
      <c r="U27" s="631"/>
      <c r="V27" s="631"/>
      <c r="W27" s="631"/>
    </row>
    <row r="28" ht="12.75" customHeight="1">
      <c r="A28" s="631"/>
      <c r="B28" s="631"/>
      <c r="C28" s="631"/>
      <c r="D28" s="631"/>
      <c r="E28" s="631"/>
      <c r="F28" s="631"/>
      <c r="G28" s="631"/>
      <c r="H28" s="631"/>
      <c r="I28" s="631"/>
      <c r="J28" s="631"/>
      <c r="K28" s="631"/>
      <c r="L28" s="631"/>
      <c r="M28" s="631"/>
      <c r="N28" s="631"/>
      <c r="O28" s="631"/>
      <c r="P28" s="631"/>
      <c r="Q28" s="631"/>
      <c r="R28" s="631"/>
      <c r="S28" s="631"/>
      <c r="T28" s="631"/>
      <c r="U28" s="631"/>
      <c r="V28" s="631"/>
      <c r="W28" s="631"/>
    </row>
    <row r="29" ht="12.75" customHeight="1">
      <c r="A29" s="631"/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631"/>
      <c r="T29" s="631"/>
      <c r="U29" s="631"/>
      <c r="V29" s="631"/>
      <c r="W29" s="631"/>
    </row>
    <row r="30" ht="12.75" customHeight="1">
      <c r="A30" s="631"/>
      <c r="B30" s="631"/>
      <c r="C30" s="631"/>
      <c r="D30" s="631"/>
      <c r="E30" s="631"/>
      <c r="F30" s="631"/>
      <c r="G30" s="631"/>
      <c r="H30" s="631"/>
      <c r="I30" s="631"/>
      <c r="J30" s="631"/>
      <c r="K30" s="631"/>
      <c r="L30" s="631"/>
      <c r="M30" s="631"/>
      <c r="N30" s="631"/>
      <c r="O30" s="631"/>
      <c r="P30" s="631"/>
      <c r="Q30" s="631"/>
      <c r="R30" s="631"/>
      <c r="S30" s="631"/>
      <c r="T30" s="631"/>
      <c r="U30" s="631"/>
      <c r="V30" s="631"/>
      <c r="W30" s="631"/>
    </row>
    <row r="31" ht="12.75" customHeight="1">
      <c r="A31" s="631"/>
      <c r="B31" s="631"/>
      <c r="C31" s="631"/>
      <c r="D31" s="631"/>
      <c r="E31" s="631"/>
      <c r="F31" s="631"/>
      <c r="G31" s="631"/>
      <c r="H31" s="631"/>
      <c r="I31" s="631"/>
      <c r="J31" s="631"/>
      <c r="K31" s="631"/>
      <c r="L31" s="631"/>
      <c r="M31" s="631"/>
      <c r="N31" s="631"/>
      <c r="O31" s="631"/>
      <c r="P31" s="631"/>
      <c r="Q31" s="631"/>
      <c r="R31" s="631"/>
      <c r="S31" s="631"/>
      <c r="T31" s="631"/>
      <c r="U31" s="631"/>
      <c r="V31" s="631"/>
      <c r="W31" s="631"/>
    </row>
    <row r="32" ht="12.75" customHeight="1">
      <c r="A32" s="631"/>
      <c r="B32" s="631"/>
      <c r="C32" s="631"/>
      <c r="D32" s="631"/>
      <c r="E32" s="631"/>
      <c r="F32" s="631"/>
      <c r="G32" s="631"/>
      <c r="H32" s="631"/>
      <c r="I32" s="631"/>
      <c r="J32" s="631"/>
      <c r="K32" s="631"/>
      <c r="L32" s="631"/>
      <c r="M32" s="631"/>
      <c r="N32" s="631"/>
      <c r="O32" s="631"/>
      <c r="P32" s="631"/>
      <c r="Q32" s="631"/>
      <c r="R32" s="631"/>
      <c r="S32" s="631"/>
      <c r="T32" s="631"/>
      <c r="U32" s="631"/>
      <c r="V32" s="631"/>
      <c r="W32" s="631"/>
    </row>
    <row r="33" ht="12.75" customHeight="1">
      <c r="A33" s="631"/>
      <c r="B33" s="631"/>
      <c r="C33" s="631"/>
      <c r="D33" s="631"/>
      <c r="E33" s="631"/>
      <c r="F33" s="631"/>
      <c r="G33" s="631"/>
      <c r="H33" s="631"/>
      <c r="I33" s="631"/>
      <c r="J33" s="631"/>
      <c r="K33" s="631"/>
      <c r="L33" s="631"/>
      <c r="M33" s="631"/>
      <c r="N33" s="631"/>
      <c r="O33" s="631"/>
      <c r="P33" s="631"/>
      <c r="Q33" s="631"/>
      <c r="R33" s="631"/>
      <c r="S33" s="631"/>
      <c r="T33" s="631"/>
      <c r="U33" s="631"/>
      <c r="V33" s="631"/>
      <c r="W33" s="631"/>
    </row>
    <row r="34" ht="12.75" customHeight="1">
      <c r="A34" s="631"/>
      <c r="B34" s="631"/>
      <c r="C34" s="631"/>
      <c r="D34" s="631"/>
      <c r="E34" s="631"/>
      <c r="F34" s="631"/>
      <c r="G34" s="631"/>
      <c r="H34" s="631"/>
      <c r="I34" s="631"/>
      <c r="J34" s="631"/>
      <c r="K34" s="631"/>
      <c r="L34" s="631"/>
      <c r="M34" s="631"/>
      <c r="N34" s="631"/>
      <c r="O34" s="631"/>
      <c r="P34" s="631"/>
      <c r="Q34" s="631"/>
      <c r="R34" s="631"/>
      <c r="S34" s="631"/>
      <c r="T34" s="631"/>
      <c r="U34" s="631"/>
      <c r="V34" s="631"/>
      <c r="W34" s="631"/>
    </row>
    <row r="35" ht="12.75" customHeight="1">
      <c r="A35" s="631"/>
      <c r="B35" s="631"/>
      <c r="C35" s="631"/>
      <c r="D35" s="631"/>
      <c r="E35" s="631"/>
      <c r="F35" s="631"/>
      <c r="G35" s="631"/>
      <c r="H35" s="631"/>
      <c r="I35" s="631"/>
      <c r="J35" s="631"/>
      <c r="K35" s="631"/>
      <c r="L35" s="631"/>
      <c r="M35" s="631"/>
      <c r="N35" s="631"/>
      <c r="O35" s="631"/>
      <c r="P35" s="631"/>
      <c r="Q35" s="631"/>
      <c r="R35" s="631"/>
      <c r="S35" s="631"/>
      <c r="T35" s="631"/>
      <c r="U35" s="631"/>
      <c r="V35" s="631"/>
      <c r="W35" s="631"/>
    </row>
    <row r="36" ht="12.75" customHeight="1">
      <c r="A36" s="631"/>
      <c r="B36" s="631"/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631"/>
      <c r="T36" s="631"/>
      <c r="U36" s="631"/>
      <c r="V36" s="631"/>
      <c r="W36" s="631"/>
    </row>
    <row r="37" ht="12.75" customHeight="1">
      <c r="A37" s="631"/>
      <c r="B37" s="631"/>
      <c r="C37" s="631"/>
      <c r="D37" s="631"/>
      <c r="E37" s="631"/>
      <c r="F37" s="631"/>
      <c r="G37" s="631"/>
      <c r="H37" s="631"/>
      <c r="I37" s="631"/>
      <c r="J37" s="631"/>
      <c r="K37" s="631"/>
      <c r="L37" s="631"/>
      <c r="M37" s="631"/>
      <c r="N37" s="631"/>
      <c r="O37" s="631"/>
      <c r="P37" s="631"/>
      <c r="Q37" s="631"/>
      <c r="R37" s="631"/>
      <c r="S37" s="631"/>
      <c r="T37" s="631"/>
      <c r="U37" s="631"/>
      <c r="V37" s="631"/>
      <c r="W37" s="631"/>
    </row>
    <row r="38" ht="12.75" customHeight="1">
      <c r="A38" s="631"/>
      <c r="B38" s="631"/>
      <c r="C38" s="631"/>
      <c r="D38" s="631"/>
      <c r="E38" s="631"/>
      <c r="F38" s="631"/>
      <c r="G38" s="631"/>
      <c r="H38" s="631"/>
      <c r="I38" s="631"/>
      <c r="J38" s="631"/>
      <c r="K38" s="631"/>
      <c r="L38" s="631"/>
      <c r="M38" s="631"/>
      <c r="N38" s="631"/>
      <c r="O38" s="631"/>
      <c r="P38" s="631"/>
      <c r="Q38" s="631"/>
      <c r="R38" s="631"/>
      <c r="S38" s="631"/>
      <c r="T38" s="631"/>
      <c r="U38" s="631"/>
      <c r="V38" s="631"/>
      <c r="W38" s="631"/>
    </row>
    <row r="39" ht="12.75" customHeight="1">
      <c r="A39" s="631"/>
      <c r="B39" s="631"/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631"/>
      <c r="Q39" s="631"/>
      <c r="R39" s="631"/>
      <c r="S39" s="631"/>
      <c r="T39" s="631"/>
      <c r="U39" s="631"/>
      <c r="V39" s="631"/>
      <c r="W39" s="631"/>
    </row>
    <row r="40" ht="12.75" customHeight="1">
      <c r="A40" s="631"/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631"/>
      <c r="P40" s="631"/>
      <c r="Q40" s="631"/>
      <c r="R40" s="631"/>
      <c r="S40" s="631"/>
      <c r="T40" s="631"/>
      <c r="U40" s="631"/>
      <c r="V40" s="631"/>
      <c r="W40" s="631"/>
    </row>
    <row r="41" ht="12.75" customHeight="1">
      <c r="A41" s="631"/>
      <c r="B41" s="631"/>
      <c r="C41" s="631"/>
      <c r="D41" s="631"/>
      <c r="E41" s="631"/>
      <c r="F41" s="631"/>
      <c r="G41" s="631"/>
      <c r="H41" s="631"/>
      <c r="I41" s="631"/>
      <c r="J41" s="631"/>
      <c r="K41" s="631"/>
      <c r="L41" s="631"/>
      <c r="M41" s="631"/>
      <c r="N41" s="631"/>
      <c r="O41" s="631"/>
      <c r="P41" s="631"/>
      <c r="Q41" s="631"/>
      <c r="R41" s="631"/>
      <c r="S41" s="631"/>
      <c r="T41" s="631"/>
      <c r="U41" s="631"/>
      <c r="V41" s="631"/>
      <c r="W41" s="631"/>
    </row>
    <row r="42" ht="12.75" customHeight="1">
      <c r="A42" s="631"/>
      <c r="B42" s="631"/>
      <c r="C42" s="631"/>
      <c r="D42" s="631"/>
      <c r="E42" s="631"/>
      <c r="F42" s="631"/>
      <c r="G42" s="631"/>
      <c r="H42" s="631"/>
      <c r="I42" s="631"/>
      <c r="J42" s="631"/>
      <c r="K42" s="631"/>
      <c r="L42" s="631"/>
      <c r="M42" s="631"/>
      <c r="N42" s="631"/>
      <c r="O42" s="631"/>
      <c r="P42" s="631"/>
      <c r="Q42" s="631"/>
      <c r="R42" s="631"/>
      <c r="S42" s="631"/>
      <c r="T42" s="631"/>
      <c r="U42" s="631"/>
      <c r="V42" s="631"/>
      <c r="W42" s="631"/>
    </row>
    <row r="43" ht="12.75" customHeight="1">
      <c r="A43" s="631"/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631"/>
      <c r="T43" s="631"/>
      <c r="U43" s="631"/>
      <c r="V43" s="631"/>
      <c r="W43" s="631"/>
    </row>
    <row r="44" ht="12.75" customHeight="1">
      <c r="A44" s="631"/>
      <c r="B44" s="631"/>
      <c r="C44" s="631"/>
      <c r="D44" s="631"/>
      <c r="E44" s="631"/>
      <c r="F44" s="631"/>
      <c r="G44" s="631"/>
      <c r="H44" s="631"/>
      <c r="I44" s="631"/>
      <c r="J44" s="631"/>
      <c r="K44" s="631"/>
      <c r="L44" s="631"/>
      <c r="M44" s="631"/>
      <c r="N44" s="631"/>
      <c r="O44" s="631"/>
      <c r="P44" s="631"/>
      <c r="Q44" s="631"/>
      <c r="R44" s="631"/>
      <c r="S44" s="631"/>
      <c r="T44" s="631"/>
      <c r="U44" s="631"/>
      <c r="V44" s="631"/>
      <c r="W44" s="631"/>
    </row>
    <row r="45" ht="12.75" customHeight="1">
      <c r="A45" s="631"/>
      <c r="B45" s="631"/>
      <c r="C45" s="631"/>
      <c r="D45" s="631"/>
      <c r="E45" s="631"/>
      <c r="F45" s="631"/>
      <c r="G45" s="631"/>
      <c r="H45" s="631"/>
      <c r="I45" s="631"/>
      <c r="J45" s="631"/>
      <c r="K45" s="631"/>
      <c r="L45" s="631"/>
      <c r="M45" s="631"/>
      <c r="N45" s="631"/>
      <c r="O45" s="631"/>
      <c r="P45" s="631"/>
      <c r="Q45" s="631"/>
      <c r="R45" s="631"/>
      <c r="S45" s="631"/>
      <c r="T45" s="631"/>
      <c r="U45" s="631"/>
      <c r="V45" s="631"/>
      <c r="W45" s="631"/>
    </row>
    <row r="46" ht="12.75" customHeight="1">
      <c r="A46" s="631"/>
      <c r="B46" s="631"/>
      <c r="C46" s="631"/>
      <c r="D46" s="631"/>
      <c r="E46" s="631"/>
      <c r="F46" s="631"/>
      <c r="G46" s="631"/>
      <c r="H46" s="631"/>
      <c r="I46" s="631"/>
      <c r="J46" s="631"/>
      <c r="K46" s="631"/>
      <c r="L46" s="631"/>
      <c r="M46" s="631"/>
      <c r="N46" s="631"/>
      <c r="O46" s="631"/>
      <c r="P46" s="631"/>
      <c r="Q46" s="631"/>
      <c r="R46" s="631"/>
      <c r="S46" s="631"/>
      <c r="T46" s="631"/>
      <c r="U46" s="631"/>
      <c r="V46" s="631"/>
      <c r="W46" s="631"/>
    </row>
    <row r="47" ht="12.75" customHeight="1">
      <c r="A47" s="631"/>
      <c r="B47" s="631"/>
      <c r="C47" s="631"/>
      <c r="D47" s="631"/>
      <c r="E47" s="631"/>
      <c r="F47" s="631"/>
      <c r="G47" s="631"/>
      <c r="H47" s="631"/>
      <c r="I47" s="631"/>
      <c r="J47" s="631"/>
      <c r="K47" s="631"/>
      <c r="L47" s="631"/>
      <c r="M47" s="631"/>
      <c r="N47" s="631"/>
      <c r="O47" s="631"/>
      <c r="P47" s="631"/>
      <c r="Q47" s="631"/>
      <c r="R47" s="631"/>
      <c r="S47" s="631"/>
      <c r="T47" s="631"/>
      <c r="U47" s="631"/>
      <c r="V47" s="631"/>
      <c r="W47" s="631"/>
    </row>
    <row r="48" ht="12.75" customHeight="1">
      <c r="A48" s="631"/>
      <c r="B48" s="631"/>
      <c r="C48" s="631"/>
      <c r="D48" s="631"/>
      <c r="E48" s="631"/>
      <c r="F48" s="631"/>
      <c r="G48" s="631"/>
      <c r="H48" s="631"/>
      <c r="I48" s="631"/>
      <c r="J48" s="631"/>
      <c r="K48" s="631"/>
      <c r="L48" s="631"/>
      <c r="M48" s="631"/>
      <c r="N48" s="631"/>
      <c r="O48" s="631"/>
      <c r="P48" s="631"/>
      <c r="Q48" s="631"/>
      <c r="R48" s="631"/>
      <c r="S48" s="631"/>
      <c r="T48" s="631"/>
      <c r="U48" s="631"/>
      <c r="V48" s="631"/>
      <c r="W48" s="631"/>
    </row>
    <row r="49" ht="12.75" customHeight="1">
      <c r="A49" s="631"/>
      <c r="B49" s="631"/>
      <c r="C49" s="631"/>
      <c r="D49" s="631"/>
      <c r="E49" s="631"/>
      <c r="F49" s="631"/>
      <c r="G49" s="631"/>
      <c r="H49" s="631"/>
      <c r="I49" s="631"/>
      <c r="J49" s="631"/>
      <c r="K49" s="631"/>
      <c r="L49" s="631"/>
      <c r="M49" s="631"/>
      <c r="N49" s="631"/>
      <c r="O49" s="631"/>
      <c r="P49" s="631"/>
      <c r="Q49" s="631"/>
      <c r="R49" s="631"/>
      <c r="S49" s="631"/>
      <c r="T49" s="631"/>
      <c r="U49" s="631"/>
      <c r="V49" s="631"/>
      <c r="W49" s="631"/>
    </row>
    <row r="50" ht="12.75" customHeight="1">
      <c r="A50" s="631"/>
      <c r="B50" s="631"/>
      <c r="C50" s="631"/>
      <c r="D50" s="631"/>
      <c r="E50" s="631"/>
      <c r="F50" s="631"/>
      <c r="G50" s="631"/>
      <c r="H50" s="631"/>
      <c r="I50" s="631"/>
      <c r="J50" s="631"/>
      <c r="K50" s="631"/>
      <c r="L50" s="631"/>
      <c r="M50" s="631"/>
      <c r="N50" s="631"/>
      <c r="O50" s="631"/>
      <c r="P50" s="631"/>
      <c r="Q50" s="631"/>
      <c r="R50" s="631"/>
      <c r="S50" s="631"/>
      <c r="T50" s="631"/>
      <c r="U50" s="631"/>
      <c r="V50" s="631"/>
      <c r="W50" s="631"/>
    </row>
    <row r="51" ht="12.75" customHeight="1">
      <c r="A51" s="631"/>
      <c r="B51" s="631"/>
      <c r="C51" s="631"/>
      <c r="D51" s="631"/>
      <c r="E51" s="631"/>
      <c r="F51" s="631"/>
      <c r="G51" s="631"/>
      <c r="H51" s="631"/>
      <c r="I51" s="631"/>
      <c r="J51" s="631"/>
      <c r="K51" s="631"/>
      <c r="L51" s="631"/>
      <c r="M51" s="631"/>
      <c r="N51" s="631"/>
      <c r="O51" s="631"/>
      <c r="P51" s="631"/>
      <c r="Q51" s="631"/>
      <c r="R51" s="631"/>
      <c r="S51" s="631"/>
      <c r="T51" s="631"/>
      <c r="U51" s="631"/>
      <c r="V51" s="631"/>
      <c r="W51" s="631"/>
    </row>
    <row r="52" ht="12.75" customHeight="1">
      <c r="A52" s="631"/>
      <c r="B52" s="631"/>
      <c r="C52" s="631"/>
      <c r="D52" s="631"/>
      <c r="E52" s="631"/>
      <c r="F52" s="631"/>
      <c r="G52" s="631"/>
      <c r="H52" s="631"/>
      <c r="I52" s="631"/>
      <c r="J52" s="631"/>
      <c r="K52" s="631"/>
      <c r="L52" s="631"/>
      <c r="M52" s="631"/>
      <c r="N52" s="631"/>
      <c r="O52" s="631"/>
      <c r="P52" s="631"/>
      <c r="Q52" s="631"/>
      <c r="R52" s="631"/>
      <c r="S52" s="631"/>
      <c r="T52" s="631"/>
      <c r="U52" s="631"/>
      <c r="V52" s="631"/>
      <c r="W52" s="631"/>
    </row>
    <row r="53" ht="12.75" customHeight="1">
      <c r="A53" s="631"/>
      <c r="B53" s="631"/>
      <c r="C53" s="631"/>
      <c r="D53" s="631"/>
      <c r="E53" s="631"/>
      <c r="F53" s="631"/>
      <c r="G53" s="631"/>
      <c r="H53" s="631"/>
      <c r="I53" s="631"/>
      <c r="J53" s="631"/>
      <c r="K53" s="631"/>
      <c r="L53" s="631"/>
      <c r="M53" s="631"/>
      <c r="N53" s="631"/>
      <c r="O53" s="631"/>
      <c r="P53" s="631"/>
      <c r="Q53" s="631"/>
      <c r="R53" s="631"/>
      <c r="S53" s="631"/>
      <c r="T53" s="631"/>
      <c r="U53" s="631"/>
      <c r="V53" s="631"/>
      <c r="W53" s="631"/>
    </row>
    <row r="54" ht="12.75" customHeight="1">
      <c r="A54" s="631"/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631"/>
      <c r="T54" s="631"/>
      <c r="U54" s="631"/>
      <c r="V54" s="631"/>
      <c r="W54" s="631"/>
    </row>
    <row r="55" ht="12.75" customHeight="1">
      <c r="A55" s="631"/>
      <c r="B55" s="631"/>
      <c r="C55" s="631"/>
      <c r="D55" s="631"/>
      <c r="E55" s="631"/>
      <c r="F55" s="631"/>
      <c r="G55" s="631"/>
      <c r="H55" s="631"/>
      <c r="I55" s="631"/>
      <c r="J55" s="631"/>
      <c r="K55" s="631"/>
      <c r="L55" s="631"/>
      <c r="M55" s="631"/>
      <c r="N55" s="631"/>
      <c r="O55" s="631"/>
      <c r="P55" s="631"/>
      <c r="Q55" s="631"/>
      <c r="R55" s="631"/>
      <c r="S55" s="631"/>
      <c r="T55" s="631"/>
      <c r="U55" s="631"/>
      <c r="V55" s="631"/>
      <c r="W55" s="631"/>
    </row>
    <row r="56" ht="12.75" customHeight="1">
      <c r="A56" s="631"/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</row>
    <row r="57" ht="12.75" customHeight="1">
      <c r="A57" s="631"/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</row>
    <row r="58" ht="12.75" customHeight="1">
      <c r="A58" s="631"/>
      <c r="B58" s="631"/>
      <c r="C58" s="631"/>
      <c r="D58" s="631"/>
      <c r="E58" s="631"/>
      <c r="F58" s="631"/>
      <c r="G58" s="631"/>
      <c r="H58" s="631"/>
      <c r="I58" s="631"/>
      <c r="J58" s="631"/>
      <c r="K58" s="631"/>
      <c r="L58" s="631"/>
      <c r="M58" s="631"/>
      <c r="N58" s="631"/>
      <c r="O58" s="631"/>
      <c r="P58" s="631"/>
      <c r="Q58" s="631"/>
      <c r="R58" s="631"/>
      <c r="S58" s="631"/>
      <c r="T58" s="631"/>
      <c r="U58" s="631"/>
      <c r="V58" s="631"/>
      <c r="W58" s="631"/>
    </row>
    <row r="59" ht="12.75" customHeight="1">
      <c r="A59" s="631"/>
      <c r="B59" s="631"/>
      <c r="C59" s="631"/>
      <c r="D59" s="631"/>
      <c r="E59" s="631"/>
      <c r="F59" s="631"/>
      <c r="G59" s="631"/>
      <c r="H59" s="631"/>
      <c r="I59" s="631"/>
      <c r="J59" s="631"/>
      <c r="K59" s="631"/>
      <c r="L59" s="631"/>
      <c r="M59" s="631"/>
      <c r="N59" s="631"/>
      <c r="O59" s="631"/>
      <c r="P59" s="631"/>
      <c r="Q59" s="631"/>
      <c r="R59" s="631"/>
      <c r="S59" s="631"/>
      <c r="T59" s="631"/>
      <c r="U59" s="631"/>
      <c r="V59" s="631"/>
      <c r="W59" s="631"/>
    </row>
    <row r="60" ht="12.75" customHeight="1">
      <c r="A60" s="631"/>
      <c r="B60" s="631"/>
      <c r="C60" s="631"/>
      <c r="D60" s="631"/>
      <c r="E60" s="631"/>
      <c r="F60" s="631"/>
      <c r="G60" s="631"/>
      <c r="H60" s="631"/>
      <c r="I60" s="631"/>
      <c r="J60" s="631"/>
      <c r="K60" s="631"/>
      <c r="L60" s="631"/>
      <c r="M60" s="631"/>
      <c r="N60" s="631"/>
      <c r="O60" s="631"/>
      <c r="P60" s="631"/>
      <c r="Q60" s="631"/>
      <c r="R60" s="631"/>
      <c r="S60" s="631"/>
      <c r="T60" s="631"/>
      <c r="U60" s="631"/>
      <c r="V60" s="631"/>
      <c r="W60" s="631"/>
    </row>
    <row r="61" ht="12.75" customHeight="1">
      <c r="A61" s="631"/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631"/>
      <c r="T61" s="631"/>
      <c r="U61" s="631"/>
      <c r="V61" s="631"/>
      <c r="W61" s="631"/>
    </row>
    <row r="62" ht="12.75" customHeight="1">
      <c r="A62" s="631"/>
      <c r="B62" s="631"/>
      <c r="C62" s="631"/>
      <c r="D62" s="631"/>
      <c r="E62" s="631"/>
      <c r="F62" s="631"/>
      <c r="G62" s="631"/>
      <c r="H62" s="631"/>
      <c r="I62" s="631"/>
      <c r="J62" s="631"/>
      <c r="K62" s="631"/>
      <c r="L62" s="631"/>
      <c r="M62" s="631"/>
      <c r="N62" s="631"/>
      <c r="O62" s="631"/>
      <c r="P62" s="631"/>
      <c r="Q62" s="631"/>
      <c r="R62" s="631"/>
      <c r="S62" s="631"/>
      <c r="T62" s="631"/>
      <c r="U62" s="631"/>
      <c r="V62" s="631"/>
      <c r="W62" s="631"/>
    </row>
    <row r="63" ht="12.75" customHeight="1">
      <c r="A63" s="631"/>
      <c r="B63" s="631"/>
      <c r="C63" s="631"/>
      <c r="D63" s="631"/>
      <c r="E63" s="631"/>
      <c r="F63" s="631"/>
      <c r="G63" s="631"/>
      <c r="H63" s="631"/>
      <c r="I63" s="631"/>
      <c r="J63" s="631"/>
      <c r="K63" s="631"/>
      <c r="L63" s="631"/>
      <c r="M63" s="631"/>
      <c r="N63" s="631"/>
      <c r="O63" s="631"/>
      <c r="P63" s="631"/>
      <c r="Q63" s="631"/>
      <c r="R63" s="631"/>
      <c r="S63" s="631"/>
      <c r="T63" s="631"/>
      <c r="U63" s="631"/>
      <c r="V63" s="631"/>
      <c r="W63" s="631"/>
    </row>
    <row r="64" ht="12.75" customHeight="1">
      <c r="A64" s="631"/>
      <c r="B64" s="631"/>
      <c r="C64" s="631"/>
      <c r="D64" s="631"/>
      <c r="E64" s="631"/>
      <c r="F64" s="631"/>
      <c r="G64" s="631"/>
      <c r="H64" s="631"/>
      <c r="I64" s="631"/>
      <c r="J64" s="631"/>
      <c r="K64" s="631"/>
      <c r="L64" s="631"/>
      <c r="M64" s="631"/>
      <c r="N64" s="631"/>
      <c r="O64" s="631"/>
      <c r="P64" s="631"/>
      <c r="Q64" s="631"/>
      <c r="R64" s="631"/>
      <c r="S64" s="631"/>
      <c r="T64" s="631"/>
      <c r="U64" s="631"/>
      <c r="V64" s="631"/>
      <c r="W64" s="631"/>
    </row>
    <row r="65" ht="12.75" customHeight="1">
      <c r="A65" s="631"/>
      <c r="B65" s="631"/>
      <c r="C65" s="631"/>
      <c r="D65" s="631"/>
      <c r="E65" s="631"/>
      <c r="F65" s="631"/>
      <c r="G65" s="631"/>
      <c r="H65" s="631"/>
      <c r="I65" s="631"/>
      <c r="J65" s="631"/>
      <c r="K65" s="631"/>
      <c r="L65" s="631"/>
      <c r="M65" s="631"/>
      <c r="N65" s="631"/>
      <c r="O65" s="631"/>
      <c r="P65" s="631"/>
      <c r="Q65" s="631"/>
      <c r="R65" s="631"/>
      <c r="S65" s="631"/>
      <c r="T65" s="631"/>
      <c r="U65" s="631"/>
      <c r="V65" s="631"/>
      <c r="W65" s="631"/>
    </row>
    <row r="66" ht="12.75" customHeight="1">
      <c r="A66" s="631"/>
      <c r="B66" s="631"/>
      <c r="C66" s="631"/>
      <c r="D66" s="631"/>
      <c r="E66" s="631"/>
      <c r="F66" s="631"/>
      <c r="G66" s="631"/>
      <c r="H66" s="631"/>
      <c r="I66" s="631"/>
      <c r="J66" s="631"/>
      <c r="K66" s="631"/>
      <c r="L66" s="631"/>
      <c r="M66" s="631"/>
      <c r="N66" s="631"/>
      <c r="O66" s="631"/>
      <c r="P66" s="631"/>
      <c r="Q66" s="631"/>
      <c r="R66" s="631"/>
      <c r="S66" s="631"/>
      <c r="T66" s="631"/>
      <c r="U66" s="631"/>
      <c r="V66" s="631"/>
      <c r="W66" s="631"/>
    </row>
    <row r="67" ht="12.75" customHeight="1">
      <c r="A67" s="631"/>
      <c r="B67" s="631"/>
      <c r="C67" s="631"/>
      <c r="D67" s="631"/>
      <c r="E67" s="631"/>
      <c r="F67" s="631"/>
      <c r="G67" s="631"/>
      <c r="H67" s="631"/>
      <c r="I67" s="631"/>
      <c r="J67" s="631"/>
      <c r="K67" s="631"/>
      <c r="L67" s="631"/>
      <c r="M67" s="631"/>
      <c r="N67" s="631"/>
      <c r="O67" s="631"/>
      <c r="P67" s="631"/>
      <c r="Q67" s="631"/>
      <c r="R67" s="631"/>
      <c r="S67" s="631"/>
      <c r="T67" s="631"/>
      <c r="U67" s="631"/>
      <c r="V67" s="631"/>
      <c r="W67" s="631"/>
    </row>
    <row r="68" ht="12.75" customHeight="1">
      <c r="A68" s="631"/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631"/>
      <c r="T68" s="631"/>
      <c r="U68" s="631"/>
      <c r="V68" s="631"/>
      <c r="W68" s="631"/>
    </row>
    <row r="69" ht="12.75" customHeight="1">
      <c r="A69" s="631"/>
      <c r="B69" s="631"/>
      <c r="C69" s="631"/>
      <c r="D69" s="631"/>
      <c r="E69" s="631"/>
      <c r="F69" s="631"/>
      <c r="G69" s="631"/>
      <c r="H69" s="631"/>
      <c r="I69" s="631"/>
      <c r="J69" s="631"/>
      <c r="K69" s="631"/>
      <c r="L69" s="631"/>
      <c r="M69" s="631"/>
      <c r="N69" s="631"/>
      <c r="O69" s="631"/>
      <c r="P69" s="631"/>
      <c r="Q69" s="631"/>
      <c r="R69" s="631"/>
      <c r="S69" s="631"/>
      <c r="T69" s="631"/>
      <c r="U69" s="631"/>
      <c r="V69" s="631"/>
      <c r="W69" s="631"/>
    </row>
    <row r="70" ht="12.75" customHeight="1">
      <c r="A70" s="631"/>
      <c r="B70" s="631"/>
      <c r="C70" s="631"/>
      <c r="D70" s="631"/>
      <c r="E70" s="631"/>
      <c r="F70" s="631"/>
      <c r="G70" s="631"/>
      <c r="H70" s="631"/>
      <c r="I70" s="631"/>
      <c r="J70" s="631"/>
      <c r="K70" s="631"/>
      <c r="L70" s="631"/>
      <c r="M70" s="631"/>
      <c r="N70" s="631"/>
      <c r="O70" s="631"/>
      <c r="P70" s="631"/>
      <c r="Q70" s="631"/>
      <c r="R70" s="631"/>
      <c r="S70" s="631"/>
      <c r="T70" s="631"/>
      <c r="U70" s="631"/>
      <c r="V70" s="631"/>
      <c r="W70" s="631"/>
    </row>
    <row r="71" ht="12.75" customHeight="1">
      <c r="A71" s="631"/>
      <c r="B71" s="631"/>
      <c r="C71" s="631"/>
      <c r="D71" s="631"/>
      <c r="E71" s="631"/>
      <c r="F71" s="631"/>
      <c r="G71" s="631"/>
      <c r="H71" s="631"/>
      <c r="I71" s="631"/>
      <c r="J71" s="631"/>
      <c r="K71" s="631"/>
      <c r="L71" s="631"/>
      <c r="M71" s="631"/>
      <c r="N71" s="631"/>
      <c r="O71" s="631"/>
      <c r="P71" s="631"/>
      <c r="Q71" s="631"/>
      <c r="R71" s="631"/>
      <c r="S71" s="631"/>
      <c r="T71" s="631"/>
      <c r="U71" s="631"/>
      <c r="V71" s="631"/>
      <c r="W71" s="631"/>
    </row>
    <row r="72" ht="12.75" customHeight="1">
      <c r="A72" s="631"/>
      <c r="B72" s="631"/>
      <c r="C72" s="631"/>
      <c r="D72" s="631"/>
      <c r="E72" s="631"/>
      <c r="F72" s="631"/>
      <c r="G72" s="631"/>
      <c r="H72" s="631"/>
      <c r="I72" s="631"/>
      <c r="J72" s="631"/>
      <c r="K72" s="631"/>
      <c r="L72" s="631"/>
      <c r="M72" s="631"/>
      <c r="N72" s="631"/>
      <c r="O72" s="631"/>
      <c r="P72" s="631"/>
      <c r="Q72" s="631"/>
      <c r="R72" s="631"/>
      <c r="S72" s="631"/>
      <c r="T72" s="631"/>
      <c r="U72" s="631"/>
      <c r="V72" s="631"/>
      <c r="W72" s="631"/>
    </row>
    <row r="73" ht="12.75" customHeight="1">
      <c r="A73" s="631"/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</row>
    <row r="74" ht="12.75" customHeight="1">
      <c r="A74" s="631"/>
      <c r="B74" s="631"/>
      <c r="C74" s="631"/>
      <c r="D74" s="631"/>
      <c r="E74" s="631"/>
      <c r="F74" s="631"/>
      <c r="G74" s="631"/>
      <c r="H74" s="631"/>
      <c r="I74" s="631"/>
      <c r="J74" s="631"/>
      <c r="K74" s="631"/>
      <c r="L74" s="631"/>
      <c r="M74" s="631"/>
      <c r="N74" s="631"/>
      <c r="O74" s="631"/>
      <c r="P74" s="631"/>
      <c r="Q74" s="631"/>
      <c r="R74" s="631"/>
      <c r="S74" s="631"/>
      <c r="T74" s="631"/>
      <c r="U74" s="631"/>
      <c r="V74" s="631"/>
      <c r="W74" s="631"/>
    </row>
    <row r="75" ht="12.75" customHeight="1">
      <c r="A75" s="631"/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631"/>
      <c r="T75" s="631"/>
      <c r="U75" s="631"/>
      <c r="V75" s="631"/>
      <c r="W75" s="631"/>
    </row>
    <row r="76" ht="12.75" customHeight="1">
      <c r="A76" s="631"/>
      <c r="B76" s="631"/>
      <c r="C76" s="631"/>
      <c r="D76" s="631"/>
      <c r="E76" s="631"/>
      <c r="F76" s="631"/>
      <c r="G76" s="631"/>
      <c r="H76" s="631"/>
      <c r="I76" s="631"/>
      <c r="J76" s="631"/>
      <c r="K76" s="631"/>
      <c r="L76" s="631"/>
      <c r="M76" s="631"/>
      <c r="N76" s="631"/>
      <c r="O76" s="631"/>
      <c r="P76" s="631"/>
      <c r="Q76" s="631"/>
      <c r="R76" s="631"/>
      <c r="S76" s="631"/>
      <c r="T76" s="631"/>
      <c r="U76" s="631"/>
      <c r="V76" s="631"/>
      <c r="W76" s="631"/>
    </row>
    <row r="77" ht="12.75" customHeight="1">
      <c r="A77" s="631"/>
      <c r="B77" s="631"/>
      <c r="C77" s="631"/>
      <c r="D77" s="631"/>
      <c r="E77" s="631"/>
      <c r="F77" s="631"/>
      <c r="G77" s="631"/>
      <c r="H77" s="631"/>
      <c r="I77" s="631"/>
      <c r="J77" s="631"/>
      <c r="K77" s="631"/>
      <c r="L77" s="631"/>
      <c r="M77" s="631"/>
      <c r="N77" s="631"/>
      <c r="O77" s="631"/>
      <c r="P77" s="631"/>
      <c r="Q77" s="631"/>
      <c r="R77" s="631"/>
      <c r="S77" s="631"/>
      <c r="T77" s="631"/>
      <c r="U77" s="631"/>
      <c r="V77" s="631"/>
      <c r="W77" s="631"/>
    </row>
    <row r="78" ht="12.75" customHeight="1">
      <c r="A78" s="631"/>
      <c r="B78" s="631"/>
      <c r="C78" s="631"/>
      <c r="D78" s="631"/>
      <c r="E78" s="631"/>
      <c r="F78" s="631"/>
      <c r="G78" s="631"/>
      <c r="H78" s="631"/>
      <c r="I78" s="631"/>
      <c r="J78" s="631"/>
      <c r="K78" s="631"/>
      <c r="L78" s="631"/>
      <c r="M78" s="631"/>
      <c r="N78" s="631"/>
      <c r="O78" s="631"/>
      <c r="P78" s="631"/>
      <c r="Q78" s="631"/>
      <c r="R78" s="631"/>
      <c r="S78" s="631"/>
      <c r="T78" s="631"/>
      <c r="U78" s="631"/>
      <c r="V78" s="631"/>
      <c r="W78" s="631"/>
    </row>
    <row r="79" ht="12.75" customHeight="1">
      <c r="A79" s="631"/>
      <c r="B79" s="631"/>
      <c r="C79" s="631"/>
      <c r="D79" s="631"/>
      <c r="E79" s="631"/>
      <c r="F79" s="631"/>
      <c r="G79" s="631"/>
      <c r="H79" s="631"/>
      <c r="I79" s="631"/>
      <c r="J79" s="631"/>
      <c r="K79" s="631"/>
      <c r="L79" s="631"/>
      <c r="M79" s="631"/>
      <c r="N79" s="631"/>
      <c r="O79" s="631"/>
      <c r="P79" s="631"/>
      <c r="Q79" s="631"/>
      <c r="R79" s="631"/>
      <c r="S79" s="631"/>
      <c r="T79" s="631"/>
      <c r="U79" s="631"/>
      <c r="V79" s="631"/>
      <c r="W79" s="631"/>
    </row>
    <row r="80" ht="12.75" customHeight="1">
      <c r="A80" s="631"/>
      <c r="B80" s="631"/>
      <c r="C80" s="631"/>
      <c r="D80" s="631"/>
      <c r="E80" s="631"/>
      <c r="F80" s="631"/>
      <c r="G80" s="631"/>
      <c r="H80" s="631"/>
      <c r="I80" s="631"/>
      <c r="J80" s="631"/>
      <c r="K80" s="631"/>
      <c r="L80" s="631"/>
      <c r="M80" s="631"/>
      <c r="N80" s="631"/>
      <c r="O80" s="631"/>
      <c r="P80" s="631"/>
      <c r="Q80" s="631"/>
      <c r="R80" s="631"/>
      <c r="S80" s="631"/>
      <c r="T80" s="631"/>
      <c r="U80" s="631"/>
      <c r="V80" s="631"/>
      <c r="W80" s="631"/>
    </row>
    <row r="81" ht="12.75" customHeight="1">
      <c r="A81" s="631"/>
      <c r="B81" s="631"/>
      <c r="C81" s="631"/>
      <c r="D81" s="631"/>
      <c r="E81" s="631"/>
      <c r="F81" s="631"/>
      <c r="G81" s="631"/>
      <c r="H81" s="631"/>
      <c r="I81" s="631"/>
      <c r="J81" s="631"/>
      <c r="K81" s="631"/>
      <c r="L81" s="631"/>
      <c r="M81" s="631"/>
      <c r="N81" s="631"/>
      <c r="O81" s="631"/>
      <c r="P81" s="631"/>
      <c r="Q81" s="631"/>
      <c r="R81" s="631"/>
      <c r="S81" s="631"/>
      <c r="T81" s="631"/>
      <c r="U81" s="631"/>
      <c r="V81" s="631"/>
      <c r="W81" s="631"/>
    </row>
    <row r="82" ht="12.75" customHeight="1">
      <c r="A82" s="631"/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631"/>
      <c r="T82" s="631"/>
      <c r="U82" s="631"/>
      <c r="V82" s="631"/>
      <c r="W82" s="631"/>
    </row>
    <row r="83" ht="12.75" customHeight="1">
      <c r="A83" s="631"/>
      <c r="B83" s="631"/>
      <c r="C83" s="631"/>
      <c r="D83" s="631"/>
      <c r="E83" s="631"/>
      <c r="F83" s="631"/>
      <c r="G83" s="631"/>
      <c r="H83" s="631"/>
      <c r="I83" s="631"/>
      <c r="J83" s="631"/>
      <c r="K83" s="631"/>
      <c r="L83" s="631"/>
      <c r="M83" s="631"/>
      <c r="N83" s="631"/>
      <c r="O83" s="631"/>
      <c r="P83" s="631"/>
      <c r="Q83" s="631"/>
      <c r="R83" s="631"/>
      <c r="S83" s="631"/>
      <c r="T83" s="631"/>
      <c r="U83" s="631"/>
      <c r="V83" s="631"/>
      <c r="W83" s="631"/>
    </row>
    <row r="84" ht="12.75" customHeight="1">
      <c r="A84" s="631"/>
      <c r="B84" s="631"/>
      <c r="C84" s="631"/>
      <c r="D84" s="631"/>
      <c r="E84" s="631"/>
      <c r="F84" s="631"/>
      <c r="G84" s="631"/>
      <c r="H84" s="631"/>
      <c r="I84" s="631"/>
      <c r="J84" s="631"/>
      <c r="K84" s="631"/>
      <c r="L84" s="631"/>
      <c r="M84" s="631"/>
      <c r="N84" s="631"/>
      <c r="O84" s="631"/>
      <c r="P84" s="631"/>
      <c r="Q84" s="631"/>
      <c r="R84" s="631"/>
      <c r="S84" s="631"/>
      <c r="T84" s="631"/>
      <c r="U84" s="631"/>
      <c r="V84" s="631"/>
      <c r="W84" s="631"/>
    </row>
    <row r="85" ht="12.75" customHeight="1">
      <c r="A85" s="631"/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31"/>
      <c r="T85" s="631"/>
      <c r="U85" s="631"/>
      <c r="V85" s="631"/>
      <c r="W85" s="631"/>
    </row>
    <row r="86" ht="12.75" customHeight="1">
      <c r="A86" s="631"/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631"/>
      <c r="T86" s="631"/>
      <c r="U86" s="631"/>
      <c r="V86" s="631"/>
      <c r="W86" s="631"/>
    </row>
    <row r="87" ht="12.75" customHeight="1">
      <c r="A87" s="631"/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1"/>
      <c r="T87" s="631"/>
      <c r="U87" s="631"/>
      <c r="V87" s="631"/>
      <c r="W87" s="631"/>
    </row>
    <row r="88" ht="12.75" customHeight="1">
      <c r="A88" s="631"/>
      <c r="B88" s="631"/>
      <c r="C88" s="631"/>
      <c r="D88" s="631"/>
      <c r="E88" s="631"/>
      <c r="F88" s="631"/>
      <c r="G88" s="631"/>
      <c r="H88" s="631"/>
      <c r="I88" s="631"/>
      <c r="J88" s="631"/>
      <c r="K88" s="631"/>
      <c r="L88" s="631"/>
      <c r="M88" s="631"/>
      <c r="N88" s="631"/>
      <c r="O88" s="631"/>
      <c r="P88" s="631"/>
      <c r="Q88" s="631"/>
      <c r="R88" s="631"/>
      <c r="S88" s="631"/>
      <c r="T88" s="631"/>
      <c r="U88" s="631"/>
      <c r="V88" s="631"/>
      <c r="W88" s="631"/>
    </row>
    <row r="89" ht="12.75" customHeight="1">
      <c r="A89" s="631"/>
      <c r="B89" s="631"/>
      <c r="C89" s="631"/>
      <c r="D89" s="631"/>
      <c r="E89" s="631"/>
      <c r="F89" s="631"/>
      <c r="G89" s="631"/>
      <c r="H89" s="631"/>
      <c r="I89" s="631"/>
      <c r="J89" s="631"/>
      <c r="K89" s="631"/>
      <c r="L89" s="631"/>
      <c r="M89" s="631"/>
      <c r="N89" s="631"/>
      <c r="O89" s="631"/>
      <c r="P89" s="631"/>
      <c r="Q89" s="631"/>
      <c r="R89" s="631"/>
      <c r="S89" s="631"/>
      <c r="T89" s="631"/>
      <c r="U89" s="631"/>
      <c r="V89" s="631"/>
      <c r="W89" s="631"/>
    </row>
    <row r="90" ht="12.75" customHeight="1">
      <c r="A90" s="631"/>
      <c r="B90" s="631"/>
      <c r="C90" s="631"/>
      <c r="D90" s="631"/>
      <c r="E90" s="631"/>
      <c r="F90" s="631"/>
      <c r="G90" s="631"/>
      <c r="H90" s="631"/>
      <c r="I90" s="631"/>
      <c r="J90" s="631"/>
      <c r="K90" s="631"/>
      <c r="L90" s="631"/>
      <c r="M90" s="631"/>
      <c r="N90" s="631"/>
      <c r="O90" s="631"/>
      <c r="P90" s="631"/>
      <c r="Q90" s="631"/>
      <c r="R90" s="631"/>
      <c r="S90" s="631"/>
      <c r="T90" s="631"/>
      <c r="U90" s="631"/>
      <c r="V90" s="631"/>
      <c r="W90" s="631"/>
    </row>
    <row r="91" ht="12.75" customHeight="1">
      <c r="A91" s="631"/>
      <c r="B91" s="631"/>
      <c r="C91" s="631"/>
      <c r="D91" s="631"/>
      <c r="E91" s="631"/>
      <c r="F91" s="631"/>
      <c r="G91" s="631"/>
      <c r="H91" s="631"/>
      <c r="I91" s="631"/>
      <c r="J91" s="631"/>
      <c r="K91" s="631"/>
      <c r="L91" s="631"/>
      <c r="M91" s="631"/>
      <c r="N91" s="631"/>
      <c r="O91" s="631"/>
      <c r="P91" s="631"/>
      <c r="Q91" s="631"/>
      <c r="R91" s="631"/>
      <c r="S91" s="631"/>
      <c r="T91" s="631"/>
      <c r="U91" s="631"/>
      <c r="V91" s="631"/>
      <c r="W91" s="631"/>
    </row>
    <row r="92" ht="12.75" customHeight="1">
      <c r="A92" s="631"/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</row>
    <row r="93" ht="12.75" customHeight="1">
      <c r="A93" s="631"/>
      <c r="B93" s="631"/>
      <c r="C93" s="631"/>
      <c r="D93" s="631"/>
      <c r="E93" s="631"/>
      <c r="F93" s="631"/>
      <c r="G93" s="631"/>
      <c r="H93" s="631"/>
      <c r="I93" s="631"/>
      <c r="J93" s="631"/>
      <c r="K93" s="631"/>
      <c r="L93" s="631"/>
      <c r="M93" s="631"/>
      <c r="N93" s="631"/>
      <c r="O93" s="631"/>
      <c r="P93" s="631"/>
      <c r="Q93" s="631"/>
      <c r="R93" s="631"/>
      <c r="S93" s="631"/>
      <c r="T93" s="631"/>
      <c r="U93" s="631"/>
      <c r="V93" s="631"/>
      <c r="W93" s="631"/>
    </row>
    <row r="94" ht="12.75" customHeight="1">
      <c r="A94" s="631"/>
      <c r="B94" s="631"/>
      <c r="C94" s="631"/>
      <c r="D94" s="631"/>
      <c r="E94" s="631"/>
      <c r="F94" s="631"/>
      <c r="G94" s="631"/>
      <c r="H94" s="631"/>
      <c r="I94" s="631"/>
      <c r="J94" s="631"/>
      <c r="K94" s="631"/>
      <c r="L94" s="631"/>
      <c r="M94" s="631"/>
      <c r="N94" s="631"/>
      <c r="O94" s="631"/>
      <c r="P94" s="631"/>
      <c r="Q94" s="631"/>
      <c r="R94" s="631"/>
      <c r="S94" s="631"/>
      <c r="T94" s="631"/>
      <c r="U94" s="631"/>
      <c r="V94" s="631"/>
      <c r="W94" s="631"/>
    </row>
    <row r="95" ht="12.75" customHeight="1">
      <c r="A95" s="631"/>
      <c r="B95" s="631"/>
      <c r="C95" s="631"/>
      <c r="D95" s="631"/>
      <c r="E95" s="631"/>
      <c r="F95" s="631"/>
      <c r="G95" s="631"/>
      <c r="H95" s="631"/>
      <c r="I95" s="631"/>
      <c r="J95" s="631"/>
      <c r="K95" s="631"/>
      <c r="L95" s="631"/>
      <c r="M95" s="631"/>
      <c r="N95" s="631"/>
      <c r="O95" s="631"/>
      <c r="P95" s="631"/>
      <c r="Q95" s="631"/>
      <c r="R95" s="631"/>
      <c r="S95" s="631"/>
      <c r="T95" s="631"/>
      <c r="U95" s="631"/>
      <c r="V95" s="631"/>
      <c r="W95" s="631"/>
    </row>
    <row r="96" ht="12.75" customHeight="1">
      <c r="A96" s="631"/>
      <c r="B96" s="631"/>
      <c r="C96" s="631"/>
      <c r="D96" s="631"/>
      <c r="E96" s="631"/>
      <c r="F96" s="631"/>
      <c r="G96" s="631"/>
      <c r="H96" s="631"/>
      <c r="I96" s="631"/>
      <c r="J96" s="631"/>
      <c r="K96" s="631"/>
      <c r="L96" s="631"/>
      <c r="M96" s="631"/>
      <c r="N96" s="631"/>
      <c r="O96" s="631"/>
      <c r="P96" s="631"/>
      <c r="Q96" s="631"/>
      <c r="R96" s="631"/>
      <c r="S96" s="631"/>
      <c r="T96" s="631"/>
      <c r="U96" s="631"/>
      <c r="V96" s="631"/>
      <c r="W96" s="631"/>
    </row>
    <row r="97" ht="12.75" customHeight="1">
      <c r="A97" s="631"/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31"/>
      <c r="T97" s="631"/>
      <c r="U97" s="631"/>
      <c r="V97" s="631"/>
      <c r="W97" s="631"/>
    </row>
    <row r="98" ht="12.75" customHeight="1">
      <c r="A98" s="631"/>
      <c r="B98" s="631"/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1"/>
      <c r="T98" s="631"/>
      <c r="U98" s="631"/>
      <c r="V98" s="631"/>
      <c r="W98" s="631"/>
    </row>
    <row r="99" ht="12.75" customHeight="1">
      <c r="A99" s="631"/>
      <c r="B99" s="631"/>
      <c r="C99" s="631"/>
      <c r="D99" s="631"/>
      <c r="E99" s="631"/>
      <c r="F99" s="631"/>
      <c r="G99" s="631"/>
      <c r="H99" s="631"/>
      <c r="I99" s="631"/>
      <c r="J99" s="631"/>
      <c r="K99" s="631"/>
      <c r="L99" s="631"/>
      <c r="M99" s="631"/>
      <c r="N99" s="631"/>
      <c r="O99" s="631"/>
      <c r="P99" s="631"/>
      <c r="Q99" s="631"/>
      <c r="R99" s="631"/>
      <c r="S99" s="631"/>
      <c r="T99" s="631"/>
      <c r="U99" s="631"/>
      <c r="V99" s="631"/>
      <c r="W99" s="631"/>
    </row>
    <row r="100" ht="12.75" customHeight="1">
      <c r="A100" s="631"/>
      <c r="B100" s="631"/>
      <c r="C100" s="631"/>
      <c r="D100" s="631"/>
      <c r="E100" s="631"/>
      <c r="F100" s="631"/>
      <c r="G100" s="631"/>
      <c r="H100" s="631"/>
      <c r="I100" s="631"/>
      <c r="J100" s="631"/>
      <c r="K100" s="631"/>
      <c r="L100" s="631"/>
      <c r="M100" s="631"/>
      <c r="N100" s="631"/>
      <c r="O100" s="631"/>
      <c r="P100" s="631"/>
      <c r="Q100" s="631"/>
      <c r="R100" s="631"/>
      <c r="S100" s="631"/>
      <c r="T100" s="631"/>
      <c r="U100" s="631"/>
      <c r="V100" s="631"/>
      <c r="W100" s="631"/>
    </row>
    <row r="101" ht="12.75" customHeight="1">
      <c r="A101" s="631"/>
      <c r="B101" s="631"/>
      <c r="C101" s="631"/>
      <c r="D101" s="631"/>
      <c r="E101" s="631"/>
      <c r="F101" s="631"/>
      <c r="G101" s="631"/>
      <c r="H101" s="631"/>
      <c r="I101" s="631"/>
      <c r="J101" s="631"/>
      <c r="K101" s="631"/>
      <c r="L101" s="631"/>
      <c r="M101" s="631"/>
      <c r="N101" s="631"/>
      <c r="O101" s="631"/>
      <c r="P101" s="631"/>
      <c r="Q101" s="631"/>
      <c r="R101" s="631"/>
      <c r="S101" s="631"/>
      <c r="T101" s="631"/>
      <c r="U101" s="631"/>
      <c r="V101" s="631"/>
      <c r="W101" s="631"/>
    </row>
    <row r="102" ht="12.75" customHeight="1">
      <c r="A102" s="631"/>
      <c r="B102" s="631"/>
      <c r="C102" s="631"/>
      <c r="D102" s="631"/>
      <c r="E102" s="631"/>
      <c r="F102" s="631"/>
      <c r="G102" s="631"/>
      <c r="H102" s="631"/>
      <c r="I102" s="631"/>
      <c r="J102" s="631"/>
      <c r="K102" s="631"/>
      <c r="L102" s="631"/>
      <c r="M102" s="631"/>
      <c r="N102" s="631"/>
      <c r="O102" s="631"/>
      <c r="P102" s="631"/>
      <c r="Q102" s="631"/>
      <c r="R102" s="631"/>
      <c r="S102" s="631"/>
      <c r="T102" s="631"/>
      <c r="U102" s="631"/>
      <c r="V102" s="631"/>
      <c r="W102" s="631"/>
    </row>
    <row r="103" ht="12.75" customHeight="1">
      <c r="A103" s="631"/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1"/>
      <c r="P103" s="631"/>
      <c r="Q103" s="631"/>
      <c r="R103" s="631"/>
      <c r="S103" s="631"/>
      <c r="T103" s="631"/>
      <c r="U103" s="631"/>
      <c r="V103" s="631"/>
      <c r="W103" s="631"/>
    </row>
    <row r="104" ht="12.75" customHeight="1">
      <c r="A104" s="631"/>
      <c r="B104" s="631"/>
      <c r="C104" s="631"/>
      <c r="D104" s="631"/>
      <c r="E104" s="631"/>
      <c r="F104" s="631"/>
      <c r="G104" s="631"/>
      <c r="H104" s="631"/>
      <c r="I104" s="631"/>
      <c r="J104" s="631"/>
      <c r="K104" s="631"/>
      <c r="L104" s="631"/>
      <c r="M104" s="631"/>
      <c r="N104" s="631"/>
      <c r="O104" s="631"/>
      <c r="P104" s="631"/>
      <c r="Q104" s="631"/>
      <c r="R104" s="631"/>
      <c r="S104" s="631"/>
      <c r="T104" s="631"/>
      <c r="U104" s="631"/>
      <c r="V104" s="631"/>
      <c r="W104" s="631"/>
    </row>
    <row r="105" ht="12.75" customHeight="1">
      <c r="A105" s="631"/>
      <c r="B105" s="631"/>
      <c r="C105" s="631"/>
      <c r="D105" s="631"/>
      <c r="E105" s="631"/>
      <c r="F105" s="631"/>
      <c r="G105" s="631"/>
      <c r="H105" s="631"/>
      <c r="I105" s="631"/>
      <c r="J105" s="631"/>
      <c r="K105" s="631"/>
      <c r="L105" s="631"/>
      <c r="M105" s="631"/>
      <c r="N105" s="631"/>
      <c r="O105" s="631"/>
      <c r="P105" s="631"/>
      <c r="Q105" s="631"/>
      <c r="R105" s="631"/>
      <c r="S105" s="631"/>
      <c r="T105" s="631"/>
      <c r="U105" s="631"/>
      <c r="V105" s="631"/>
      <c r="W105" s="631"/>
    </row>
    <row r="106" ht="12.75" customHeight="1">
      <c r="A106" s="631"/>
      <c r="B106" s="631"/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1"/>
      <c r="P106" s="631"/>
      <c r="Q106" s="631"/>
      <c r="R106" s="631"/>
      <c r="S106" s="631"/>
      <c r="T106" s="631"/>
      <c r="U106" s="631"/>
      <c r="V106" s="631"/>
      <c r="W106" s="631"/>
    </row>
    <row r="107" ht="12.75" customHeight="1">
      <c r="A107" s="631"/>
      <c r="B107" s="631"/>
      <c r="C107" s="631"/>
      <c r="D107" s="631"/>
      <c r="E107" s="631"/>
      <c r="F107" s="631"/>
      <c r="G107" s="631"/>
      <c r="H107" s="631"/>
      <c r="I107" s="631"/>
      <c r="J107" s="631"/>
      <c r="K107" s="631"/>
      <c r="L107" s="631"/>
      <c r="M107" s="631"/>
      <c r="N107" s="631"/>
      <c r="O107" s="631"/>
      <c r="P107" s="631"/>
      <c r="Q107" s="631"/>
      <c r="R107" s="631"/>
      <c r="S107" s="631"/>
      <c r="T107" s="631"/>
      <c r="U107" s="631"/>
      <c r="V107" s="631"/>
      <c r="W107" s="631"/>
    </row>
    <row r="108" ht="12.75" customHeight="1">
      <c r="A108" s="631"/>
      <c r="B108" s="631"/>
      <c r="C108" s="631"/>
      <c r="D108" s="631"/>
      <c r="E108" s="631"/>
      <c r="F108" s="631"/>
      <c r="G108" s="631"/>
      <c r="H108" s="631"/>
      <c r="I108" s="631"/>
      <c r="J108" s="631"/>
      <c r="K108" s="631"/>
      <c r="L108" s="631"/>
      <c r="M108" s="631"/>
      <c r="N108" s="631"/>
      <c r="O108" s="631"/>
      <c r="P108" s="631"/>
      <c r="Q108" s="631"/>
      <c r="R108" s="631"/>
      <c r="S108" s="631"/>
      <c r="T108" s="631"/>
      <c r="U108" s="631"/>
      <c r="V108" s="631"/>
      <c r="W108" s="631"/>
    </row>
    <row r="109" ht="12.75" customHeight="1">
      <c r="A109" s="631"/>
      <c r="B109" s="631"/>
      <c r="C109" s="631"/>
      <c r="D109" s="631"/>
      <c r="E109" s="631"/>
      <c r="F109" s="631"/>
      <c r="G109" s="631"/>
      <c r="H109" s="631"/>
      <c r="I109" s="631"/>
      <c r="J109" s="631"/>
      <c r="K109" s="631"/>
      <c r="L109" s="631"/>
      <c r="M109" s="631"/>
      <c r="N109" s="631"/>
      <c r="O109" s="631"/>
      <c r="P109" s="631"/>
      <c r="Q109" s="631"/>
      <c r="R109" s="631"/>
      <c r="S109" s="631"/>
      <c r="T109" s="631"/>
      <c r="U109" s="631"/>
      <c r="V109" s="631"/>
      <c r="W109" s="631"/>
    </row>
    <row r="110" ht="12.75" customHeight="1">
      <c r="A110" s="631"/>
      <c r="B110" s="631"/>
      <c r="C110" s="631"/>
      <c r="D110" s="631"/>
      <c r="E110" s="631"/>
      <c r="F110" s="631"/>
      <c r="G110" s="631"/>
      <c r="H110" s="631"/>
      <c r="I110" s="631"/>
      <c r="J110" s="631"/>
      <c r="K110" s="631"/>
      <c r="L110" s="631"/>
      <c r="M110" s="631"/>
      <c r="N110" s="631"/>
      <c r="O110" s="631"/>
      <c r="P110" s="631"/>
      <c r="Q110" s="631"/>
      <c r="R110" s="631"/>
      <c r="S110" s="631"/>
      <c r="T110" s="631"/>
      <c r="U110" s="631"/>
      <c r="V110" s="631"/>
      <c r="W110" s="631"/>
    </row>
    <row r="111" ht="12.75" customHeight="1">
      <c r="A111" s="631"/>
      <c r="B111" s="631"/>
      <c r="C111" s="631"/>
      <c r="D111" s="631"/>
      <c r="E111" s="631"/>
      <c r="F111" s="631"/>
      <c r="G111" s="631"/>
      <c r="H111" s="631"/>
      <c r="I111" s="631"/>
      <c r="J111" s="631"/>
      <c r="K111" s="631"/>
      <c r="L111" s="631"/>
      <c r="M111" s="631"/>
      <c r="N111" s="631"/>
      <c r="O111" s="631"/>
      <c r="P111" s="631"/>
      <c r="Q111" s="631"/>
      <c r="R111" s="631"/>
      <c r="S111" s="631"/>
      <c r="T111" s="631"/>
      <c r="U111" s="631"/>
      <c r="V111" s="631"/>
      <c r="W111" s="631"/>
    </row>
    <row r="112" ht="12.75" customHeight="1">
      <c r="A112" s="631"/>
      <c r="B112" s="631"/>
      <c r="C112" s="631"/>
      <c r="D112" s="631"/>
      <c r="E112" s="631"/>
      <c r="F112" s="631"/>
      <c r="G112" s="631"/>
      <c r="H112" s="631"/>
      <c r="I112" s="631"/>
      <c r="J112" s="631"/>
      <c r="K112" s="631"/>
      <c r="L112" s="631"/>
      <c r="M112" s="631"/>
      <c r="N112" s="631"/>
      <c r="O112" s="631"/>
      <c r="P112" s="631"/>
      <c r="Q112" s="631"/>
      <c r="R112" s="631"/>
      <c r="S112" s="631"/>
      <c r="T112" s="631"/>
      <c r="U112" s="631"/>
      <c r="V112" s="631"/>
      <c r="W112" s="631"/>
    </row>
    <row r="113" ht="12.75" customHeight="1">
      <c r="A113" s="631"/>
      <c r="B113" s="631"/>
      <c r="C113" s="631"/>
      <c r="D113" s="631"/>
      <c r="E113" s="631"/>
      <c r="F113" s="631"/>
      <c r="G113" s="631"/>
      <c r="H113" s="631"/>
      <c r="I113" s="631"/>
      <c r="J113" s="631"/>
      <c r="K113" s="631"/>
      <c r="L113" s="631"/>
      <c r="M113" s="631"/>
      <c r="N113" s="631"/>
      <c r="O113" s="631"/>
      <c r="P113" s="631"/>
      <c r="Q113" s="631"/>
      <c r="R113" s="631"/>
      <c r="S113" s="631"/>
      <c r="T113" s="631"/>
      <c r="U113" s="631"/>
      <c r="V113" s="631"/>
      <c r="W113" s="631"/>
    </row>
    <row r="114" ht="12.75" customHeight="1">
      <c r="A114" s="631"/>
      <c r="B114" s="631"/>
      <c r="C114" s="631"/>
      <c r="D114" s="631"/>
      <c r="E114" s="631"/>
      <c r="F114" s="631"/>
      <c r="G114" s="631"/>
      <c r="H114" s="631"/>
      <c r="I114" s="631"/>
      <c r="J114" s="631"/>
      <c r="K114" s="631"/>
      <c r="L114" s="631"/>
      <c r="M114" s="631"/>
      <c r="N114" s="631"/>
      <c r="O114" s="631"/>
      <c r="P114" s="631"/>
      <c r="Q114" s="631"/>
      <c r="R114" s="631"/>
      <c r="S114" s="631"/>
      <c r="T114" s="631"/>
      <c r="U114" s="631"/>
      <c r="V114" s="631"/>
      <c r="W114" s="631"/>
    </row>
    <row r="115" ht="12.75" customHeight="1">
      <c r="A115" s="631"/>
      <c r="B115" s="631"/>
      <c r="C115" s="631"/>
      <c r="D115" s="631"/>
      <c r="E115" s="631"/>
      <c r="F115" s="631"/>
      <c r="G115" s="631"/>
      <c r="H115" s="631"/>
      <c r="I115" s="631"/>
      <c r="J115" s="631"/>
      <c r="K115" s="631"/>
      <c r="L115" s="631"/>
      <c r="M115" s="631"/>
      <c r="N115" s="631"/>
      <c r="O115" s="631"/>
      <c r="P115" s="631"/>
      <c r="Q115" s="631"/>
      <c r="R115" s="631"/>
      <c r="S115" s="631"/>
      <c r="T115" s="631"/>
      <c r="U115" s="631"/>
      <c r="V115" s="631"/>
      <c r="W115" s="631"/>
    </row>
    <row r="116" ht="12.75" customHeight="1">
      <c r="A116" s="631"/>
      <c r="B116" s="631"/>
      <c r="C116" s="631"/>
      <c r="D116" s="631"/>
      <c r="E116" s="631"/>
      <c r="F116" s="631"/>
      <c r="G116" s="631"/>
      <c r="H116" s="631"/>
      <c r="I116" s="631"/>
      <c r="J116" s="631"/>
      <c r="K116" s="631"/>
      <c r="L116" s="631"/>
      <c r="M116" s="631"/>
      <c r="N116" s="631"/>
      <c r="O116" s="631"/>
      <c r="P116" s="631"/>
      <c r="Q116" s="631"/>
      <c r="R116" s="631"/>
      <c r="S116" s="631"/>
      <c r="T116" s="631"/>
      <c r="U116" s="631"/>
      <c r="V116" s="631"/>
      <c r="W116" s="631"/>
    </row>
    <row r="117" ht="12.75" customHeight="1">
      <c r="A117" s="631"/>
      <c r="B117" s="631"/>
      <c r="C117" s="631"/>
      <c r="D117" s="631"/>
      <c r="E117" s="631"/>
      <c r="F117" s="631"/>
      <c r="G117" s="631"/>
      <c r="H117" s="631"/>
      <c r="I117" s="631"/>
      <c r="J117" s="631"/>
      <c r="K117" s="631"/>
      <c r="L117" s="631"/>
      <c r="M117" s="631"/>
      <c r="N117" s="631"/>
      <c r="O117" s="631"/>
      <c r="P117" s="631"/>
      <c r="Q117" s="631"/>
      <c r="R117" s="631"/>
      <c r="S117" s="631"/>
      <c r="T117" s="631"/>
      <c r="U117" s="631"/>
      <c r="V117" s="631"/>
      <c r="W117" s="631"/>
    </row>
    <row r="118" ht="12.75" customHeight="1">
      <c r="A118" s="631"/>
      <c r="B118" s="631"/>
      <c r="C118" s="631"/>
      <c r="D118" s="631"/>
      <c r="E118" s="631"/>
      <c r="F118" s="631"/>
      <c r="G118" s="631"/>
      <c r="H118" s="631"/>
      <c r="I118" s="631"/>
      <c r="J118" s="631"/>
      <c r="K118" s="631"/>
      <c r="L118" s="631"/>
      <c r="M118" s="631"/>
      <c r="N118" s="631"/>
      <c r="O118" s="631"/>
      <c r="P118" s="631"/>
      <c r="Q118" s="631"/>
      <c r="R118" s="631"/>
      <c r="S118" s="631"/>
      <c r="T118" s="631"/>
      <c r="U118" s="631"/>
      <c r="V118" s="631"/>
      <c r="W118" s="631"/>
    </row>
    <row r="119" ht="12.75" customHeight="1">
      <c r="A119" s="631"/>
      <c r="B119" s="631"/>
      <c r="C119" s="631"/>
      <c r="D119" s="631"/>
      <c r="E119" s="631"/>
      <c r="F119" s="631"/>
      <c r="G119" s="631"/>
      <c r="H119" s="631"/>
      <c r="I119" s="631"/>
      <c r="J119" s="631"/>
      <c r="K119" s="631"/>
      <c r="L119" s="631"/>
      <c r="M119" s="631"/>
      <c r="N119" s="631"/>
      <c r="O119" s="631"/>
      <c r="P119" s="631"/>
      <c r="Q119" s="631"/>
      <c r="R119" s="631"/>
      <c r="S119" s="631"/>
      <c r="T119" s="631"/>
      <c r="U119" s="631"/>
      <c r="V119" s="631"/>
      <c r="W119" s="631"/>
    </row>
    <row r="120" ht="12.75" customHeight="1">
      <c r="A120" s="631"/>
      <c r="B120" s="631"/>
      <c r="C120" s="631"/>
      <c r="D120" s="631"/>
      <c r="E120" s="631"/>
      <c r="F120" s="631"/>
      <c r="G120" s="631"/>
      <c r="H120" s="631"/>
      <c r="I120" s="631"/>
      <c r="J120" s="631"/>
      <c r="K120" s="631"/>
      <c r="L120" s="631"/>
      <c r="M120" s="631"/>
      <c r="N120" s="631"/>
      <c r="O120" s="631"/>
      <c r="P120" s="631"/>
      <c r="Q120" s="631"/>
      <c r="R120" s="631"/>
      <c r="S120" s="631"/>
      <c r="T120" s="631"/>
      <c r="U120" s="631"/>
      <c r="V120" s="631"/>
      <c r="W120" s="631"/>
    </row>
    <row r="121" ht="12.75" customHeight="1">
      <c r="A121" s="631"/>
      <c r="B121" s="631"/>
      <c r="C121" s="631"/>
      <c r="D121" s="631"/>
      <c r="E121" s="631"/>
      <c r="F121" s="631"/>
      <c r="G121" s="631"/>
      <c r="H121" s="631"/>
      <c r="I121" s="631"/>
      <c r="J121" s="631"/>
      <c r="K121" s="631"/>
      <c r="L121" s="631"/>
      <c r="M121" s="631"/>
      <c r="N121" s="631"/>
      <c r="O121" s="631"/>
      <c r="P121" s="631"/>
      <c r="Q121" s="631"/>
      <c r="R121" s="631"/>
      <c r="S121" s="631"/>
      <c r="T121" s="631"/>
      <c r="U121" s="631"/>
      <c r="V121" s="631"/>
      <c r="W121" s="631"/>
    </row>
    <row r="122" ht="12.75" customHeight="1">
      <c r="A122" s="631"/>
      <c r="B122" s="631"/>
      <c r="C122" s="631"/>
      <c r="D122" s="631"/>
      <c r="E122" s="631"/>
      <c r="F122" s="631"/>
      <c r="G122" s="631"/>
      <c r="H122" s="631"/>
      <c r="I122" s="631"/>
      <c r="J122" s="631"/>
      <c r="K122" s="631"/>
      <c r="L122" s="631"/>
      <c r="M122" s="631"/>
      <c r="N122" s="631"/>
      <c r="O122" s="631"/>
      <c r="P122" s="631"/>
      <c r="Q122" s="631"/>
      <c r="R122" s="631"/>
      <c r="S122" s="631"/>
      <c r="T122" s="631"/>
      <c r="U122" s="631"/>
      <c r="V122" s="631"/>
      <c r="W122" s="631"/>
    </row>
    <row r="123" ht="12.75" customHeight="1">
      <c r="A123" s="631"/>
      <c r="B123" s="631"/>
      <c r="C123" s="631"/>
      <c r="D123" s="631"/>
      <c r="E123" s="631"/>
      <c r="F123" s="631"/>
      <c r="G123" s="631"/>
      <c r="H123" s="631"/>
      <c r="I123" s="631"/>
      <c r="J123" s="631"/>
      <c r="K123" s="631"/>
      <c r="L123" s="631"/>
      <c r="M123" s="631"/>
      <c r="N123" s="631"/>
      <c r="O123" s="631"/>
      <c r="P123" s="631"/>
      <c r="Q123" s="631"/>
      <c r="R123" s="631"/>
      <c r="S123" s="631"/>
      <c r="T123" s="631"/>
      <c r="U123" s="631"/>
      <c r="V123" s="631"/>
      <c r="W123" s="631"/>
    </row>
    <row r="124" ht="12.75" customHeight="1">
      <c r="A124" s="631"/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</row>
    <row r="125" ht="12.75" customHeight="1">
      <c r="A125" s="631"/>
      <c r="B125" s="631"/>
      <c r="C125" s="631"/>
      <c r="D125" s="631"/>
      <c r="E125" s="631"/>
      <c r="F125" s="631"/>
      <c r="G125" s="631"/>
      <c r="H125" s="631"/>
      <c r="I125" s="631"/>
      <c r="J125" s="631"/>
      <c r="K125" s="631"/>
      <c r="L125" s="631"/>
      <c r="M125" s="631"/>
      <c r="N125" s="631"/>
      <c r="O125" s="631"/>
      <c r="P125" s="631"/>
      <c r="Q125" s="631"/>
      <c r="R125" s="631"/>
      <c r="S125" s="631"/>
      <c r="T125" s="631"/>
      <c r="U125" s="631"/>
      <c r="V125" s="631"/>
      <c r="W125" s="631"/>
    </row>
    <row r="126" ht="12.75" customHeight="1">
      <c r="A126" s="631"/>
      <c r="B126" s="631"/>
      <c r="C126" s="631"/>
      <c r="D126" s="631"/>
      <c r="E126" s="631"/>
      <c r="F126" s="631"/>
      <c r="G126" s="631"/>
      <c r="H126" s="631"/>
      <c r="I126" s="631"/>
      <c r="J126" s="631"/>
      <c r="K126" s="631"/>
      <c r="L126" s="631"/>
      <c r="M126" s="631"/>
      <c r="N126" s="631"/>
      <c r="O126" s="631"/>
      <c r="P126" s="631"/>
      <c r="Q126" s="631"/>
      <c r="R126" s="631"/>
      <c r="S126" s="631"/>
      <c r="T126" s="631"/>
      <c r="U126" s="631"/>
      <c r="V126" s="631"/>
      <c r="W126" s="631"/>
    </row>
    <row r="127" ht="12.75" customHeight="1">
      <c r="A127" s="631"/>
      <c r="B127" s="631"/>
      <c r="C127" s="631"/>
      <c r="D127" s="631"/>
      <c r="E127" s="631"/>
      <c r="F127" s="631"/>
      <c r="G127" s="631"/>
      <c r="H127" s="631"/>
      <c r="I127" s="631"/>
      <c r="J127" s="631"/>
      <c r="K127" s="631"/>
      <c r="L127" s="631"/>
      <c r="M127" s="631"/>
      <c r="N127" s="631"/>
      <c r="O127" s="631"/>
      <c r="P127" s="631"/>
      <c r="Q127" s="631"/>
      <c r="R127" s="631"/>
      <c r="S127" s="631"/>
      <c r="T127" s="631"/>
      <c r="U127" s="631"/>
      <c r="V127" s="631"/>
      <c r="W127" s="631"/>
    </row>
    <row r="128" ht="12.75" customHeight="1">
      <c r="A128" s="631"/>
      <c r="B128" s="631"/>
      <c r="C128" s="631"/>
      <c r="D128" s="631"/>
      <c r="E128" s="631"/>
      <c r="F128" s="631"/>
      <c r="G128" s="631"/>
      <c r="H128" s="631"/>
      <c r="I128" s="631"/>
      <c r="J128" s="631"/>
      <c r="K128" s="631"/>
      <c r="L128" s="631"/>
      <c r="M128" s="631"/>
      <c r="N128" s="631"/>
      <c r="O128" s="631"/>
      <c r="P128" s="631"/>
      <c r="Q128" s="631"/>
      <c r="R128" s="631"/>
      <c r="S128" s="631"/>
      <c r="T128" s="631"/>
      <c r="U128" s="631"/>
      <c r="V128" s="631"/>
      <c r="W128" s="631"/>
    </row>
    <row r="129" ht="12.75" customHeight="1">
      <c r="A129" s="631"/>
      <c r="B129" s="631"/>
      <c r="C129" s="631"/>
      <c r="D129" s="631"/>
      <c r="E129" s="631"/>
      <c r="F129" s="631"/>
      <c r="G129" s="631"/>
      <c r="H129" s="631"/>
      <c r="I129" s="631"/>
      <c r="J129" s="631"/>
      <c r="K129" s="631"/>
      <c r="L129" s="631"/>
      <c r="M129" s="631"/>
      <c r="N129" s="631"/>
      <c r="O129" s="631"/>
      <c r="P129" s="631"/>
      <c r="Q129" s="631"/>
      <c r="R129" s="631"/>
      <c r="S129" s="631"/>
      <c r="T129" s="631"/>
      <c r="U129" s="631"/>
      <c r="V129" s="631"/>
      <c r="W129" s="631"/>
    </row>
    <row r="130" ht="12.75" customHeight="1">
      <c r="A130" s="631"/>
      <c r="B130" s="631"/>
      <c r="C130" s="631"/>
      <c r="D130" s="631"/>
      <c r="E130" s="631"/>
      <c r="F130" s="631"/>
      <c r="G130" s="631"/>
      <c r="H130" s="631"/>
      <c r="I130" s="631"/>
      <c r="J130" s="631"/>
      <c r="K130" s="631"/>
      <c r="L130" s="631"/>
      <c r="M130" s="631"/>
      <c r="N130" s="631"/>
      <c r="O130" s="631"/>
      <c r="P130" s="631"/>
      <c r="Q130" s="631"/>
      <c r="R130" s="631"/>
      <c r="S130" s="631"/>
      <c r="T130" s="631"/>
      <c r="U130" s="631"/>
      <c r="V130" s="631"/>
      <c r="W130" s="631"/>
    </row>
    <row r="131" ht="12.75" customHeight="1">
      <c r="A131" s="631"/>
      <c r="B131" s="631"/>
      <c r="C131" s="631"/>
      <c r="D131" s="631"/>
      <c r="E131" s="631"/>
      <c r="F131" s="631"/>
      <c r="G131" s="631"/>
      <c r="H131" s="631"/>
      <c r="I131" s="631"/>
      <c r="J131" s="631"/>
      <c r="K131" s="631"/>
      <c r="L131" s="631"/>
      <c r="M131" s="631"/>
      <c r="N131" s="631"/>
      <c r="O131" s="631"/>
      <c r="P131" s="631"/>
      <c r="Q131" s="631"/>
      <c r="R131" s="631"/>
      <c r="S131" s="631"/>
      <c r="T131" s="631"/>
      <c r="U131" s="631"/>
      <c r="V131" s="631"/>
      <c r="W131" s="631"/>
    </row>
    <row r="132" ht="12.75" customHeight="1">
      <c r="A132" s="631"/>
      <c r="B132" s="631"/>
      <c r="C132" s="631"/>
      <c r="D132" s="631"/>
      <c r="E132" s="631"/>
      <c r="F132" s="631"/>
      <c r="G132" s="631"/>
      <c r="H132" s="631"/>
      <c r="I132" s="631"/>
      <c r="J132" s="631"/>
      <c r="K132" s="631"/>
      <c r="L132" s="631"/>
      <c r="M132" s="631"/>
      <c r="N132" s="631"/>
      <c r="O132" s="631"/>
      <c r="P132" s="631"/>
      <c r="Q132" s="631"/>
      <c r="R132" s="631"/>
      <c r="S132" s="631"/>
      <c r="T132" s="631"/>
      <c r="U132" s="631"/>
      <c r="V132" s="631"/>
      <c r="W132" s="631"/>
    </row>
    <row r="133" ht="12.75" customHeight="1">
      <c r="A133" s="631"/>
      <c r="B133" s="631"/>
      <c r="C133" s="631"/>
      <c r="D133" s="631"/>
      <c r="E133" s="631"/>
      <c r="F133" s="631"/>
      <c r="G133" s="631"/>
      <c r="H133" s="631"/>
      <c r="I133" s="631"/>
      <c r="J133" s="631"/>
      <c r="K133" s="631"/>
      <c r="L133" s="631"/>
      <c r="M133" s="631"/>
      <c r="N133" s="631"/>
      <c r="O133" s="631"/>
      <c r="P133" s="631"/>
      <c r="Q133" s="631"/>
      <c r="R133" s="631"/>
      <c r="S133" s="631"/>
      <c r="T133" s="631"/>
      <c r="U133" s="631"/>
      <c r="V133" s="631"/>
      <c r="W133" s="631"/>
    </row>
    <row r="134" ht="12.75" customHeight="1">
      <c r="A134" s="631"/>
      <c r="B134" s="631"/>
      <c r="C134" s="631"/>
      <c r="D134" s="631"/>
      <c r="E134" s="631"/>
      <c r="F134" s="631"/>
      <c r="G134" s="631"/>
      <c r="H134" s="631"/>
      <c r="I134" s="631"/>
      <c r="J134" s="631"/>
      <c r="K134" s="631"/>
      <c r="L134" s="631"/>
      <c r="M134" s="631"/>
      <c r="N134" s="631"/>
      <c r="O134" s="631"/>
      <c r="P134" s="631"/>
      <c r="Q134" s="631"/>
      <c r="R134" s="631"/>
      <c r="S134" s="631"/>
      <c r="T134" s="631"/>
      <c r="U134" s="631"/>
      <c r="V134" s="631"/>
      <c r="W134" s="631"/>
    </row>
    <row r="135" ht="12.75" customHeight="1">
      <c r="A135" s="631"/>
      <c r="B135" s="631"/>
      <c r="C135" s="631"/>
      <c r="D135" s="631"/>
      <c r="E135" s="631"/>
      <c r="F135" s="631"/>
      <c r="G135" s="631"/>
      <c r="H135" s="631"/>
      <c r="I135" s="631"/>
      <c r="J135" s="631"/>
      <c r="K135" s="631"/>
      <c r="L135" s="631"/>
      <c r="M135" s="631"/>
      <c r="N135" s="631"/>
      <c r="O135" s="631"/>
      <c r="P135" s="631"/>
      <c r="Q135" s="631"/>
      <c r="R135" s="631"/>
      <c r="S135" s="631"/>
      <c r="T135" s="631"/>
      <c r="U135" s="631"/>
      <c r="V135" s="631"/>
      <c r="W135" s="631"/>
    </row>
    <row r="136" ht="12.75" customHeight="1">
      <c r="A136" s="631"/>
      <c r="B136" s="631"/>
      <c r="C136" s="631"/>
      <c r="D136" s="631"/>
      <c r="E136" s="631"/>
      <c r="F136" s="631"/>
      <c r="G136" s="631"/>
      <c r="H136" s="631"/>
      <c r="I136" s="631"/>
      <c r="J136" s="631"/>
      <c r="K136" s="631"/>
      <c r="L136" s="631"/>
      <c r="M136" s="631"/>
      <c r="N136" s="631"/>
      <c r="O136" s="631"/>
      <c r="P136" s="631"/>
      <c r="Q136" s="631"/>
      <c r="R136" s="631"/>
      <c r="S136" s="631"/>
      <c r="T136" s="631"/>
      <c r="U136" s="631"/>
      <c r="V136" s="631"/>
      <c r="W136" s="631"/>
    </row>
    <row r="137" ht="12.75" customHeight="1">
      <c r="A137" s="631"/>
      <c r="B137" s="631"/>
      <c r="C137" s="631"/>
      <c r="D137" s="631"/>
      <c r="E137" s="631"/>
      <c r="F137" s="631"/>
      <c r="G137" s="631"/>
      <c r="H137" s="631"/>
      <c r="I137" s="631"/>
      <c r="J137" s="631"/>
      <c r="K137" s="631"/>
      <c r="L137" s="631"/>
      <c r="M137" s="631"/>
      <c r="N137" s="631"/>
      <c r="O137" s="631"/>
      <c r="P137" s="631"/>
      <c r="Q137" s="631"/>
      <c r="R137" s="631"/>
      <c r="S137" s="631"/>
      <c r="T137" s="631"/>
      <c r="U137" s="631"/>
      <c r="V137" s="631"/>
      <c r="W137" s="631"/>
    </row>
    <row r="138" ht="12.75" customHeight="1">
      <c r="A138" s="631"/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</row>
    <row r="139" ht="12.75" customHeight="1">
      <c r="A139" s="631"/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</row>
    <row r="140" ht="12.75" customHeight="1">
      <c r="A140" s="631"/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</row>
    <row r="141" ht="12.75" customHeight="1">
      <c r="A141" s="631"/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31"/>
      <c r="T141" s="631"/>
      <c r="U141" s="631"/>
      <c r="V141" s="631"/>
      <c r="W141" s="631"/>
    </row>
    <row r="142" ht="12.75" customHeight="1">
      <c r="A142" s="631"/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631"/>
      <c r="T142" s="631"/>
      <c r="U142" s="631"/>
      <c r="V142" s="631"/>
      <c r="W142" s="631"/>
    </row>
    <row r="143" ht="12.75" customHeight="1">
      <c r="A143" s="631"/>
      <c r="B143" s="631"/>
      <c r="C143" s="631"/>
      <c r="D143" s="631"/>
      <c r="E143" s="631"/>
      <c r="F143" s="631"/>
      <c r="G143" s="631"/>
      <c r="H143" s="631"/>
      <c r="I143" s="631"/>
      <c r="J143" s="631"/>
      <c r="K143" s="631"/>
      <c r="L143" s="631"/>
      <c r="M143" s="631"/>
      <c r="N143" s="631"/>
      <c r="O143" s="631"/>
      <c r="P143" s="631"/>
      <c r="Q143" s="631"/>
      <c r="R143" s="631"/>
      <c r="S143" s="631"/>
      <c r="T143" s="631"/>
      <c r="U143" s="631"/>
      <c r="V143" s="631"/>
      <c r="W143" s="631"/>
    </row>
    <row r="144" ht="12.75" customHeight="1">
      <c r="A144" s="631"/>
      <c r="B144" s="631"/>
      <c r="C144" s="631"/>
      <c r="D144" s="631"/>
      <c r="E144" s="631"/>
      <c r="F144" s="631"/>
      <c r="G144" s="631"/>
      <c r="H144" s="631"/>
      <c r="I144" s="631"/>
      <c r="J144" s="631"/>
      <c r="K144" s="631"/>
      <c r="L144" s="631"/>
      <c r="M144" s="631"/>
      <c r="N144" s="631"/>
      <c r="O144" s="631"/>
      <c r="P144" s="631"/>
      <c r="Q144" s="631"/>
      <c r="R144" s="631"/>
      <c r="S144" s="631"/>
      <c r="T144" s="631"/>
      <c r="U144" s="631"/>
      <c r="V144" s="631"/>
      <c r="W144" s="631"/>
    </row>
    <row r="145" ht="12.75" customHeight="1">
      <c r="A145" s="631"/>
      <c r="B145" s="631"/>
      <c r="C145" s="631"/>
      <c r="D145" s="631"/>
      <c r="E145" s="631"/>
      <c r="F145" s="631"/>
      <c r="G145" s="631"/>
      <c r="H145" s="631"/>
      <c r="I145" s="631"/>
      <c r="J145" s="631"/>
      <c r="K145" s="631"/>
      <c r="L145" s="631"/>
      <c r="M145" s="631"/>
      <c r="N145" s="631"/>
      <c r="O145" s="631"/>
      <c r="P145" s="631"/>
      <c r="Q145" s="631"/>
      <c r="R145" s="631"/>
      <c r="S145" s="631"/>
      <c r="T145" s="631"/>
      <c r="U145" s="631"/>
      <c r="V145" s="631"/>
      <c r="W145" s="631"/>
    </row>
    <row r="146" ht="12.75" customHeight="1">
      <c r="A146" s="631"/>
      <c r="B146" s="631"/>
      <c r="C146" s="631"/>
      <c r="D146" s="631"/>
      <c r="E146" s="631"/>
      <c r="F146" s="631"/>
      <c r="G146" s="631"/>
      <c r="H146" s="631"/>
      <c r="I146" s="631"/>
      <c r="J146" s="631"/>
      <c r="K146" s="631"/>
      <c r="L146" s="631"/>
      <c r="M146" s="631"/>
      <c r="N146" s="631"/>
      <c r="O146" s="631"/>
      <c r="P146" s="631"/>
      <c r="Q146" s="631"/>
      <c r="R146" s="631"/>
      <c r="S146" s="631"/>
      <c r="T146" s="631"/>
      <c r="U146" s="631"/>
      <c r="V146" s="631"/>
      <c r="W146" s="631"/>
    </row>
    <row r="147" ht="12.75" customHeight="1">
      <c r="A147" s="631"/>
      <c r="B147" s="631"/>
      <c r="C147" s="631"/>
      <c r="D147" s="631"/>
      <c r="E147" s="631"/>
      <c r="F147" s="631"/>
      <c r="G147" s="631"/>
      <c r="H147" s="631"/>
      <c r="I147" s="631"/>
      <c r="J147" s="631"/>
      <c r="K147" s="631"/>
      <c r="L147" s="631"/>
      <c r="M147" s="631"/>
      <c r="N147" s="631"/>
      <c r="O147" s="631"/>
      <c r="P147" s="631"/>
      <c r="Q147" s="631"/>
      <c r="R147" s="631"/>
      <c r="S147" s="631"/>
      <c r="T147" s="631"/>
      <c r="U147" s="631"/>
      <c r="V147" s="631"/>
      <c r="W147" s="631"/>
    </row>
    <row r="148" ht="12.75" customHeight="1">
      <c r="A148" s="631"/>
      <c r="B148" s="631"/>
      <c r="C148" s="631"/>
      <c r="D148" s="631"/>
      <c r="E148" s="631"/>
      <c r="F148" s="631"/>
      <c r="G148" s="631"/>
      <c r="H148" s="631"/>
      <c r="I148" s="631"/>
      <c r="J148" s="631"/>
      <c r="K148" s="631"/>
      <c r="L148" s="631"/>
      <c r="M148" s="631"/>
      <c r="N148" s="631"/>
      <c r="O148" s="631"/>
      <c r="P148" s="631"/>
      <c r="Q148" s="631"/>
      <c r="R148" s="631"/>
      <c r="S148" s="631"/>
      <c r="T148" s="631"/>
      <c r="U148" s="631"/>
      <c r="V148" s="631"/>
      <c r="W148" s="631"/>
    </row>
    <row r="149" ht="12.75" customHeight="1">
      <c r="A149" s="631"/>
      <c r="B149" s="631"/>
      <c r="C149" s="631"/>
      <c r="D149" s="631"/>
      <c r="E149" s="631"/>
      <c r="F149" s="631"/>
      <c r="G149" s="631"/>
      <c r="H149" s="631"/>
      <c r="I149" s="631"/>
      <c r="J149" s="631"/>
      <c r="K149" s="631"/>
      <c r="L149" s="631"/>
      <c r="M149" s="631"/>
      <c r="N149" s="631"/>
      <c r="O149" s="631"/>
      <c r="P149" s="631"/>
      <c r="Q149" s="631"/>
      <c r="R149" s="631"/>
      <c r="S149" s="631"/>
      <c r="T149" s="631"/>
      <c r="U149" s="631"/>
      <c r="V149" s="631"/>
      <c r="W149" s="631"/>
    </row>
    <row r="150" ht="12.75" customHeight="1">
      <c r="A150" s="631"/>
      <c r="B150" s="631"/>
      <c r="C150" s="631"/>
      <c r="D150" s="631"/>
      <c r="E150" s="631"/>
      <c r="F150" s="631"/>
      <c r="G150" s="631"/>
      <c r="H150" s="631"/>
      <c r="I150" s="631"/>
      <c r="J150" s="631"/>
      <c r="K150" s="631"/>
      <c r="L150" s="631"/>
      <c r="M150" s="631"/>
      <c r="N150" s="631"/>
      <c r="O150" s="631"/>
      <c r="P150" s="631"/>
      <c r="Q150" s="631"/>
      <c r="R150" s="631"/>
      <c r="S150" s="631"/>
      <c r="T150" s="631"/>
      <c r="U150" s="631"/>
      <c r="V150" s="631"/>
      <c r="W150" s="631"/>
    </row>
    <row r="151" ht="12.75" customHeight="1">
      <c r="A151" s="631"/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</row>
    <row r="152" ht="12.75" customHeight="1">
      <c r="A152" s="631"/>
      <c r="B152" s="631"/>
      <c r="C152" s="631"/>
      <c r="D152" s="631"/>
      <c r="E152" s="631"/>
      <c r="F152" s="631"/>
      <c r="G152" s="631"/>
      <c r="H152" s="631"/>
      <c r="I152" s="631"/>
      <c r="J152" s="631"/>
      <c r="K152" s="631"/>
      <c r="L152" s="631"/>
      <c r="M152" s="631"/>
      <c r="N152" s="631"/>
      <c r="O152" s="631"/>
      <c r="P152" s="631"/>
      <c r="Q152" s="631"/>
      <c r="R152" s="631"/>
      <c r="S152" s="631"/>
      <c r="T152" s="631"/>
      <c r="U152" s="631"/>
      <c r="V152" s="631"/>
      <c r="W152" s="631"/>
    </row>
    <row r="153" ht="12.75" customHeight="1">
      <c r="A153" s="631"/>
      <c r="B153" s="631"/>
      <c r="C153" s="631"/>
      <c r="D153" s="631"/>
      <c r="E153" s="631"/>
      <c r="F153" s="631"/>
      <c r="G153" s="631"/>
      <c r="H153" s="631"/>
      <c r="I153" s="631"/>
      <c r="J153" s="631"/>
      <c r="K153" s="631"/>
      <c r="L153" s="631"/>
      <c r="M153" s="631"/>
      <c r="N153" s="631"/>
      <c r="O153" s="631"/>
      <c r="P153" s="631"/>
      <c r="Q153" s="631"/>
      <c r="R153" s="631"/>
      <c r="S153" s="631"/>
      <c r="T153" s="631"/>
      <c r="U153" s="631"/>
      <c r="V153" s="631"/>
      <c r="W153" s="631"/>
    </row>
    <row r="154" ht="12.75" customHeight="1">
      <c r="A154" s="631"/>
      <c r="B154" s="631"/>
      <c r="C154" s="631"/>
      <c r="D154" s="631"/>
      <c r="E154" s="631"/>
      <c r="F154" s="631"/>
      <c r="G154" s="631"/>
      <c r="H154" s="631"/>
      <c r="I154" s="631"/>
      <c r="J154" s="631"/>
      <c r="K154" s="631"/>
      <c r="L154" s="631"/>
      <c r="M154" s="631"/>
      <c r="N154" s="631"/>
      <c r="O154" s="631"/>
      <c r="P154" s="631"/>
      <c r="Q154" s="631"/>
      <c r="R154" s="631"/>
      <c r="S154" s="631"/>
      <c r="T154" s="631"/>
      <c r="U154" s="631"/>
      <c r="V154" s="631"/>
      <c r="W154" s="631"/>
    </row>
    <row r="155" ht="12.75" customHeight="1">
      <c r="A155" s="631"/>
      <c r="B155" s="631"/>
      <c r="C155" s="631"/>
      <c r="D155" s="631"/>
      <c r="E155" s="631"/>
      <c r="F155" s="631"/>
      <c r="G155" s="631"/>
      <c r="H155" s="631"/>
      <c r="I155" s="631"/>
      <c r="J155" s="631"/>
      <c r="K155" s="631"/>
      <c r="L155" s="631"/>
      <c r="M155" s="631"/>
      <c r="N155" s="631"/>
      <c r="O155" s="631"/>
      <c r="P155" s="631"/>
      <c r="Q155" s="631"/>
      <c r="R155" s="631"/>
      <c r="S155" s="631"/>
      <c r="T155" s="631"/>
      <c r="U155" s="631"/>
      <c r="V155" s="631"/>
      <c r="W155" s="631"/>
    </row>
    <row r="156" ht="12.75" customHeight="1">
      <c r="A156" s="631"/>
      <c r="B156" s="631"/>
      <c r="C156" s="631"/>
      <c r="D156" s="631"/>
      <c r="E156" s="631"/>
      <c r="F156" s="631"/>
      <c r="G156" s="631"/>
      <c r="H156" s="631"/>
      <c r="I156" s="631"/>
      <c r="J156" s="631"/>
      <c r="K156" s="631"/>
      <c r="L156" s="631"/>
      <c r="M156" s="631"/>
      <c r="N156" s="631"/>
      <c r="O156" s="631"/>
      <c r="P156" s="631"/>
      <c r="Q156" s="631"/>
      <c r="R156" s="631"/>
      <c r="S156" s="631"/>
      <c r="T156" s="631"/>
      <c r="U156" s="631"/>
      <c r="V156" s="631"/>
      <c r="W156" s="631"/>
    </row>
    <row r="157" ht="12.75" customHeight="1">
      <c r="A157" s="631"/>
      <c r="B157" s="631"/>
      <c r="C157" s="631"/>
      <c r="D157" s="631"/>
      <c r="E157" s="631"/>
      <c r="F157" s="631"/>
      <c r="G157" s="631"/>
      <c r="H157" s="631"/>
      <c r="I157" s="631"/>
      <c r="J157" s="631"/>
      <c r="K157" s="631"/>
      <c r="L157" s="631"/>
      <c r="M157" s="631"/>
      <c r="N157" s="631"/>
      <c r="O157" s="631"/>
      <c r="P157" s="631"/>
      <c r="Q157" s="631"/>
      <c r="R157" s="631"/>
      <c r="S157" s="631"/>
      <c r="T157" s="631"/>
      <c r="U157" s="631"/>
      <c r="V157" s="631"/>
      <c r="W157" s="631"/>
    </row>
    <row r="158" ht="12.75" customHeight="1">
      <c r="A158" s="631"/>
      <c r="B158" s="631"/>
      <c r="C158" s="631"/>
      <c r="D158" s="631"/>
      <c r="E158" s="631"/>
      <c r="F158" s="631"/>
      <c r="G158" s="631"/>
      <c r="H158" s="631"/>
      <c r="I158" s="631"/>
      <c r="J158" s="631"/>
      <c r="K158" s="631"/>
      <c r="L158" s="631"/>
      <c r="M158" s="631"/>
      <c r="N158" s="631"/>
      <c r="O158" s="631"/>
      <c r="P158" s="631"/>
      <c r="Q158" s="631"/>
      <c r="R158" s="631"/>
      <c r="S158" s="631"/>
      <c r="T158" s="631"/>
      <c r="U158" s="631"/>
      <c r="V158" s="631"/>
      <c r="W158" s="631"/>
    </row>
    <row r="159" ht="12.75" customHeight="1">
      <c r="A159" s="631"/>
      <c r="B159" s="631"/>
      <c r="C159" s="631"/>
      <c r="D159" s="631"/>
      <c r="E159" s="631"/>
      <c r="F159" s="631"/>
      <c r="G159" s="631"/>
      <c r="H159" s="631"/>
      <c r="I159" s="631"/>
      <c r="J159" s="631"/>
      <c r="K159" s="631"/>
      <c r="L159" s="631"/>
      <c r="M159" s="631"/>
      <c r="N159" s="631"/>
      <c r="O159" s="631"/>
      <c r="P159" s="631"/>
      <c r="Q159" s="631"/>
      <c r="R159" s="631"/>
      <c r="S159" s="631"/>
      <c r="T159" s="631"/>
      <c r="U159" s="631"/>
      <c r="V159" s="631"/>
      <c r="W159" s="631"/>
    </row>
    <row r="160" ht="12.75" customHeight="1">
      <c r="A160" s="631"/>
      <c r="B160" s="631"/>
      <c r="C160" s="631"/>
      <c r="D160" s="631"/>
      <c r="E160" s="631"/>
      <c r="F160" s="631"/>
      <c r="G160" s="631"/>
      <c r="H160" s="631"/>
      <c r="I160" s="631"/>
      <c r="J160" s="631"/>
      <c r="K160" s="631"/>
      <c r="L160" s="631"/>
      <c r="M160" s="631"/>
      <c r="N160" s="631"/>
      <c r="O160" s="631"/>
      <c r="P160" s="631"/>
      <c r="Q160" s="631"/>
      <c r="R160" s="631"/>
      <c r="S160" s="631"/>
      <c r="T160" s="631"/>
      <c r="U160" s="631"/>
      <c r="V160" s="631"/>
      <c r="W160" s="631"/>
    </row>
    <row r="161" ht="12.75" customHeight="1">
      <c r="A161" s="631"/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</row>
    <row r="162" ht="12.75" customHeight="1">
      <c r="A162" s="631"/>
      <c r="B162" s="631"/>
      <c r="C162" s="631"/>
      <c r="D162" s="631"/>
      <c r="E162" s="631"/>
      <c r="F162" s="631"/>
      <c r="G162" s="631"/>
      <c r="H162" s="631"/>
      <c r="I162" s="631"/>
      <c r="J162" s="631"/>
      <c r="K162" s="631"/>
      <c r="L162" s="631"/>
      <c r="M162" s="631"/>
      <c r="N162" s="631"/>
      <c r="O162" s="631"/>
      <c r="P162" s="631"/>
      <c r="Q162" s="631"/>
      <c r="R162" s="631"/>
      <c r="S162" s="631"/>
      <c r="T162" s="631"/>
      <c r="U162" s="631"/>
      <c r="V162" s="631"/>
      <c r="W162" s="631"/>
    </row>
    <row r="163" ht="12.75" customHeight="1">
      <c r="A163" s="631"/>
      <c r="B163" s="631"/>
      <c r="C163" s="631"/>
      <c r="D163" s="631"/>
      <c r="E163" s="631"/>
      <c r="F163" s="631"/>
      <c r="G163" s="631"/>
      <c r="H163" s="631"/>
      <c r="I163" s="631"/>
      <c r="J163" s="631"/>
      <c r="K163" s="631"/>
      <c r="L163" s="631"/>
      <c r="M163" s="631"/>
      <c r="N163" s="631"/>
      <c r="O163" s="631"/>
      <c r="P163" s="631"/>
      <c r="Q163" s="631"/>
      <c r="R163" s="631"/>
      <c r="S163" s="631"/>
      <c r="T163" s="631"/>
      <c r="U163" s="631"/>
      <c r="V163" s="631"/>
      <c r="W163" s="631"/>
    </row>
    <row r="164" ht="12.75" customHeight="1">
      <c r="A164" s="631"/>
      <c r="B164" s="631"/>
      <c r="C164" s="631"/>
      <c r="D164" s="631"/>
      <c r="E164" s="631"/>
      <c r="F164" s="631"/>
      <c r="G164" s="631"/>
      <c r="H164" s="631"/>
      <c r="I164" s="631"/>
      <c r="J164" s="631"/>
      <c r="K164" s="631"/>
      <c r="L164" s="631"/>
      <c r="M164" s="631"/>
      <c r="N164" s="631"/>
      <c r="O164" s="631"/>
      <c r="P164" s="631"/>
      <c r="Q164" s="631"/>
      <c r="R164" s="631"/>
      <c r="S164" s="631"/>
      <c r="T164" s="631"/>
      <c r="U164" s="631"/>
      <c r="V164" s="631"/>
      <c r="W164" s="631"/>
    </row>
    <row r="165" ht="12.75" customHeight="1">
      <c r="A165" s="631"/>
      <c r="B165" s="631"/>
      <c r="C165" s="631"/>
      <c r="D165" s="631"/>
      <c r="E165" s="631"/>
      <c r="F165" s="631"/>
      <c r="G165" s="631"/>
      <c r="H165" s="631"/>
      <c r="I165" s="631"/>
      <c r="J165" s="631"/>
      <c r="K165" s="631"/>
      <c r="L165" s="631"/>
      <c r="M165" s="631"/>
      <c r="N165" s="631"/>
      <c r="O165" s="631"/>
      <c r="P165" s="631"/>
      <c r="Q165" s="631"/>
      <c r="R165" s="631"/>
      <c r="S165" s="631"/>
      <c r="T165" s="631"/>
      <c r="U165" s="631"/>
      <c r="V165" s="631"/>
      <c r="W165" s="631"/>
    </row>
    <row r="166" ht="12.75" customHeight="1">
      <c r="A166" s="631"/>
      <c r="B166" s="631"/>
      <c r="C166" s="631"/>
      <c r="D166" s="631"/>
      <c r="E166" s="631"/>
      <c r="F166" s="631"/>
      <c r="G166" s="631"/>
      <c r="H166" s="631"/>
      <c r="I166" s="631"/>
      <c r="J166" s="631"/>
      <c r="K166" s="631"/>
      <c r="L166" s="631"/>
      <c r="M166" s="631"/>
      <c r="N166" s="631"/>
      <c r="O166" s="631"/>
      <c r="P166" s="631"/>
      <c r="Q166" s="631"/>
      <c r="R166" s="631"/>
      <c r="S166" s="631"/>
      <c r="T166" s="631"/>
      <c r="U166" s="631"/>
      <c r="V166" s="631"/>
      <c r="W166" s="631"/>
    </row>
    <row r="167" ht="12.75" customHeight="1">
      <c r="A167" s="631"/>
      <c r="B167" s="631"/>
      <c r="C167" s="631"/>
      <c r="D167" s="631"/>
      <c r="E167" s="631"/>
      <c r="F167" s="631"/>
      <c r="G167" s="631"/>
      <c r="H167" s="631"/>
      <c r="I167" s="631"/>
      <c r="J167" s="631"/>
      <c r="K167" s="631"/>
      <c r="L167" s="631"/>
      <c r="M167" s="631"/>
      <c r="N167" s="631"/>
      <c r="O167" s="631"/>
      <c r="P167" s="631"/>
      <c r="Q167" s="631"/>
      <c r="R167" s="631"/>
      <c r="S167" s="631"/>
      <c r="T167" s="631"/>
      <c r="U167" s="631"/>
      <c r="V167" s="631"/>
      <c r="W167" s="631"/>
    </row>
    <row r="168" ht="12.75" customHeight="1">
      <c r="A168" s="631"/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31"/>
      <c r="T168" s="631"/>
      <c r="U168" s="631"/>
      <c r="V168" s="631"/>
      <c r="W168" s="631"/>
    </row>
    <row r="169" ht="12.75" customHeight="1">
      <c r="A169" s="631"/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31"/>
      <c r="T169" s="631"/>
      <c r="U169" s="631"/>
      <c r="V169" s="631"/>
      <c r="W169" s="631"/>
    </row>
    <row r="170" ht="12.75" customHeight="1">
      <c r="A170" s="631"/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</row>
    <row r="171" ht="12.75" customHeight="1">
      <c r="A171" s="631"/>
      <c r="B171" s="631"/>
      <c r="C171" s="631"/>
      <c r="D171" s="631"/>
      <c r="E171" s="631"/>
      <c r="F171" s="631"/>
      <c r="G171" s="631"/>
      <c r="H171" s="631"/>
      <c r="I171" s="631"/>
      <c r="J171" s="631"/>
      <c r="K171" s="631"/>
      <c r="L171" s="631"/>
      <c r="M171" s="631"/>
      <c r="N171" s="631"/>
      <c r="O171" s="631"/>
      <c r="P171" s="631"/>
      <c r="Q171" s="631"/>
      <c r="R171" s="631"/>
      <c r="S171" s="631"/>
      <c r="T171" s="631"/>
      <c r="U171" s="631"/>
      <c r="V171" s="631"/>
      <c r="W171" s="631"/>
    </row>
    <row r="172" ht="12.75" customHeight="1">
      <c r="A172" s="631"/>
      <c r="B172" s="631"/>
      <c r="C172" s="631"/>
      <c r="D172" s="631"/>
      <c r="E172" s="631"/>
      <c r="F172" s="631"/>
      <c r="G172" s="631"/>
      <c r="H172" s="631"/>
      <c r="I172" s="631"/>
      <c r="J172" s="631"/>
      <c r="K172" s="631"/>
      <c r="L172" s="631"/>
      <c r="M172" s="631"/>
      <c r="N172" s="631"/>
      <c r="O172" s="631"/>
      <c r="P172" s="631"/>
      <c r="Q172" s="631"/>
      <c r="R172" s="631"/>
      <c r="S172" s="631"/>
      <c r="T172" s="631"/>
      <c r="U172" s="631"/>
      <c r="V172" s="631"/>
      <c r="W172" s="631"/>
    </row>
    <row r="173" ht="12.75" customHeight="1">
      <c r="A173" s="631"/>
      <c r="B173" s="631"/>
      <c r="C173" s="631"/>
      <c r="D173" s="631"/>
      <c r="E173" s="631"/>
      <c r="F173" s="631"/>
      <c r="G173" s="631"/>
      <c r="H173" s="631"/>
      <c r="I173" s="631"/>
      <c r="J173" s="631"/>
      <c r="K173" s="631"/>
      <c r="L173" s="631"/>
      <c r="M173" s="631"/>
      <c r="N173" s="631"/>
      <c r="O173" s="631"/>
      <c r="P173" s="631"/>
      <c r="Q173" s="631"/>
      <c r="R173" s="631"/>
      <c r="S173" s="631"/>
      <c r="T173" s="631"/>
      <c r="U173" s="631"/>
      <c r="V173" s="631"/>
      <c r="W173" s="631"/>
    </row>
    <row r="174" ht="12.75" customHeight="1">
      <c r="A174" s="631"/>
      <c r="B174" s="631"/>
      <c r="C174" s="631"/>
      <c r="D174" s="631"/>
      <c r="E174" s="631"/>
      <c r="F174" s="631"/>
      <c r="G174" s="631"/>
      <c r="H174" s="631"/>
      <c r="I174" s="631"/>
      <c r="J174" s="631"/>
      <c r="K174" s="631"/>
      <c r="L174" s="631"/>
      <c r="M174" s="631"/>
      <c r="N174" s="631"/>
      <c r="O174" s="631"/>
      <c r="P174" s="631"/>
      <c r="Q174" s="631"/>
      <c r="R174" s="631"/>
      <c r="S174" s="631"/>
      <c r="T174" s="631"/>
      <c r="U174" s="631"/>
      <c r="V174" s="631"/>
      <c r="W174" s="631"/>
    </row>
    <row r="175" ht="12.75" customHeight="1">
      <c r="A175" s="631"/>
      <c r="B175" s="631"/>
      <c r="C175" s="631"/>
      <c r="D175" s="631"/>
      <c r="E175" s="631"/>
      <c r="F175" s="631"/>
      <c r="G175" s="631"/>
      <c r="H175" s="631"/>
      <c r="I175" s="631"/>
      <c r="J175" s="631"/>
      <c r="K175" s="631"/>
      <c r="L175" s="631"/>
      <c r="M175" s="631"/>
      <c r="N175" s="631"/>
      <c r="O175" s="631"/>
      <c r="P175" s="631"/>
      <c r="Q175" s="631"/>
      <c r="R175" s="631"/>
      <c r="S175" s="631"/>
      <c r="T175" s="631"/>
      <c r="U175" s="631"/>
      <c r="V175" s="631"/>
      <c r="W175" s="631"/>
    </row>
    <row r="176" ht="12.75" customHeight="1">
      <c r="A176" s="631"/>
      <c r="B176" s="631"/>
      <c r="C176" s="631"/>
      <c r="D176" s="631"/>
      <c r="E176" s="631"/>
      <c r="F176" s="631"/>
      <c r="G176" s="631"/>
      <c r="H176" s="631"/>
      <c r="I176" s="631"/>
      <c r="J176" s="631"/>
      <c r="K176" s="631"/>
      <c r="L176" s="631"/>
      <c r="M176" s="631"/>
      <c r="N176" s="631"/>
      <c r="O176" s="631"/>
      <c r="P176" s="631"/>
      <c r="Q176" s="631"/>
      <c r="R176" s="631"/>
      <c r="S176" s="631"/>
      <c r="T176" s="631"/>
      <c r="U176" s="631"/>
      <c r="V176" s="631"/>
      <c r="W176" s="631"/>
    </row>
    <row r="177" ht="12.75" customHeight="1">
      <c r="A177" s="631"/>
      <c r="B177" s="631"/>
      <c r="C177" s="631"/>
      <c r="D177" s="631"/>
      <c r="E177" s="631"/>
      <c r="F177" s="631"/>
      <c r="G177" s="631"/>
      <c r="H177" s="631"/>
      <c r="I177" s="631"/>
      <c r="J177" s="631"/>
      <c r="K177" s="631"/>
      <c r="L177" s="631"/>
      <c r="M177" s="631"/>
      <c r="N177" s="631"/>
      <c r="O177" s="631"/>
      <c r="P177" s="631"/>
      <c r="Q177" s="631"/>
      <c r="R177" s="631"/>
      <c r="S177" s="631"/>
      <c r="T177" s="631"/>
      <c r="U177" s="631"/>
      <c r="V177" s="631"/>
      <c r="W177" s="631"/>
    </row>
    <row r="178" ht="12.75" customHeight="1">
      <c r="A178" s="631"/>
      <c r="B178" s="631"/>
      <c r="C178" s="631"/>
      <c r="D178" s="631"/>
      <c r="E178" s="631"/>
      <c r="F178" s="631"/>
      <c r="G178" s="631"/>
      <c r="H178" s="631"/>
      <c r="I178" s="631"/>
      <c r="J178" s="631"/>
      <c r="K178" s="631"/>
      <c r="L178" s="631"/>
      <c r="M178" s="631"/>
      <c r="N178" s="631"/>
      <c r="O178" s="631"/>
      <c r="P178" s="631"/>
      <c r="Q178" s="631"/>
      <c r="R178" s="631"/>
      <c r="S178" s="631"/>
      <c r="T178" s="631"/>
      <c r="U178" s="631"/>
      <c r="V178" s="631"/>
      <c r="W178" s="631"/>
    </row>
    <row r="179" ht="12.75" customHeight="1">
      <c r="A179" s="631"/>
      <c r="B179" s="631"/>
      <c r="C179" s="631"/>
      <c r="D179" s="631"/>
      <c r="E179" s="631"/>
      <c r="F179" s="631"/>
      <c r="G179" s="631"/>
      <c r="H179" s="631"/>
      <c r="I179" s="631"/>
      <c r="J179" s="631"/>
      <c r="K179" s="631"/>
      <c r="L179" s="631"/>
      <c r="M179" s="631"/>
      <c r="N179" s="631"/>
      <c r="O179" s="631"/>
      <c r="P179" s="631"/>
      <c r="Q179" s="631"/>
      <c r="R179" s="631"/>
      <c r="S179" s="631"/>
      <c r="T179" s="631"/>
      <c r="U179" s="631"/>
      <c r="V179" s="631"/>
      <c r="W179" s="631"/>
    </row>
    <row r="180" ht="12.75" customHeight="1">
      <c r="A180" s="631"/>
      <c r="B180" s="631"/>
      <c r="C180" s="631"/>
      <c r="D180" s="631"/>
      <c r="E180" s="631"/>
      <c r="F180" s="631"/>
      <c r="G180" s="631"/>
      <c r="H180" s="631"/>
      <c r="I180" s="631"/>
      <c r="J180" s="631"/>
      <c r="K180" s="631"/>
      <c r="L180" s="631"/>
      <c r="M180" s="631"/>
      <c r="N180" s="631"/>
      <c r="O180" s="631"/>
      <c r="P180" s="631"/>
      <c r="Q180" s="631"/>
      <c r="R180" s="631"/>
      <c r="S180" s="631"/>
      <c r="T180" s="631"/>
      <c r="U180" s="631"/>
      <c r="V180" s="631"/>
      <c r="W180" s="631"/>
    </row>
    <row r="181" ht="12.75" customHeight="1">
      <c r="A181" s="631"/>
      <c r="B181" s="631"/>
      <c r="C181" s="631"/>
      <c r="D181" s="631"/>
      <c r="E181" s="631"/>
      <c r="F181" s="631"/>
      <c r="G181" s="631"/>
      <c r="H181" s="631"/>
      <c r="I181" s="631"/>
      <c r="J181" s="631"/>
      <c r="K181" s="631"/>
      <c r="L181" s="631"/>
      <c r="M181" s="631"/>
      <c r="N181" s="631"/>
      <c r="O181" s="631"/>
      <c r="P181" s="631"/>
      <c r="Q181" s="631"/>
      <c r="R181" s="631"/>
      <c r="S181" s="631"/>
      <c r="T181" s="631"/>
      <c r="U181" s="631"/>
      <c r="V181" s="631"/>
      <c r="W181" s="631"/>
    </row>
    <row r="182" ht="12.75" customHeight="1">
      <c r="A182" s="631"/>
      <c r="B182" s="631"/>
      <c r="C182" s="631"/>
      <c r="D182" s="631"/>
      <c r="E182" s="631"/>
      <c r="F182" s="631"/>
      <c r="G182" s="631"/>
      <c r="H182" s="631"/>
      <c r="I182" s="631"/>
      <c r="J182" s="631"/>
      <c r="K182" s="631"/>
      <c r="L182" s="631"/>
      <c r="M182" s="631"/>
      <c r="N182" s="631"/>
      <c r="O182" s="631"/>
      <c r="P182" s="631"/>
      <c r="Q182" s="631"/>
      <c r="R182" s="631"/>
      <c r="S182" s="631"/>
      <c r="T182" s="631"/>
      <c r="U182" s="631"/>
      <c r="V182" s="631"/>
      <c r="W182" s="631"/>
    </row>
    <row r="183" ht="12.75" customHeight="1">
      <c r="A183" s="631"/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</row>
    <row r="184" ht="12.75" customHeight="1">
      <c r="A184" s="631"/>
      <c r="B184" s="631"/>
      <c r="C184" s="631"/>
      <c r="D184" s="631"/>
      <c r="E184" s="631"/>
      <c r="F184" s="631"/>
      <c r="G184" s="631"/>
      <c r="H184" s="631"/>
      <c r="I184" s="631"/>
      <c r="J184" s="631"/>
      <c r="K184" s="631"/>
      <c r="L184" s="631"/>
      <c r="M184" s="631"/>
      <c r="N184" s="631"/>
      <c r="O184" s="631"/>
      <c r="P184" s="631"/>
      <c r="Q184" s="631"/>
      <c r="R184" s="631"/>
      <c r="S184" s="631"/>
      <c r="T184" s="631"/>
      <c r="U184" s="631"/>
      <c r="V184" s="631"/>
      <c r="W184" s="631"/>
    </row>
    <row r="185" ht="12.75" customHeight="1">
      <c r="A185" s="631"/>
      <c r="B185" s="631"/>
      <c r="C185" s="631"/>
      <c r="D185" s="631"/>
      <c r="E185" s="631"/>
      <c r="F185" s="631"/>
      <c r="G185" s="631"/>
      <c r="H185" s="631"/>
      <c r="I185" s="631"/>
      <c r="J185" s="631"/>
      <c r="K185" s="631"/>
      <c r="L185" s="631"/>
      <c r="M185" s="631"/>
      <c r="N185" s="631"/>
      <c r="O185" s="631"/>
      <c r="P185" s="631"/>
      <c r="Q185" s="631"/>
      <c r="R185" s="631"/>
      <c r="S185" s="631"/>
      <c r="T185" s="631"/>
      <c r="U185" s="631"/>
      <c r="V185" s="631"/>
      <c r="W185" s="631"/>
    </row>
    <row r="186" ht="12.75" customHeight="1">
      <c r="A186" s="631"/>
      <c r="B186" s="631"/>
      <c r="C186" s="631"/>
      <c r="D186" s="631"/>
      <c r="E186" s="631"/>
      <c r="F186" s="631"/>
      <c r="G186" s="631"/>
      <c r="H186" s="631"/>
      <c r="I186" s="631"/>
      <c r="J186" s="631"/>
      <c r="K186" s="631"/>
      <c r="L186" s="631"/>
      <c r="M186" s="631"/>
      <c r="N186" s="631"/>
      <c r="O186" s="631"/>
      <c r="P186" s="631"/>
      <c r="Q186" s="631"/>
      <c r="R186" s="631"/>
      <c r="S186" s="631"/>
      <c r="T186" s="631"/>
      <c r="U186" s="631"/>
      <c r="V186" s="631"/>
      <c r="W186" s="631"/>
    </row>
    <row r="187" ht="12.75" customHeight="1">
      <c r="A187" s="631"/>
      <c r="B187" s="631"/>
      <c r="C187" s="631"/>
      <c r="D187" s="631"/>
      <c r="E187" s="631"/>
      <c r="F187" s="631"/>
      <c r="G187" s="631"/>
      <c r="H187" s="631"/>
      <c r="I187" s="631"/>
      <c r="J187" s="631"/>
      <c r="K187" s="631"/>
      <c r="L187" s="631"/>
      <c r="M187" s="631"/>
      <c r="N187" s="631"/>
      <c r="O187" s="631"/>
      <c r="P187" s="631"/>
      <c r="Q187" s="631"/>
      <c r="R187" s="631"/>
      <c r="S187" s="631"/>
      <c r="T187" s="631"/>
      <c r="U187" s="631"/>
      <c r="V187" s="631"/>
      <c r="W187" s="631"/>
    </row>
    <row r="188" ht="12.75" customHeight="1">
      <c r="A188" s="631"/>
      <c r="B188" s="631"/>
      <c r="C188" s="631"/>
      <c r="D188" s="631"/>
      <c r="E188" s="631"/>
      <c r="F188" s="631"/>
      <c r="G188" s="631"/>
      <c r="H188" s="631"/>
      <c r="I188" s="631"/>
      <c r="J188" s="631"/>
      <c r="K188" s="631"/>
      <c r="L188" s="631"/>
      <c r="M188" s="631"/>
      <c r="N188" s="631"/>
      <c r="O188" s="631"/>
      <c r="P188" s="631"/>
      <c r="Q188" s="631"/>
      <c r="R188" s="631"/>
      <c r="S188" s="631"/>
      <c r="T188" s="631"/>
      <c r="U188" s="631"/>
      <c r="V188" s="631"/>
      <c r="W188" s="631"/>
    </row>
    <row r="189" ht="12.75" customHeight="1">
      <c r="A189" s="631"/>
      <c r="B189" s="631"/>
      <c r="C189" s="631"/>
      <c r="D189" s="631"/>
      <c r="E189" s="631"/>
      <c r="F189" s="631"/>
      <c r="G189" s="631"/>
      <c r="H189" s="631"/>
      <c r="I189" s="631"/>
      <c r="J189" s="631"/>
      <c r="K189" s="631"/>
      <c r="L189" s="631"/>
      <c r="M189" s="631"/>
      <c r="N189" s="631"/>
      <c r="O189" s="631"/>
      <c r="P189" s="631"/>
      <c r="Q189" s="631"/>
      <c r="R189" s="631"/>
      <c r="S189" s="631"/>
      <c r="T189" s="631"/>
      <c r="U189" s="631"/>
      <c r="V189" s="631"/>
      <c r="W189" s="631"/>
    </row>
    <row r="190" ht="12.75" customHeight="1">
      <c r="A190" s="631"/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</row>
    <row r="191" ht="12.75" customHeight="1">
      <c r="A191" s="631"/>
      <c r="B191" s="631"/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31"/>
      <c r="T191" s="631"/>
      <c r="U191" s="631"/>
      <c r="V191" s="631"/>
      <c r="W191" s="631"/>
    </row>
    <row r="192" ht="12.75" customHeight="1">
      <c r="A192" s="631"/>
      <c r="B192" s="631"/>
      <c r="C192" s="631"/>
      <c r="D192" s="631"/>
      <c r="E192" s="631"/>
      <c r="F192" s="631"/>
      <c r="G192" s="631"/>
      <c r="H192" s="631"/>
      <c r="I192" s="631"/>
      <c r="J192" s="631"/>
      <c r="K192" s="631"/>
      <c r="L192" s="631"/>
      <c r="M192" s="631"/>
      <c r="N192" s="631"/>
      <c r="O192" s="631"/>
      <c r="P192" s="631"/>
      <c r="Q192" s="631"/>
      <c r="R192" s="631"/>
      <c r="S192" s="631"/>
      <c r="T192" s="631"/>
      <c r="U192" s="631"/>
      <c r="V192" s="631"/>
      <c r="W192" s="631"/>
    </row>
    <row r="193" ht="12.75" customHeight="1">
      <c r="A193" s="631"/>
      <c r="B193" s="631"/>
      <c r="C193" s="631"/>
      <c r="D193" s="631"/>
      <c r="E193" s="631"/>
      <c r="F193" s="631"/>
      <c r="G193" s="631"/>
      <c r="H193" s="631"/>
      <c r="I193" s="631"/>
      <c r="J193" s="631"/>
      <c r="K193" s="631"/>
      <c r="L193" s="631"/>
      <c r="M193" s="631"/>
      <c r="N193" s="631"/>
      <c r="O193" s="631"/>
      <c r="P193" s="631"/>
      <c r="Q193" s="631"/>
      <c r="R193" s="631"/>
      <c r="S193" s="631"/>
      <c r="T193" s="631"/>
      <c r="U193" s="631"/>
      <c r="V193" s="631"/>
      <c r="W193" s="631"/>
    </row>
    <row r="194" ht="12.75" customHeight="1">
      <c r="A194" s="631"/>
      <c r="B194" s="631"/>
      <c r="C194" s="631"/>
      <c r="D194" s="631"/>
      <c r="E194" s="631"/>
      <c r="F194" s="631"/>
      <c r="G194" s="631"/>
      <c r="H194" s="631"/>
      <c r="I194" s="631"/>
      <c r="J194" s="631"/>
      <c r="K194" s="631"/>
      <c r="L194" s="631"/>
      <c r="M194" s="631"/>
      <c r="N194" s="631"/>
      <c r="O194" s="631"/>
      <c r="P194" s="631"/>
      <c r="Q194" s="631"/>
      <c r="R194" s="631"/>
      <c r="S194" s="631"/>
      <c r="T194" s="631"/>
      <c r="U194" s="631"/>
      <c r="V194" s="631"/>
      <c r="W194" s="631"/>
    </row>
    <row r="195" ht="12.75" customHeight="1">
      <c r="A195" s="631"/>
      <c r="B195" s="631"/>
      <c r="C195" s="631"/>
      <c r="D195" s="631"/>
      <c r="E195" s="631"/>
      <c r="F195" s="631"/>
      <c r="G195" s="631"/>
      <c r="H195" s="631"/>
      <c r="I195" s="631"/>
      <c r="J195" s="631"/>
      <c r="K195" s="631"/>
      <c r="L195" s="631"/>
      <c r="M195" s="631"/>
      <c r="N195" s="631"/>
      <c r="O195" s="631"/>
      <c r="P195" s="631"/>
      <c r="Q195" s="631"/>
      <c r="R195" s="631"/>
      <c r="S195" s="631"/>
      <c r="T195" s="631"/>
      <c r="U195" s="631"/>
      <c r="V195" s="631"/>
      <c r="W195" s="631"/>
    </row>
    <row r="196" ht="12.75" customHeight="1">
      <c r="A196" s="631"/>
      <c r="B196" s="631"/>
      <c r="C196" s="631"/>
      <c r="D196" s="631"/>
      <c r="E196" s="631"/>
      <c r="F196" s="631"/>
      <c r="G196" s="631"/>
      <c r="H196" s="631"/>
      <c r="I196" s="631"/>
      <c r="J196" s="631"/>
      <c r="K196" s="631"/>
      <c r="L196" s="631"/>
      <c r="M196" s="631"/>
      <c r="N196" s="631"/>
      <c r="O196" s="631"/>
      <c r="P196" s="631"/>
      <c r="Q196" s="631"/>
      <c r="R196" s="631"/>
      <c r="S196" s="631"/>
      <c r="T196" s="631"/>
      <c r="U196" s="631"/>
      <c r="V196" s="631"/>
      <c r="W196" s="631"/>
    </row>
    <row r="197" ht="12.75" customHeight="1">
      <c r="A197" s="631"/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</row>
    <row r="198" ht="12.75" customHeight="1">
      <c r="A198" s="631"/>
      <c r="B198" s="631"/>
      <c r="C198" s="631"/>
      <c r="D198" s="631"/>
      <c r="E198" s="631"/>
      <c r="F198" s="631"/>
      <c r="G198" s="631"/>
      <c r="H198" s="631"/>
      <c r="I198" s="631"/>
      <c r="J198" s="631"/>
      <c r="K198" s="631"/>
      <c r="L198" s="631"/>
      <c r="M198" s="631"/>
      <c r="N198" s="631"/>
      <c r="O198" s="631"/>
      <c r="P198" s="631"/>
      <c r="Q198" s="631"/>
      <c r="R198" s="631"/>
      <c r="S198" s="631"/>
      <c r="T198" s="631"/>
      <c r="U198" s="631"/>
      <c r="V198" s="631"/>
      <c r="W198" s="631"/>
    </row>
    <row r="199" ht="12.75" customHeight="1">
      <c r="A199" s="631"/>
      <c r="B199" s="631"/>
      <c r="C199" s="631"/>
      <c r="D199" s="631"/>
      <c r="E199" s="631"/>
      <c r="F199" s="631"/>
      <c r="G199" s="631"/>
      <c r="H199" s="631"/>
      <c r="I199" s="631"/>
      <c r="J199" s="631"/>
      <c r="K199" s="631"/>
      <c r="L199" s="631"/>
      <c r="M199" s="631"/>
      <c r="N199" s="631"/>
      <c r="O199" s="631"/>
      <c r="P199" s="631"/>
      <c r="Q199" s="631"/>
      <c r="R199" s="631"/>
      <c r="S199" s="631"/>
      <c r="T199" s="631"/>
      <c r="U199" s="631"/>
      <c r="V199" s="631"/>
      <c r="W199" s="631"/>
    </row>
    <row r="200" ht="12.75" customHeight="1">
      <c r="A200" s="631"/>
      <c r="B200" s="631"/>
      <c r="C200" s="631"/>
      <c r="D200" s="631"/>
      <c r="E200" s="631"/>
      <c r="F200" s="631"/>
      <c r="G200" s="631"/>
      <c r="H200" s="631"/>
      <c r="I200" s="631"/>
      <c r="J200" s="631"/>
      <c r="K200" s="631"/>
      <c r="L200" s="631"/>
      <c r="M200" s="631"/>
      <c r="N200" s="631"/>
      <c r="O200" s="631"/>
      <c r="P200" s="631"/>
      <c r="Q200" s="631"/>
      <c r="R200" s="631"/>
      <c r="S200" s="631"/>
      <c r="T200" s="631"/>
      <c r="U200" s="631"/>
      <c r="V200" s="631"/>
      <c r="W200" s="631"/>
    </row>
    <row r="201" ht="12.75" customHeight="1">
      <c r="A201" s="631"/>
      <c r="B201" s="631"/>
      <c r="C201" s="631"/>
      <c r="D201" s="631"/>
      <c r="E201" s="631"/>
      <c r="F201" s="631"/>
      <c r="G201" s="631"/>
      <c r="H201" s="631"/>
      <c r="I201" s="631"/>
      <c r="J201" s="631"/>
      <c r="K201" s="631"/>
      <c r="L201" s="631"/>
      <c r="M201" s="631"/>
      <c r="N201" s="631"/>
      <c r="O201" s="631"/>
      <c r="P201" s="631"/>
      <c r="Q201" s="631"/>
      <c r="R201" s="631"/>
      <c r="S201" s="631"/>
      <c r="T201" s="631"/>
      <c r="U201" s="631"/>
      <c r="V201" s="631"/>
      <c r="W201" s="631"/>
    </row>
    <row r="202" ht="12.75" customHeight="1">
      <c r="A202" s="631"/>
      <c r="B202" s="631"/>
      <c r="C202" s="631"/>
      <c r="D202" s="631"/>
      <c r="E202" s="631"/>
      <c r="F202" s="631"/>
      <c r="G202" s="631"/>
      <c r="H202" s="631"/>
      <c r="I202" s="631"/>
      <c r="J202" s="631"/>
      <c r="K202" s="631"/>
      <c r="L202" s="631"/>
      <c r="M202" s="631"/>
      <c r="N202" s="631"/>
      <c r="O202" s="631"/>
      <c r="P202" s="631"/>
      <c r="Q202" s="631"/>
      <c r="R202" s="631"/>
      <c r="S202" s="631"/>
      <c r="T202" s="631"/>
      <c r="U202" s="631"/>
      <c r="V202" s="631"/>
      <c r="W202" s="631"/>
    </row>
    <row r="203" ht="12.75" customHeight="1">
      <c r="A203" s="631"/>
      <c r="B203" s="631"/>
      <c r="C203" s="631"/>
      <c r="D203" s="631"/>
      <c r="E203" s="631"/>
      <c r="F203" s="631"/>
      <c r="G203" s="631"/>
      <c r="H203" s="631"/>
      <c r="I203" s="631"/>
      <c r="J203" s="631"/>
      <c r="K203" s="631"/>
      <c r="L203" s="631"/>
      <c r="M203" s="631"/>
      <c r="N203" s="631"/>
      <c r="O203" s="631"/>
      <c r="P203" s="631"/>
      <c r="Q203" s="631"/>
      <c r="R203" s="631"/>
      <c r="S203" s="631"/>
      <c r="T203" s="631"/>
      <c r="U203" s="631"/>
      <c r="V203" s="631"/>
      <c r="W203" s="631"/>
    </row>
    <row r="204" ht="12.75" customHeight="1">
      <c r="A204" s="631"/>
      <c r="B204" s="631"/>
      <c r="C204" s="631"/>
      <c r="D204" s="631"/>
      <c r="E204" s="631"/>
      <c r="F204" s="631"/>
      <c r="G204" s="631"/>
      <c r="H204" s="631"/>
      <c r="I204" s="631"/>
      <c r="J204" s="631"/>
      <c r="K204" s="631"/>
      <c r="L204" s="631"/>
      <c r="M204" s="631"/>
      <c r="N204" s="631"/>
      <c r="O204" s="631"/>
      <c r="P204" s="631"/>
      <c r="Q204" s="631"/>
      <c r="R204" s="631"/>
      <c r="S204" s="631"/>
      <c r="T204" s="631"/>
      <c r="U204" s="631"/>
      <c r="V204" s="631"/>
      <c r="W204" s="631"/>
    </row>
    <row r="205" ht="12.75" customHeight="1">
      <c r="A205" s="631"/>
      <c r="B205" s="631"/>
      <c r="C205" s="631"/>
      <c r="D205" s="631"/>
      <c r="E205" s="631"/>
      <c r="F205" s="631"/>
      <c r="G205" s="631"/>
      <c r="H205" s="631"/>
      <c r="I205" s="631"/>
      <c r="J205" s="631"/>
      <c r="K205" s="631"/>
      <c r="L205" s="631"/>
      <c r="M205" s="631"/>
      <c r="N205" s="631"/>
      <c r="O205" s="631"/>
      <c r="P205" s="631"/>
      <c r="Q205" s="631"/>
      <c r="R205" s="631"/>
      <c r="S205" s="631"/>
      <c r="T205" s="631"/>
      <c r="U205" s="631"/>
      <c r="V205" s="631"/>
      <c r="W205" s="631"/>
    </row>
    <row r="206" ht="12.75" customHeight="1">
      <c r="A206" s="631"/>
      <c r="B206" s="631"/>
      <c r="C206" s="631"/>
      <c r="D206" s="631"/>
      <c r="E206" s="631"/>
      <c r="F206" s="631"/>
      <c r="G206" s="631"/>
      <c r="H206" s="631"/>
      <c r="I206" s="631"/>
      <c r="J206" s="631"/>
      <c r="K206" s="631"/>
      <c r="L206" s="631"/>
      <c r="M206" s="631"/>
      <c r="N206" s="631"/>
      <c r="O206" s="631"/>
      <c r="P206" s="631"/>
      <c r="Q206" s="631"/>
      <c r="R206" s="631"/>
      <c r="S206" s="631"/>
      <c r="T206" s="631"/>
      <c r="U206" s="631"/>
      <c r="V206" s="631"/>
      <c r="W206" s="631"/>
    </row>
    <row r="207" ht="12.75" customHeight="1">
      <c r="A207" s="631"/>
      <c r="B207" s="631"/>
      <c r="C207" s="631"/>
      <c r="D207" s="631"/>
      <c r="E207" s="631"/>
      <c r="F207" s="631"/>
      <c r="G207" s="631"/>
      <c r="H207" s="631"/>
      <c r="I207" s="631"/>
      <c r="J207" s="631"/>
      <c r="K207" s="631"/>
      <c r="L207" s="631"/>
      <c r="M207" s="631"/>
      <c r="N207" s="631"/>
      <c r="O207" s="631"/>
      <c r="P207" s="631"/>
      <c r="Q207" s="631"/>
      <c r="R207" s="631"/>
      <c r="S207" s="631"/>
      <c r="T207" s="631"/>
      <c r="U207" s="631"/>
      <c r="V207" s="631"/>
      <c r="W207" s="631"/>
    </row>
    <row r="208" ht="12.75" customHeight="1">
      <c r="A208" s="631"/>
      <c r="B208" s="631"/>
      <c r="C208" s="631"/>
      <c r="D208" s="631"/>
      <c r="E208" s="631"/>
      <c r="F208" s="631"/>
      <c r="G208" s="631"/>
      <c r="H208" s="631"/>
      <c r="I208" s="631"/>
      <c r="J208" s="631"/>
      <c r="K208" s="631"/>
      <c r="L208" s="631"/>
      <c r="M208" s="631"/>
      <c r="N208" s="631"/>
      <c r="O208" s="631"/>
      <c r="P208" s="631"/>
      <c r="Q208" s="631"/>
      <c r="R208" s="631"/>
      <c r="S208" s="631"/>
      <c r="T208" s="631"/>
      <c r="U208" s="631"/>
      <c r="V208" s="631"/>
      <c r="W208" s="631"/>
    </row>
    <row r="209" ht="12.75" customHeight="1">
      <c r="A209" s="631"/>
      <c r="B209" s="631"/>
      <c r="C209" s="631"/>
      <c r="D209" s="631"/>
      <c r="E209" s="631"/>
      <c r="F209" s="631"/>
      <c r="G209" s="631"/>
      <c r="H209" s="631"/>
      <c r="I209" s="631"/>
      <c r="J209" s="631"/>
      <c r="K209" s="631"/>
      <c r="L209" s="631"/>
      <c r="M209" s="631"/>
      <c r="N209" s="631"/>
      <c r="O209" s="631"/>
      <c r="P209" s="631"/>
      <c r="Q209" s="631"/>
      <c r="R209" s="631"/>
      <c r="S209" s="631"/>
      <c r="T209" s="631"/>
      <c r="U209" s="631"/>
      <c r="V209" s="631"/>
      <c r="W209" s="631"/>
    </row>
    <row r="210" ht="12.75" customHeight="1">
      <c r="A210" s="631"/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</row>
    <row r="211" ht="12.75" customHeight="1">
      <c r="A211" s="631"/>
      <c r="B211" s="631"/>
      <c r="C211" s="631"/>
      <c r="D211" s="631"/>
      <c r="E211" s="631"/>
      <c r="F211" s="631"/>
      <c r="G211" s="631"/>
      <c r="H211" s="631"/>
      <c r="I211" s="631"/>
      <c r="J211" s="631"/>
      <c r="K211" s="631"/>
      <c r="L211" s="631"/>
      <c r="M211" s="631"/>
      <c r="N211" s="631"/>
      <c r="O211" s="631"/>
      <c r="P211" s="631"/>
      <c r="Q211" s="631"/>
      <c r="R211" s="631"/>
      <c r="S211" s="631"/>
      <c r="T211" s="631"/>
      <c r="U211" s="631"/>
      <c r="V211" s="631"/>
      <c r="W211" s="631"/>
    </row>
    <row r="212" ht="12.75" customHeight="1">
      <c r="A212" s="631"/>
      <c r="B212" s="631"/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31"/>
      <c r="T212" s="631"/>
      <c r="U212" s="631"/>
      <c r="V212" s="631"/>
      <c r="W212" s="631"/>
    </row>
    <row r="213" ht="12.75" customHeight="1">
      <c r="A213" s="631"/>
      <c r="B213" s="631"/>
      <c r="C213" s="631"/>
      <c r="D213" s="631"/>
      <c r="E213" s="631"/>
      <c r="F213" s="631"/>
      <c r="G213" s="631"/>
      <c r="H213" s="631"/>
      <c r="I213" s="631"/>
      <c r="J213" s="631"/>
      <c r="K213" s="631"/>
      <c r="L213" s="631"/>
      <c r="M213" s="631"/>
      <c r="N213" s="631"/>
      <c r="O213" s="631"/>
      <c r="P213" s="631"/>
      <c r="Q213" s="631"/>
      <c r="R213" s="631"/>
      <c r="S213" s="631"/>
      <c r="T213" s="631"/>
      <c r="U213" s="631"/>
      <c r="V213" s="631"/>
      <c r="W213" s="631"/>
    </row>
    <row r="214" ht="12.75" customHeight="1">
      <c r="A214" s="631"/>
      <c r="B214" s="631"/>
      <c r="C214" s="631"/>
      <c r="D214" s="631"/>
      <c r="E214" s="631"/>
      <c r="F214" s="631"/>
      <c r="G214" s="631"/>
      <c r="H214" s="631"/>
      <c r="I214" s="631"/>
      <c r="J214" s="631"/>
      <c r="K214" s="631"/>
      <c r="L214" s="631"/>
      <c r="M214" s="631"/>
      <c r="N214" s="631"/>
      <c r="O214" s="631"/>
      <c r="P214" s="631"/>
      <c r="Q214" s="631"/>
      <c r="R214" s="631"/>
      <c r="S214" s="631"/>
      <c r="T214" s="631"/>
      <c r="U214" s="631"/>
      <c r="V214" s="631"/>
      <c r="W214" s="631"/>
    </row>
    <row r="215" ht="12.75" customHeight="1">
      <c r="A215" s="631"/>
      <c r="B215" s="631"/>
      <c r="C215" s="631"/>
      <c r="D215" s="631"/>
      <c r="E215" s="631"/>
      <c r="F215" s="631"/>
      <c r="G215" s="631"/>
      <c r="H215" s="631"/>
      <c r="I215" s="631"/>
      <c r="J215" s="631"/>
      <c r="K215" s="631"/>
      <c r="L215" s="631"/>
      <c r="M215" s="631"/>
      <c r="N215" s="631"/>
      <c r="O215" s="631"/>
      <c r="P215" s="631"/>
      <c r="Q215" s="631"/>
      <c r="R215" s="631"/>
      <c r="S215" s="631"/>
      <c r="T215" s="631"/>
      <c r="U215" s="631"/>
      <c r="V215" s="631"/>
      <c r="W215" s="631"/>
    </row>
    <row r="216" ht="12.75" customHeight="1">
      <c r="A216" s="631"/>
      <c r="B216" s="631"/>
      <c r="C216" s="631"/>
      <c r="D216" s="631"/>
      <c r="E216" s="631"/>
      <c r="F216" s="631"/>
      <c r="G216" s="631"/>
      <c r="H216" s="631"/>
      <c r="I216" s="631"/>
      <c r="J216" s="631"/>
      <c r="K216" s="631"/>
      <c r="L216" s="631"/>
      <c r="M216" s="631"/>
      <c r="N216" s="631"/>
      <c r="O216" s="631"/>
      <c r="P216" s="631"/>
      <c r="Q216" s="631"/>
      <c r="R216" s="631"/>
      <c r="S216" s="631"/>
      <c r="T216" s="631"/>
      <c r="U216" s="631"/>
      <c r="V216" s="631"/>
      <c r="W216" s="631"/>
    </row>
    <row r="217" ht="12.75" customHeight="1">
      <c r="A217" s="631"/>
      <c r="B217" s="631"/>
      <c r="C217" s="631"/>
      <c r="D217" s="631"/>
      <c r="E217" s="631"/>
      <c r="F217" s="631"/>
      <c r="G217" s="631"/>
      <c r="H217" s="631"/>
      <c r="I217" s="631"/>
      <c r="J217" s="631"/>
      <c r="K217" s="631"/>
      <c r="L217" s="631"/>
      <c r="M217" s="631"/>
      <c r="N217" s="631"/>
      <c r="O217" s="631"/>
      <c r="P217" s="631"/>
      <c r="Q217" s="631"/>
      <c r="R217" s="631"/>
      <c r="S217" s="631"/>
      <c r="T217" s="631"/>
      <c r="U217" s="631"/>
      <c r="V217" s="631"/>
      <c r="W217" s="631"/>
    </row>
    <row r="218" ht="12.75" customHeight="1">
      <c r="A218" s="631"/>
      <c r="B218" s="631"/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631"/>
      <c r="N218" s="631"/>
      <c r="O218" s="631"/>
      <c r="P218" s="631"/>
      <c r="Q218" s="631"/>
      <c r="R218" s="631"/>
      <c r="S218" s="631"/>
      <c r="T218" s="631"/>
      <c r="U218" s="631"/>
      <c r="V218" s="631"/>
      <c r="W218" s="631"/>
    </row>
    <row r="219" ht="12.75" customHeight="1">
      <c r="A219" s="631"/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31"/>
      <c r="T219" s="631"/>
      <c r="U219" s="631"/>
      <c r="V219" s="631"/>
      <c r="W219" s="631"/>
    </row>
    <row r="220" ht="12.75" customHeight="1">
      <c r="A220" s="631"/>
      <c r="B220" s="631"/>
      <c r="C220" s="631"/>
      <c r="D220" s="631"/>
      <c r="E220" s="631"/>
      <c r="F220" s="631"/>
      <c r="G220" s="631"/>
      <c r="H220" s="631"/>
      <c r="I220" s="631"/>
      <c r="J220" s="631"/>
      <c r="K220" s="631"/>
      <c r="L220" s="631"/>
      <c r="M220" s="631"/>
      <c r="N220" s="631"/>
      <c r="O220" s="631"/>
      <c r="P220" s="631"/>
      <c r="Q220" s="631"/>
      <c r="R220" s="631"/>
      <c r="S220" s="631"/>
      <c r="T220" s="631"/>
      <c r="U220" s="631"/>
      <c r="V220" s="631"/>
      <c r="W220" s="631"/>
    </row>
    <row r="221" ht="12.75" customHeight="1">
      <c r="A221" s="631"/>
      <c r="B221" s="631"/>
      <c r="C221" s="631"/>
      <c r="D221" s="631"/>
      <c r="E221" s="631"/>
      <c r="F221" s="631"/>
      <c r="G221" s="631"/>
      <c r="H221" s="631"/>
      <c r="I221" s="631"/>
      <c r="J221" s="631"/>
      <c r="K221" s="631"/>
      <c r="L221" s="631"/>
      <c r="M221" s="631"/>
      <c r="N221" s="631"/>
      <c r="O221" s="631"/>
      <c r="P221" s="631"/>
      <c r="Q221" s="631"/>
      <c r="R221" s="631"/>
      <c r="S221" s="631"/>
      <c r="T221" s="631"/>
      <c r="U221" s="631"/>
      <c r="V221" s="631"/>
      <c r="W221" s="631"/>
    </row>
    <row r="222" ht="12.75" customHeight="1">
      <c r="A222" s="631"/>
      <c r="B222" s="631"/>
      <c r="C222" s="631"/>
      <c r="D222" s="631"/>
      <c r="E222" s="631"/>
      <c r="F222" s="631"/>
      <c r="G222" s="631"/>
      <c r="H222" s="631"/>
      <c r="I222" s="631"/>
      <c r="J222" s="631"/>
      <c r="K222" s="631"/>
      <c r="L222" s="631"/>
      <c r="M222" s="631"/>
      <c r="N222" s="631"/>
      <c r="O222" s="631"/>
      <c r="P222" s="631"/>
      <c r="Q222" s="631"/>
      <c r="R222" s="631"/>
      <c r="S222" s="631"/>
      <c r="T222" s="631"/>
      <c r="U222" s="631"/>
      <c r="V222" s="631"/>
      <c r="W222" s="631"/>
    </row>
    <row r="223" ht="12.75" customHeight="1">
      <c r="A223" s="631"/>
      <c r="B223" s="631"/>
      <c r="C223" s="631"/>
      <c r="D223" s="631"/>
      <c r="E223" s="631"/>
      <c r="F223" s="631"/>
      <c r="G223" s="631"/>
      <c r="H223" s="631"/>
      <c r="I223" s="631"/>
      <c r="J223" s="631"/>
      <c r="K223" s="631"/>
      <c r="L223" s="631"/>
      <c r="M223" s="631"/>
      <c r="N223" s="631"/>
      <c r="O223" s="631"/>
      <c r="P223" s="631"/>
      <c r="Q223" s="631"/>
      <c r="R223" s="631"/>
      <c r="S223" s="631"/>
      <c r="T223" s="631"/>
      <c r="U223" s="631"/>
      <c r="V223" s="631"/>
      <c r="W223" s="631"/>
    </row>
    <row r="224" ht="12.75" customHeight="1">
      <c r="A224" s="631"/>
      <c r="B224" s="631"/>
      <c r="C224" s="631"/>
      <c r="D224" s="631"/>
      <c r="E224" s="631"/>
      <c r="F224" s="631"/>
      <c r="G224" s="631"/>
      <c r="H224" s="631"/>
      <c r="I224" s="631"/>
      <c r="J224" s="631"/>
      <c r="K224" s="631"/>
      <c r="L224" s="631"/>
      <c r="M224" s="631"/>
      <c r="N224" s="631"/>
      <c r="O224" s="631"/>
      <c r="P224" s="631"/>
      <c r="Q224" s="631"/>
      <c r="R224" s="631"/>
      <c r="S224" s="631"/>
      <c r="T224" s="631"/>
      <c r="U224" s="631"/>
      <c r="V224" s="631"/>
      <c r="W224" s="631"/>
    </row>
    <row r="225" ht="12.75" customHeight="1">
      <c r="A225" s="631"/>
      <c r="B225" s="631"/>
      <c r="C225" s="631"/>
      <c r="D225" s="631"/>
      <c r="E225" s="631"/>
      <c r="F225" s="631"/>
      <c r="G225" s="631"/>
      <c r="H225" s="631"/>
      <c r="I225" s="631"/>
      <c r="J225" s="631"/>
      <c r="K225" s="631"/>
      <c r="L225" s="631"/>
      <c r="M225" s="631"/>
      <c r="N225" s="631"/>
      <c r="O225" s="631"/>
      <c r="P225" s="631"/>
      <c r="Q225" s="631"/>
      <c r="R225" s="631"/>
      <c r="S225" s="631"/>
      <c r="T225" s="631"/>
      <c r="U225" s="631"/>
      <c r="V225" s="631"/>
      <c r="W225" s="631"/>
    </row>
    <row r="226" ht="12.75" customHeight="1">
      <c r="A226" s="631"/>
      <c r="B226" s="631"/>
      <c r="C226" s="631"/>
      <c r="D226" s="631"/>
      <c r="E226" s="631"/>
      <c r="F226" s="631"/>
      <c r="G226" s="631"/>
      <c r="H226" s="631"/>
      <c r="I226" s="631"/>
      <c r="J226" s="631"/>
      <c r="K226" s="631"/>
      <c r="L226" s="631"/>
      <c r="M226" s="631"/>
      <c r="N226" s="631"/>
      <c r="O226" s="631"/>
      <c r="P226" s="631"/>
      <c r="Q226" s="631"/>
      <c r="R226" s="631"/>
      <c r="S226" s="631"/>
      <c r="T226" s="631"/>
      <c r="U226" s="631"/>
      <c r="V226" s="631"/>
      <c r="W226" s="631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